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" sheetId="1" r:id="rId1"/>
    <sheet name="Out" sheetId="2" r:id="rId2"/>
  </sheets>
  <calcPr calcId="124519" fullCalcOnLoad="1"/>
</workbook>
</file>

<file path=xl/sharedStrings.xml><?xml version="1.0" encoding="utf-8"?>
<sst xmlns="http://schemas.openxmlformats.org/spreadsheetml/2006/main" count="4581" uniqueCount="905">
  <si>
    <t>类</t>
  </si>
  <si>
    <t>ERP编码</t>
  </si>
  <si>
    <t>名称</t>
  </si>
  <si>
    <t>模号</t>
  </si>
  <si>
    <t>用量</t>
  </si>
  <si>
    <t>单位</t>
  </si>
  <si>
    <t>备注</t>
  </si>
  <si>
    <t>盘点</t>
  </si>
  <si>
    <t>总成</t>
  </si>
  <si>
    <t>927-050000-200</t>
  </si>
  <si>
    <t>储物盒本体总成</t>
  </si>
  <si>
    <t>PC</t>
  </si>
  <si>
    <t>927-050000-100</t>
  </si>
  <si>
    <t>927-054000-200</t>
  </si>
  <si>
    <t>中央通道总成(雅米色)</t>
  </si>
  <si>
    <t>925-076888-100</t>
  </si>
  <si>
    <t>发动机上护板总成</t>
  </si>
  <si>
    <t>927-054000-100</t>
  </si>
  <si>
    <t>中央通道总成(素黑色)</t>
  </si>
  <si>
    <t>927-007000-500</t>
  </si>
  <si>
    <t>置杯盒总成(黑色)</t>
  </si>
  <si>
    <t>927-004856-300</t>
  </si>
  <si>
    <t>置杯盒总成(米色)</t>
  </si>
  <si>
    <t>927-007000-600</t>
  </si>
  <si>
    <t>置杯盒总成(A05)</t>
  </si>
  <si>
    <t>927-004000-200</t>
  </si>
  <si>
    <t>扶手后档板总成/黑</t>
  </si>
  <si>
    <t>927-004000-100</t>
  </si>
  <si>
    <t>扶手后挡板总成(M68)</t>
  </si>
  <si>
    <t>扶手后挡板总成(米色)</t>
  </si>
  <si>
    <t>924-718897-100</t>
  </si>
  <si>
    <t>GARN ASSY FR PLR RH               右前立柱总成</t>
  </si>
  <si>
    <t>924-718897-200</t>
  </si>
  <si>
    <t>GARN ASSY FR PLR LH        左前立柱总成</t>
  </si>
  <si>
    <t>924-718057-100</t>
  </si>
  <si>
    <t>924-718057-200</t>
  </si>
  <si>
    <t>924-700000-100</t>
  </si>
  <si>
    <t>GARN R,TAIL GATE SIDE
背门侧右柱总成</t>
  </si>
  <si>
    <t>924-700000-200</t>
  </si>
  <si>
    <t>GARN L,TAIL GATE SIDE
背门侧左柱总成</t>
  </si>
  <si>
    <t>824-701000-100</t>
  </si>
  <si>
    <t>LNG SAAY,TAIL GATE LWR</t>
  </si>
  <si>
    <t>924-701000-100</t>
  </si>
  <si>
    <t>924-702000-200</t>
  </si>
  <si>
    <t>BOX ASSY,UNDER CARGO FLOOF</t>
  </si>
  <si>
    <t>924-011808-100</t>
  </si>
  <si>
    <t>GARN-FR PLR RH</t>
  </si>
  <si>
    <t>924-011808-200</t>
  </si>
  <si>
    <t>GARN-FR PLR LH</t>
  </si>
  <si>
    <t>924-007000-100</t>
  </si>
  <si>
    <t>FIN-DASH SIDE RH</t>
  </si>
  <si>
    <t>924-007000-200</t>
  </si>
  <si>
    <t>FIN-DASH SIDE LH</t>
  </si>
  <si>
    <t>924-025056-100</t>
  </si>
  <si>
    <t xml:space="preserve"> 后右立柱</t>
  </si>
  <si>
    <t>924-025056-200</t>
  </si>
  <si>
    <t xml:space="preserve"> 后左立柱</t>
  </si>
  <si>
    <t>924-025056-300</t>
  </si>
  <si>
    <t>924-025056-400</t>
  </si>
  <si>
    <t>261-000000-083</t>
  </si>
  <si>
    <t>前挡风玻璃右通风栅</t>
  </si>
  <si>
    <t>934-024000-200</t>
  </si>
  <si>
    <t>左右侧饰件组合件</t>
  </si>
  <si>
    <t>934-024000-100</t>
  </si>
  <si>
    <t>934-012000-200</t>
  </si>
  <si>
    <t>523备胎盖板把手组合件</t>
  </si>
  <si>
    <t>934-012000-100</t>
  </si>
  <si>
    <t>921-060000-200</t>
  </si>
  <si>
    <t>左车颈罩</t>
  </si>
  <si>
    <t>921-059000-200</t>
  </si>
  <si>
    <t>右车颈罩</t>
  </si>
  <si>
    <t>921-000000-100</t>
  </si>
  <si>
    <t>921-000000-200</t>
  </si>
  <si>
    <t>926-044000-100</t>
  </si>
  <si>
    <t>83200-SLEA-Z011-25</t>
  </si>
  <si>
    <t>922-096465-100</t>
  </si>
  <si>
    <t>KNOB COMP R,RECLINING</t>
  </si>
  <si>
    <t>922-096465-200</t>
  </si>
  <si>
    <t>KNOB COMP L,RECLINING</t>
  </si>
  <si>
    <t>922-096465-300</t>
  </si>
  <si>
    <t>KNOB COMP R,LONG SLIDE</t>
  </si>
  <si>
    <t>922-096465-400</t>
  </si>
  <si>
    <t>KNOB COMP L,LONG SLIDE</t>
  </si>
  <si>
    <t>922-096465-500</t>
  </si>
  <si>
    <t>KNOB COMP R,REC BACK UPR</t>
  </si>
  <si>
    <t>922-096465-600</t>
  </si>
  <si>
    <t>KNOB COMP L,REC BACK UPR</t>
  </si>
  <si>
    <t>922-096517-100</t>
  </si>
  <si>
    <t>922-096517-200</t>
  </si>
  <si>
    <t>922-096517-300</t>
  </si>
  <si>
    <t>922-096517-400</t>
  </si>
  <si>
    <t>922-096517-500</t>
  </si>
  <si>
    <t>922-096517-600</t>
  </si>
  <si>
    <t>906-286000-110</t>
  </si>
  <si>
    <t>D EVA PAN(组立)</t>
  </si>
  <si>
    <t>906-376348-210</t>
  </si>
  <si>
    <t>F PATI COVER AS/G0BWA93250组装</t>
  </si>
  <si>
    <t>906-377348-110</t>
  </si>
  <si>
    <t>F PATI COVER/G0ZWA93250组装</t>
  </si>
  <si>
    <t>906-793000-100</t>
  </si>
  <si>
    <t>上内箱补强板P组件</t>
  </si>
  <si>
    <t>906-091000-110</t>
  </si>
  <si>
    <t>SLIDE SHELF AS 棚架组立</t>
  </si>
  <si>
    <t>906-288000-110</t>
  </si>
  <si>
    <t>SMALL CASE AS</t>
  </si>
  <si>
    <t>906-352348-110</t>
  </si>
  <si>
    <t>V PATI COVER AS/成品</t>
  </si>
  <si>
    <t>906-353348-210</t>
  </si>
  <si>
    <t>906-961000-110</t>
  </si>
  <si>
    <t>V PATI COVER AS</t>
  </si>
  <si>
    <t>906-424348-110</t>
  </si>
  <si>
    <t>F PATI COVER AS</t>
  </si>
  <si>
    <t>906-423348-110</t>
  </si>
  <si>
    <t>906-161000-110</t>
  </si>
  <si>
    <t xml:space="preserve">内胆加强板总成/I LIN REINF </t>
  </si>
  <si>
    <t>906-222000-100</t>
  </si>
  <si>
    <t>内胆加强板组件</t>
  </si>
  <si>
    <t>906-460000-310</t>
  </si>
  <si>
    <t xml:space="preserve">HSG PATI SPA AS </t>
  </si>
  <si>
    <t>906-394000-210</t>
  </si>
  <si>
    <t>211-020200-000</t>
  </si>
  <si>
    <t>立柱</t>
  </si>
  <si>
    <t>906-094000-210</t>
  </si>
  <si>
    <t>Water Receiver Pan AS  接水盘</t>
  </si>
  <si>
    <t>906-257000-210</t>
  </si>
  <si>
    <t>I HUSNG COVR AS</t>
  </si>
  <si>
    <t>906-246000-210</t>
  </si>
  <si>
    <t>SHADE  FIXER AS  灯罩固定器部件</t>
  </si>
  <si>
    <t>906-488000-110</t>
  </si>
  <si>
    <t>I LIN REINF U AS</t>
  </si>
  <si>
    <t>906-495000-110</t>
  </si>
  <si>
    <t>海绵条规格：KLSER 05*030*010</t>
  </si>
  <si>
    <t>906-496000-110</t>
  </si>
  <si>
    <t>海绵条规格：H16DB 05*0585*010</t>
  </si>
  <si>
    <t>906-958000-100</t>
  </si>
  <si>
    <t>\V PATI COVER AS\G0AMW24670\东芝\科智移模\6-958</t>
  </si>
  <si>
    <t>上内箱补强板P组件G0PMW27080   6-793</t>
  </si>
  <si>
    <t>906-959000-110</t>
  </si>
  <si>
    <t>\V PATI COVER AS\G0AMW96691\东芝\科智移模\6-959</t>
  </si>
  <si>
    <t>906-721000-310</t>
  </si>
  <si>
    <t>\F CEIL PLATE\G0PMW33791\东芝\6-721</t>
  </si>
  <si>
    <t>906-738000-310</t>
  </si>
  <si>
    <t>\F CEIL PLATE AS\G0LMW33791\东芝\6-738</t>
  </si>
  <si>
    <t>906-487000-110</t>
  </si>
  <si>
    <t>D EVA PAN AS</t>
  </si>
  <si>
    <t>906-442000-110</t>
  </si>
  <si>
    <t>规格：KLSER 15*40*15mm</t>
  </si>
  <si>
    <t>906-442000-210</t>
  </si>
  <si>
    <t>906-443000-210</t>
  </si>
  <si>
    <t>DR SHAD FX-A AS             门内灯罩固定器（A）部件</t>
  </si>
  <si>
    <t>/</t>
  </si>
  <si>
    <t>DR SHAD FX-A AS门内灯罩固定器（A）部件</t>
  </si>
  <si>
    <t>906-337348-110</t>
  </si>
  <si>
    <t>ICE BOX AS 制冰盒部件</t>
  </si>
  <si>
    <t>906-338348-110</t>
  </si>
  <si>
    <t>906-339000-210</t>
  </si>
  <si>
    <t>906-340000-210</t>
  </si>
  <si>
    <t>906-475000-210</t>
  </si>
  <si>
    <t>906-476000-210</t>
  </si>
  <si>
    <t>906-477000-210</t>
  </si>
  <si>
    <t>241-007400-000</t>
  </si>
  <si>
    <t>CP MOUNT PLATE SAS</t>
  </si>
  <si>
    <t>211-027000-000</t>
  </si>
  <si>
    <t>HUM CON CAST AS          调湿盒部件</t>
  </si>
  <si>
    <t>906-471000-210</t>
  </si>
  <si>
    <t>MOS THRO CAS AS           调湿盒部件</t>
  </si>
  <si>
    <t>-</t>
  </si>
  <si>
    <t>271-000800-000</t>
  </si>
  <si>
    <t>SMALL CASE AS 小盒部件</t>
  </si>
  <si>
    <t>623-000000-002</t>
  </si>
  <si>
    <t>R PATI COVER         冷藏室(R)隔板罩部件</t>
  </si>
  <si>
    <t>232-002300-000</t>
  </si>
  <si>
    <t>R PATI COVER AS</t>
  </si>
  <si>
    <t>221-027300-000</t>
  </si>
  <si>
    <t>P.C.B SUPPORT  AS</t>
  </si>
  <si>
    <t>组装物料</t>
  </si>
  <si>
    <t>更新时间Thu Oct 11 11:53:50 2018</t>
  </si>
  <si>
    <t>计划生产</t>
  </si>
  <si>
    <t>计划出货</t>
  </si>
  <si>
    <t>库存</t>
  </si>
  <si>
    <t>半成品</t>
  </si>
  <si>
    <t>827-050000-201</t>
  </si>
  <si>
    <t>4940-D2-6501扶手储物盒(植绒后)</t>
  </si>
  <si>
    <t>927-068000-200</t>
  </si>
  <si>
    <t>4940-1D2-6504置杯盒总成</t>
  </si>
  <si>
    <t>辅材</t>
  </si>
  <si>
    <t>827-051000-201</t>
  </si>
  <si>
    <t>置杯盒外盖/木纹4940-1D2-6502</t>
  </si>
  <si>
    <t>827-069000-101</t>
  </si>
  <si>
    <t>4940-1D1-6507按钮(电镀后)</t>
  </si>
  <si>
    <t>827-070000-100</t>
  </si>
  <si>
    <t>4940-1D1-6508置杯盒内盖M10</t>
  </si>
  <si>
    <t>263-000000-065</t>
  </si>
  <si>
    <t>4940-1D0-6114-C扭转弹簧A</t>
  </si>
  <si>
    <t>827-071000-100</t>
  </si>
  <si>
    <t>4940-1D1-6016垫圈A</t>
  </si>
  <si>
    <t>263-000000-013</t>
  </si>
  <si>
    <t>GB_T 818.4十字槽盘头螺钉3*8</t>
  </si>
  <si>
    <t>263-000000-029</t>
  </si>
  <si>
    <t>4940-1D1-6018弹簧片</t>
  </si>
  <si>
    <t>262-000000-086</t>
  </si>
  <si>
    <t>CA3F095-R0阻尼齿轮</t>
  </si>
  <si>
    <t>262-000000-087</t>
  </si>
  <si>
    <t>A-005锁止机构</t>
  </si>
  <si>
    <t>包材</t>
  </si>
  <si>
    <t>瓶</t>
  </si>
  <si>
    <t>现品票</t>
  </si>
  <si>
    <t>827-050000-101</t>
  </si>
  <si>
    <t>4940-1D1-6501扶手储物盒(植绒后)</t>
  </si>
  <si>
    <t>927-068000-100</t>
  </si>
  <si>
    <t>4940-1D1-6504置杯盒总成</t>
  </si>
  <si>
    <t>827-051000-101</t>
  </si>
  <si>
    <t>4940-1D1-6502置杯盒外盖/拉丝</t>
  </si>
  <si>
    <t>242-001300-000</t>
  </si>
  <si>
    <t>中空箱\GAE-C-001\720*590*380mm</t>
  </si>
  <si>
    <t>827-054000-200</t>
  </si>
  <si>
    <t>4940-1D2-2503后档板固定板</t>
  </si>
  <si>
    <t>262-000000-105</t>
  </si>
  <si>
    <t>减震垫B/4905-1D9-6018-1/M32</t>
  </si>
  <si>
    <t>927-005000-200</t>
  </si>
  <si>
    <t>4905-1D8-2512-2翻盖</t>
  </si>
  <si>
    <t>263-000000-032</t>
  </si>
  <si>
    <t>4940-1D1-2502旋转轴Φ4*257</t>
  </si>
  <si>
    <t>弹簧4905-1D0-2514-1</t>
  </si>
  <si>
    <t>204-01499</t>
  </si>
  <si>
    <t>AL现品票/4940-1D2-2501-1/中央通道总成/黄色</t>
  </si>
  <si>
    <t>825-076888-102</t>
  </si>
  <si>
    <t>发动机上护板（喷涂件）</t>
  </si>
  <si>
    <t>825-077000-101</t>
  </si>
  <si>
    <t>发动机上护板主标（电镀后）</t>
  </si>
  <si>
    <t>825-078000-101</t>
  </si>
  <si>
    <t>发动机上护板标牌（电镀后）</t>
  </si>
  <si>
    <t>825-079000-100</t>
  </si>
  <si>
    <t>机油口装饰盖</t>
  </si>
  <si>
    <t>262-000000-077</t>
  </si>
  <si>
    <t>球头安装座</t>
  </si>
  <si>
    <t>261-000000-154</t>
  </si>
  <si>
    <t>隔音棉</t>
  </si>
  <si>
    <t>包装</t>
  </si>
  <si>
    <t>61#台车</t>
  </si>
  <si>
    <t>827-054000-100</t>
  </si>
  <si>
    <t>4940-1D1-2503后档板固定板</t>
  </si>
  <si>
    <t>927-005000-100</t>
  </si>
  <si>
    <t>4905-1D4-2511-1翻转机构总成</t>
  </si>
  <si>
    <t>中/GAE-C-001/GAE054</t>
  </si>
  <si>
    <t>204-01500</t>
  </si>
  <si>
    <t>AL现品票/4940-1D1-2501-1/中央通道总成/白色</t>
  </si>
  <si>
    <t>827-007000-200</t>
  </si>
  <si>
    <t>置杯盒/4905-1D4-6012-1/GAE007/黑</t>
  </si>
  <si>
    <t>263-000000-010</t>
  </si>
  <si>
    <t>弹簧/4905-1D0-6014-1</t>
  </si>
  <si>
    <t>262-000000-036</t>
  </si>
  <si>
    <t>减震垫B/4905-1D4-6018-1/黑</t>
  </si>
  <si>
    <t>827-015000-100</t>
  </si>
  <si>
    <t>翻盖(C01)/4905-1D4-6013-1/优利得/GAE015/外购</t>
  </si>
  <si>
    <t>827-009000-120</t>
  </si>
  <si>
    <t>垫圈B(新模具B、孔小￠8.5*10)/4905-1D1-6016-2-B/</t>
  </si>
  <si>
    <t>242-101200-000</t>
  </si>
  <si>
    <t>中空箱/12#/GAE007/680*530*520mm/优利得/AC</t>
  </si>
  <si>
    <t>251-030007-003</t>
  </si>
  <si>
    <t>包装袋/PE/300*700*2C</t>
  </si>
  <si>
    <t>204-01208</t>
  </si>
  <si>
    <t>优利得A68现品票4932-1D1-6011-1置杯盒总成/白色</t>
  </si>
  <si>
    <t>827-015000-800</t>
  </si>
  <si>
    <t>翻盖（喷涂正面CX5+背面CF8）/4906-1D7-6013-1/优利得</t>
  </si>
  <si>
    <t>827-007000-300</t>
  </si>
  <si>
    <t>置杯盒/4906-1D7-6012-1/优利得/GAE007/A68</t>
  </si>
  <si>
    <t>垫圈B(新模具B、孔小￠8.5*10)/4905-1D1-6016-2-B</t>
  </si>
  <si>
    <t>弹簧/4905-1D0-6014-1/优利得/AC/力佳</t>
  </si>
  <si>
    <t>十字槽盘头螺钉/GB_T 818.4/M3×8(自攻螺丝）/贤信</t>
  </si>
  <si>
    <t>204-01193</t>
  </si>
  <si>
    <t>优利得A68现品票/4906-1D7-6011-1/置杯盒总成/黄色</t>
  </si>
  <si>
    <t>827-007000-100</t>
  </si>
  <si>
    <t>置杯盒M01/4905-1D1-6012-1/优利得/GAE007</t>
  </si>
  <si>
    <t>827-015000-600</t>
  </si>
  <si>
    <t>翻盖(奶油米色亚光-A05)/4907-1D5-6013/优利得/GAE015</t>
  </si>
  <si>
    <t>827-009000-110</t>
  </si>
  <si>
    <t>垫圈A(旧模具A、孔大￠8.6*9）/4905-1D1-6016-2-A/</t>
  </si>
  <si>
    <t>827-004000-200</t>
  </si>
  <si>
    <t>后档板固定板/4905-1D4-2510-1/优利得/GAE004/黑色</t>
  </si>
  <si>
    <t>827-005000-200</t>
  </si>
  <si>
    <t>翻盖/4905-1D4-2512-2/优利得/GAE005/黑色</t>
  </si>
  <si>
    <t>827-006000-200</t>
  </si>
  <si>
    <t>解锁手把/4905-1D4-2513-1/优利得/GAE006/黑色</t>
  </si>
  <si>
    <t>263-000000-005</t>
  </si>
  <si>
    <t>旋转轴/4905-1D0-2516-1/￠4*237mm/优利得/AC/贤信</t>
  </si>
  <si>
    <t>263-000000-009</t>
  </si>
  <si>
    <t>弹簧/4905-1D0-2514-1/￠3.2*22mm/线径￠0.6mm/</t>
  </si>
  <si>
    <t>242-101000-000</t>
  </si>
  <si>
    <t>中空箱/10#/GAE004/730*590*390mm/优利得/AC</t>
  </si>
  <si>
    <t>827-004856-300</t>
  </si>
  <si>
    <t>后档板固定板\\4905-1D7-2510-1\优利得\GAE004\A68</t>
  </si>
  <si>
    <t>旋转轴\4905-1D0-2516-1\￠4*237mm\优利得\AC\贤信</t>
  </si>
  <si>
    <t>827-005856-300</t>
  </si>
  <si>
    <t>翻盖\4905-1D7-2512-1\优利得\GAE005\A68</t>
  </si>
  <si>
    <t>827-006856-300</t>
  </si>
  <si>
    <t>解锁手把\4905-1D7-2513-1\优利得\GAE006\A68</t>
  </si>
  <si>
    <t>弹簧\4905-1D0-2514-1\￠3.2*22mm\线径￠0.6mm\</t>
  </si>
  <si>
    <t>M</t>
  </si>
  <si>
    <t>262-000000-081</t>
  </si>
  <si>
    <t>减震垫B\4905-1D2-6018-1\灰色(M68)\优利得\A68\信强</t>
  </si>
  <si>
    <t>中空箱\10#\GAE004\730*590*390mm\优利得\AC</t>
  </si>
  <si>
    <t>827-004000-100</t>
  </si>
  <si>
    <t>后档板固定板/4905-1D1-2510-1/优利得/GAE004/000</t>
  </si>
  <si>
    <t>827-005000-100</t>
  </si>
  <si>
    <t>翻盖/4905-1D1-2512-2/优利得/GAE005/000</t>
  </si>
  <si>
    <t>827-006000-100</t>
  </si>
  <si>
    <t>解锁手把/4905-1D1-2513-1/优利得/GAE006/000</t>
  </si>
  <si>
    <t>824-718897-100</t>
  </si>
  <si>
    <t>FR PLR RH 
右前立柱</t>
  </si>
  <si>
    <t>263-000000-004</t>
  </si>
  <si>
    <t>STEEL CLIP     铁卡扣</t>
  </si>
  <si>
    <t>262-000000-037</t>
  </si>
  <si>
    <t>TRIM CLIP      白色塑料卡扣</t>
  </si>
  <si>
    <t>261-000000-139</t>
  </si>
  <si>
    <t>NON-WOVEN TAPE不织布       20*45mm</t>
  </si>
  <si>
    <t>261-000000-140</t>
  </si>
  <si>
    <t>NON-WOVEN TAPE不织布       20*70mm</t>
  </si>
  <si>
    <t>261-000000-141</t>
  </si>
  <si>
    <t>FOAM RUBBER TAPE（海棉条）10*10*110mm</t>
  </si>
  <si>
    <t>824-718897-200</t>
  </si>
  <si>
    <t>FR PLR LH
左前立柱</t>
  </si>
  <si>
    <t>824-718057-100</t>
  </si>
  <si>
    <t>262-000000-114</t>
  </si>
  <si>
    <t>(ID标签)  26.5*40mm</t>
  </si>
  <si>
    <t>824-718057-200</t>
  </si>
  <si>
    <t>824-700000-200</t>
  </si>
  <si>
    <t>/GARNL TAIL GATE SIDE/河西</t>
  </si>
  <si>
    <t>824-707000-200</t>
  </si>
  <si>
    <t>/BASE L CLIP/河西/HX-707/2NY</t>
  </si>
  <si>
    <t>263-000000-015</t>
  </si>
  <si>
    <t>螺钉/M4*12/河西/2NX、2NY/上海大桥</t>
  </si>
  <si>
    <t>262-000000-034</t>
  </si>
  <si>
    <t>卡扣/河西/2NX、2NY/利富高</t>
  </si>
  <si>
    <t>262-000000-017</t>
  </si>
  <si>
    <t>挂钩销子/河西/2NX、2NY/本田贸易</t>
  </si>
  <si>
    <t>263-000000-016</t>
  </si>
  <si>
    <t>螺钉/M3*12/河西/2NX、2NY/</t>
  </si>
  <si>
    <t>262-000000-018</t>
  </si>
  <si>
    <t>HOOK RR SHELF/河西/2NX/百乐仕</t>
  </si>
  <si>
    <t>262-000000-019</t>
  </si>
  <si>
    <t>拉干卡座/河西/2NX、2NY/利富高</t>
  </si>
  <si>
    <t>261-000000-029</t>
  </si>
  <si>
    <t>吸音棉/河西/2NX、2NY/三木</t>
  </si>
  <si>
    <t>261-000000-009</t>
  </si>
  <si>
    <t>不织布/20*20mm（110g/m2）/河西</t>
  </si>
  <si>
    <t>GARNL TAIL GATE SIDE/河西</t>
  </si>
  <si>
    <t>BASE L CLIP/河西/HX-707/2NY</t>
  </si>
  <si>
    <t>LNG SAAY TAIL GATE LWR/河西</t>
  </si>
  <si>
    <t>824-708000-100</t>
  </si>
  <si>
    <t>盖子/河西/HX-708/2NY</t>
  </si>
  <si>
    <t>262-000000-027</t>
  </si>
  <si>
    <t>尾门拉手总成/河西/2NY/广汽本田</t>
  </si>
  <si>
    <t>262-000000-033</t>
  </si>
  <si>
    <t>盖子</t>
  </si>
  <si>
    <t>262-000000-021</t>
  </si>
  <si>
    <t>橡胶环/清化</t>
  </si>
  <si>
    <t>262-000000-007</t>
  </si>
  <si>
    <t>卡扣/2NX/</t>
  </si>
  <si>
    <t>262-000000-022</t>
  </si>
  <si>
    <t>卡扣/河西/2NX、2NY/百乐仕</t>
  </si>
  <si>
    <t>263-000000-017</t>
  </si>
  <si>
    <t>销铨/河西/2NX、2NY/本田</t>
  </si>
  <si>
    <t>263-000000-018</t>
  </si>
  <si>
    <t>螺钉/M6*30/河西/2NX、2NY/利港达</t>
  </si>
  <si>
    <t>262-000000-045</t>
  </si>
  <si>
    <t>A1001-N ID编号贴/河西/2NY/槌屋</t>
  </si>
  <si>
    <t>84432-TP6-A010-M1/盖子</t>
  </si>
  <si>
    <t>84440-STK-0030尾门拉手</t>
  </si>
  <si>
    <t>84435-TP6-A010-23/不织布CLOTH/20*20</t>
  </si>
  <si>
    <t>84436-TP6-A020-M1/橡胶环RUBBER PIVOT</t>
  </si>
  <si>
    <t>卡扣/2NX/91560-SAA-0031</t>
  </si>
  <si>
    <t>91562-SOX-A011-M1/卡扣CLIP,ROOF,LINING</t>
  </si>
  <si>
    <t>94301-10120销铨</t>
  </si>
  <si>
    <t>84441-TP6-A010-M1螺钉BOLT,FLANGE,6×30</t>
  </si>
  <si>
    <t>21-000000-007</t>
  </si>
  <si>
    <t>修补漆</t>
  </si>
  <si>
    <t>262-000000-109</t>
  </si>
  <si>
    <t>ID号贴/B1001-N</t>
  </si>
  <si>
    <t>吸音棉</t>
  </si>
  <si>
    <t>204-00725</t>
  </si>
  <si>
    <t>不干胶条码 84431-TW1W-H011-22广州河西/2NC</t>
  </si>
  <si>
    <t>824-702000-100</t>
  </si>
  <si>
    <t>BOX ASSY UNDER CARGO FLOOF/河西</t>
  </si>
  <si>
    <t>824-709000-100</t>
  </si>
  <si>
    <t>盖子/河西/HX-709/2NY</t>
  </si>
  <si>
    <t>824-709000-300</t>
  </si>
  <si>
    <t>824-709000-200</t>
  </si>
  <si>
    <t>824-709000-400</t>
  </si>
  <si>
    <t>824-710000-100</t>
  </si>
  <si>
    <t>隔板/河西/HX-710/2NY</t>
  </si>
  <si>
    <t>261-000000-030</t>
  </si>
  <si>
    <t>不织布/河西/2NX、2NY/台钜亚</t>
  </si>
  <si>
    <t>262-000000-028</t>
  </si>
  <si>
    <t>把手/河西/2NX、2NY/清化</t>
  </si>
  <si>
    <t>261-000000-069</t>
  </si>
  <si>
    <t>THINSULATE/70*260*T13/广州三木</t>
  </si>
  <si>
    <t>261-000000-070</t>
  </si>
  <si>
    <t>NONWOVEN FABRIC TAPE/30*60(110g/㎡</t>
  </si>
  <si>
    <t>262-000000-013</t>
  </si>
  <si>
    <t>卡扣/河西/X12D/利富高</t>
  </si>
  <si>
    <t>卡夹/河西/X02A/百乐仕</t>
  </si>
  <si>
    <t>261-000000-071</t>
  </si>
  <si>
    <t>EPT SEALER-A/T30*20*140/广州三木</t>
  </si>
  <si>
    <t>261-000000-072</t>
  </si>
  <si>
    <t>EPT SEALER-B/T15*10*230/广州三木</t>
  </si>
  <si>
    <t>261-000000-090</t>
  </si>
  <si>
    <t>不织布/L25mm*W18mm(50g/㎡)/河西/</t>
  </si>
  <si>
    <t xml:space="preserve"> 包装</t>
  </si>
  <si>
    <t>242-107000-000</t>
  </si>
  <si>
    <t>中空箱/70/1050*600*495mm/河西/HX011/X1</t>
  </si>
  <si>
    <t>242-110500-000</t>
  </si>
  <si>
    <t>中空箱/105/1050*600*495mm/河西/HX011/</t>
  </si>
  <si>
    <t>后右立柱总成FIN ASSY-RR PLR,RH</t>
  </si>
  <si>
    <t>海绵条/JDDV150100720XF/EV-1010 T15*10*720/河西</t>
  </si>
  <si>
    <t>卡扣/TRIM CLIP/15-54 00291</t>
  </si>
  <si>
    <t>不织布/THG0150015230B/15*15</t>
  </si>
  <si>
    <t>河台50#R/76934 HX025/B12L</t>
  </si>
  <si>
    <t>现品票76934 4DW0A</t>
  </si>
  <si>
    <t>后左立柱总成FIN ASSY-RR PLR,LH</t>
  </si>
  <si>
    <t>河台49#L/76935 HX025/B12L</t>
  </si>
  <si>
    <t>现品票76935 4DW0A</t>
  </si>
  <si>
    <t>后右立柱总成铝箔款FIN ASSY-RR PLR,RH</t>
  </si>
  <si>
    <t>铝箔胶带A/363+BETA-TAPE 5077/20*60mm/B12L</t>
  </si>
  <si>
    <t>铝箔胶带 B/363+BETA-TAPE 5077/10*26mm/B12L</t>
  </si>
  <si>
    <t>K-520胶水/3M/1L/X12D/槌屋贸易</t>
  </si>
  <si>
    <t>现品票76934 4DW1A</t>
  </si>
  <si>
    <t>后左立柱总成铝箔款FIN ASSY-RR PLR,LH</t>
  </si>
  <si>
    <t>现品票76935 4DW1A</t>
  </si>
  <si>
    <t>834-012000-200</t>
  </si>
  <si>
    <t>532-U黑/把手上饰盖/林骏LJ012/523</t>
  </si>
  <si>
    <t>834-013000-200</t>
  </si>
  <si>
    <t>532-M黑/把手上饰盖/林骏LJ013/523</t>
  </si>
  <si>
    <t>263-000000-036</t>
  </si>
  <si>
    <t>减震垫DAMPER/53298971-10</t>
  </si>
  <si>
    <t>263-000000-037</t>
  </si>
  <si>
    <t>弹簧SPRING/53298971-8</t>
  </si>
  <si>
    <t>263-000000-038</t>
  </si>
  <si>
    <t>旋转轴AXE/53298971-9</t>
  </si>
  <si>
    <t>242-116700-000</t>
  </si>
  <si>
    <t>中/167/林骏523/LJ012/</t>
  </si>
  <si>
    <t>204-01620</t>
  </si>
  <si>
    <t>现品票532A+532L/黑 (总成)</t>
  </si>
  <si>
    <t>834-012000-100</t>
  </si>
  <si>
    <t>532-U褐/把手上饰盖/林骏LJ012/523</t>
  </si>
  <si>
    <t>834-013000-100</t>
  </si>
  <si>
    <t>532-M褐/把手上饰盖/林骏LJ013/523</t>
  </si>
  <si>
    <t>204-01621</t>
  </si>
  <si>
    <t>现品票532A+532L/褐 (总成)</t>
  </si>
  <si>
    <t>821-060000-200</t>
  </si>
  <si>
    <t>74210-S0L-H000-50/HD060/GB1</t>
  </si>
  <si>
    <t>821-062000-100</t>
  </si>
  <si>
    <t>74212-SEL-P002/广本/HD062/</t>
  </si>
  <si>
    <t>262-000000-006</t>
  </si>
  <si>
    <t>90602-SAA-0031卡扣-黄色</t>
  </si>
  <si>
    <t>261-019008-008</t>
  </si>
  <si>
    <t>74210-SEL-T000-51/SEAL RR DR</t>
  </si>
  <si>
    <t>261-016800-110</t>
  </si>
  <si>
    <t>74210-SAA-0000-53/SEAL SIDE</t>
  </si>
  <si>
    <t>261-010507-703</t>
  </si>
  <si>
    <t>74210-SEL-T000-52/SEAL END</t>
  </si>
  <si>
    <t>261-019501-005</t>
  </si>
  <si>
    <t>74210-SEL-T000-53/SEAL CTR DR</t>
  </si>
  <si>
    <t>261-004800-508</t>
  </si>
  <si>
    <t>74210-SEL-T000-54/SEAL CTR SIDE</t>
  </si>
  <si>
    <t>261-026500-805</t>
  </si>
  <si>
    <t>74210-SAA-0000-57/SEAL FR SIDE DR</t>
  </si>
  <si>
    <t>204-00372</t>
  </si>
  <si>
    <t>现品票 74210-SOL-H000</t>
  </si>
  <si>
    <t>821-059000-200</t>
  </si>
  <si>
    <t>74220-SOL-H000-50/广本/HD059/GB1</t>
  </si>
  <si>
    <t>821-061000-300</t>
  </si>
  <si>
    <t>74223-SOL-H000/广本/HD061/GB1</t>
  </si>
  <si>
    <t>821-061000-400</t>
  </si>
  <si>
    <t>74221-SOL-H000/广本/HD061/GB1</t>
  </si>
  <si>
    <t>821-062000-200</t>
  </si>
  <si>
    <t>74222-SEL-P002/广本/HD062/</t>
  </si>
  <si>
    <t>261-003600-153</t>
  </si>
  <si>
    <t>74213-SAA-0000-51/SEAL COWL LID*2</t>
  </si>
  <si>
    <t>261-023000-055</t>
  </si>
  <si>
    <t>74220-SAA-0000-55/SEAL DEFRECTER</t>
  </si>
  <si>
    <t>262-000000-001</t>
  </si>
  <si>
    <t>76831-SEN-H010-M1喷嘴软管 右</t>
  </si>
  <si>
    <t>262-000000-002</t>
  </si>
  <si>
    <t>76836-SEN-H010-M1喷嘴软管左</t>
  </si>
  <si>
    <t>262-000000-003</t>
  </si>
  <si>
    <t>76811-SEN-H010-M1/Y管</t>
  </si>
  <si>
    <t>262-000000-014</t>
  </si>
  <si>
    <t>软胶/74144-SOL-H000</t>
  </si>
  <si>
    <t>262-000000-005</t>
  </si>
  <si>
    <t>90602-SX0-0030/CLIP COWL TOP*5</t>
  </si>
  <si>
    <t>261-138001-010</t>
  </si>
  <si>
    <t>74220-SEL-T000-51/SEAL FR AS</t>
  </si>
  <si>
    <t>261-111000-088</t>
  </si>
  <si>
    <t>74220-SEL-T000-52/SEAL RR AS</t>
  </si>
  <si>
    <t>261-013001-010</t>
  </si>
  <si>
    <t>74220-SAA-0000-53/SEAL SIDE</t>
  </si>
  <si>
    <t>261-010500-073</t>
  </si>
  <si>
    <t>74220-SEL-T000-53/SEAL END</t>
  </si>
  <si>
    <t>261-031500-053</t>
  </si>
  <si>
    <t>74220-SEL-T000-54/SEAL LID</t>
  </si>
  <si>
    <t>821-060000-100</t>
  </si>
  <si>
    <t>74210-SEN-H000-50/广本/HD060/2ST</t>
  </si>
  <si>
    <t>821-059000-100</t>
  </si>
  <si>
    <t>74220-SEN-H000-50/广本/HD059/2ST</t>
  </si>
  <si>
    <t>821-061000-100</t>
  </si>
  <si>
    <t>74223-SEN-H001/广本/HD061/2ST</t>
  </si>
  <si>
    <t>821-061000-200</t>
  </si>
  <si>
    <t>74221-SEL-P001/广本/HD061/2ST</t>
  </si>
  <si>
    <t>262-000000-004</t>
  </si>
  <si>
    <t>软胶/74144-SEL-T011</t>
  </si>
  <si>
    <t>261-001500-061</t>
  </si>
  <si>
    <t>261-001500-061 布织布/1*6*15mm/佛山新明产品用</t>
  </si>
  <si>
    <t>166#纸箱</t>
  </si>
  <si>
    <t>822-096465-100</t>
  </si>
  <si>
    <t>81315-T6A4-J010-20-400/提爱思/TS096/2NM/YR-400L</t>
  </si>
  <si>
    <t>262-000000-053</t>
  </si>
  <si>
    <t>标签8131521-T6A4-J1H2</t>
  </si>
  <si>
    <t>204-00922</t>
  </si>
  <si>
    <t>2NM现品票81315M1-T6A4-J1H2/黄色</t>
  </si>
  <si>
    <t>822-096465-200</t>
  </si>
  <si>
    <t>81715-T6A4-J010-20-400/TS096/2NM/YR-400L</t>
  </si>
  <si>
    <t>262-000000-054</t>
  </si>
  <si>
    <t>标签8171521-T6A4-J1H2</t>
  </si>
  <si>
    <t>204-00923</t>
  </si>
  <si>
    <t>2NM现品票81715M1-T6A4-J1H2/黄色</t>
  </si>
  <si>
    <t>262-000000-049</t>
  </si>
  <si>
    <t>标签8131521-T6A4-J2H2</t>
  </si>
  <si>
    <t>204-00920</t>
  </si>
  <si>
    <t>2NM现品票81315M1-T6A4-J2H2/黄色</t>
  </si>
  <si>
    <t>262-000000-050</t>
  </si>
  <si>
    <t>标签8171521-T6A4-J2H2</t>
  </si>
  <si>
    <t>204-00921</t>
  </si>
  <si>
    <t>2NM现品票81715M1-T6A4-J2H2/黄色</t>
  </si>
  <si>
    <t>262-000000-052</t>
  </si>
  <si>
    <t>标签81715-T6A4-J310-21-0000</t>
  </si>
  <si>
    <t>204-00924</t>
  </si>
  <si>
    <t>2NM现品票81315M1-T6A4-J3H2/黄色</t>
  </si>
  <si>
    <t>262-000000-051</t>
  </si>
  <si>
    <t>标签81315-T6A4-J310-21-0000</t>
  </si>
  <si>
    <t>204-00925</t>
  </si>
  <si>
    <t>2NM现品票81715M1-T6A4-J3H2/黄色</t>
  </si>
  <si>
    <t>822-096517-100</t>
  </si>
  <si>
    <t>81315-T6A4-J010-20-900/TS096/2NM/NH-900L</t>
  </si>
  <si>
    <t>262-000000-059</t>
  </si>
  <si>
    <t>标签8131521-T6A4-J1L4</t>
  </si>
  <si>
    <t>243-100600-000</t>
  </si>
  <si>
    <t>6#胶箱</t>
  </si>
  <si>
    <t>204-00935</t>
  </si>
  <si>
    <t>2NM现品票81315M1-T6A4-J1L4/白色</t>
  </si>
  <si>
    <t>822-096517-200</t>
  </si>
  <si>
    <t>81715-T6A4-J010-20-900/TS096/2NM/NH-900L</t>
  </si>
  <si>
    <t>262-000000-060</t>
  </si>
  <si>
    <t>标签8171521-T6A4-J1L4</t>
  </si>
  <si>
    <t>204-00936</t>
  </si>
  <si>
    <t>2NM现品票81715M1-T6A4-J1L4/白色</t>
  </si>
  <si>
    <t>262-000000-055</t>
  </si>
  <si>
    <t>标签8131521-T6A4-J2L4</t>
  </si>
  <si>
    <t>204-00937</t>
  </si>
  <si>
    <t>2NM现品票81315M1-T6A4-J2L4/白色</t>
  </si>
  <si>
    <t>262-000000-056</t>
  </si>
  <si>
    <t>标签8171521-T6A4-J2L4</t>
  </si>
  <si>
    <t>204-00938</t>
  </si>
  <si>
    <t>2NM现品票81715M1-T6A4-J2L4/白色</t>
  </si>
  <si>
    <t>262-000000-058</t>
  </si>
  <si>
    <t>204-00933</t>
  </si>
  <si>
    <t>2NM现品票81315M1-T6A4-J3L4/白色</t>
  </si>
  <si>
    <t>262-000000-057</t>
  </si>
  <si>
    <t>204-00934</t>
  </si>
  <si>
    <t>2NM现品票81715M1-T6A4-J3L4/白色</t>
  </si>
  <si>
    <t>806-286000-110</t>
  </si>
  <si>
    <t>/D EVA PAN/东芝/GLC</t>
  </si>
  <si>
    <t>906-229000-110</t>
  </si>
  <si>
    <t>/D E PAN SCR CAP/东芝</t>
  </si>
  <si>
    <t>261-000000-044</t>
  </si>
  <si>
    <t>海绵条/H11RG/F系列/8*245*10mm/海氏</t>
  </si>
  <si>
    <t>261-000000-054</t>
  </si>
  <si>
    <t>海绵条/H11RG/265*8*10mm/6-286组装/海氏</t>
  </si>
  <si>
    <t>261-000000-012</t>
  </si>
  <si>
    <t>海绵条/KLSER/东芝/E43N/3*210*10mm/海氏</t>
  </si>
  <si>
    <t>241-014700-000</t>
  </si>
  <si>
    <t>包装箱/147/74*46*43/BD3DB</t>
  </si>
  <si>
    <t>241-014700-100</t>
  </si>
  <si>
    <t>147#隔板/73.5*45.5*0.3/BD3DB</t>
  </si>
  <si>
    <t>806-376348-210</t>
  </si>
  <si>
    <t>F PATI COVER</t>
  </si>
  <si>
    <t>906-390348-210</t>
  </si>
  <si>
    <t>F PATI COVER R</t>
  </si>
  <si>
    <t>261-000000-000</t>
  </si>
  <si>
    <t>隔板密封/海氏</t>
  </si>
  <si>
    <t>263-000000-024</t>
  </si>
  <si>
    <t>螺钉/STS2STRS/桥亿</t>
  </si>
  <si>
    <t>261-002500-255</t>
  </si>
  <si>
    <t>海绵条/5*25*25mm/B48 50 55/海氏</t>
  </si>
  <si>
    <t>261-149500-103</t>
  </si>
  <si>
    <t>海绵条/H11RG/3*1495*10mm/海氏</t>
  </si>
  <si>
    <t>261-002500-155</t>
  </si>
  <si>
    <t>海绵条/H11RG/5*25*15/海氏</t>
  </si>
  <si>
    <t>261-000000-108</t>
  </si>
  <si>
    <t>SOFT TYPE A/G0001/30倍AEPE白+19PU灰/80*20*(2+5)/</t>
  </si>
  <si>
    <t>261-000000-109</t>
  </si>
  <si>
    <t>SOFT TYPE A/G0002/30倍AEPE白+19PU灰/150*25*(2+5)/</t>
  </si>
  <si>
    <t>261-000000-110</t>
  </si>
  <si>
    <t>SOFT TYPE A/G0003/30倍AEPE白+19PU灰/50*25*(2+5)/</t>
  </si>
  <si>
    <t>261-000000-111</t>
  </si>
  <si>
    <t>SOFT TYPE A/G0004/30倍AEPE白+19PU灰/195*25*(2+5)/</t>
  </si>
  <si>
    <t>261-000000-112</t>
  </si>
  <si>
    <t>SOFT TYPE A/G0005/30倍AEPE白+19PU灰/120*25*(2+5)/</t>
  </si>
  <si>
    <t>241-014600-000</t>
  </si>
  <si>
    <t>包装箱/146/69*53*44.5/BD3DB</t>
  </si>
  <si>
    <t>241-014600-001</t>
  </si>
  <si>
    <t>146#隔板/68.5*52.5*0.3/BD3DB</t>
  </si>
  <si>
    <t>806-377348-110</t>
  </si>
  <si>
    <t>906-401348-110</t>
  </si>
  <si>
    <t>261-012000-205</t>
  </si>
  <si>
    <t>海绵条/H11RG/5*120*20mm/海氏</t>
  </si>
  <si>
    <t>261-022000-205</t>
  </si>
  <si>
    <t>海绵条/H11RG/5*220*20mm/海氏</t>
  </si>
  <si>
    <t>261-156500-103</t>
  </si>
  <si>
    <t>海绵条/H11RG/3*1565*10mm/海氏</t>
  </si>
  <si>
    <t>806-091000-110</t>
  </si>
  <si>
    <t>棚架A/SHELF-A/G34/38</t>
  </si>
  <si>
    <t>806-092000-110</t>
  </si>
  <si>
    <t>棚架B/SHELF-B/G34/38</t>
  </si>
  <si>
    <t>253-025006-507</t>
  </si>
  <si>
    <t>包装袋/平面珍珠棉/两边开口/250*650*0.75C</t>
  </si>
  <si>
    <t>264-200001-250</t>
  </si>
  <si>
    <t>静电保护膜/125mm*200m/6-91用</t>
  </si>
  <si>
    <t>906-288348-110</t>
  </si>
  <si>
    <t>HANDLE B/GLC</t>
  </si>
  <si>
    <t>906-289348-110</t>
  </si>
  <si>
    <t>SMALL POCKET A/GLC</t>
  </si>
  <si>
    <t>906-290500-110</t>
  </si>
  <si>
    <t>SMALL POCKET LID/东芝/GLC</t>
  </si>
  <si>
    <t>806-352000-110</t>
  </si>
  <si>
    <t>V PATI COVER</t>
  </si>
  <si>
    <t>261-000000-115</t>
  </si>
  <si>
    <t>V PAIT INSU/湘福</t>
  </si>
  <si>
    <t>261-000000-098</t>
  </si>
  <si>
    <t>海绵条/H16DB/5*60*10mm/海氏</t>
  </si>
  <si>
    <t>261-000550-155</t>
  </si>
  <si>
    <t>海绵条/H16DB/5*52*15mm/海氏</t>
  </si>
  <si>
    <t>261-000000-099</t>
  </si>
  <si>
    <t>海绵条/H16DB/5*635*10mm/海氏</t>
  </si>
  <si>
    <t>261-000000-100</t>
  </si>
  <si>
    <t>海绵条/H16DB/5*30*10mm/海氏</t>
  </si>
  <si>
    <t>806-353000-110</t>
  </si>
  <si>
    <t>261-067000-105</t>
  </si>
  <si>
    <t>海绵条/H16DB/5*665*10/海氏</t>
  </si>
  <si>
    <t>252-130010-008</t>
  </si>
  <si>
    <t>包装袋/PO/1300*1000*1.5C</t>
  </si>
  <si>
    <t>241-001400-100</t>
  </si>
  <si>
    <t>14#隔板/62*44*0.3/BD3DB</t>
  </si>
  <si>
    <t>241-006900-000</t>
  </si>
  <si>
    <t>包装箱/69/69*46*36/BD3DB</t>
  </si>
  <si>
    <t>806-961000-110</t>
  </si>
  <si>
    <t>/V PATI COVER/东芝(科智移模)</t>
  </si>
  <si>
    <t>261-000000-126</t>
  </si>
  <si>
    <t>V PATI INSU/湘福</t>
  </si>
  <si>
    <t>261-006000-108</t>
  </si>
  <si>
    <t>海绵条/H11RG/8*60*10/海氏</t>
  </si>
  <si>
    <t>261-006800-108</t>
  </si>
  <si>
    <t>海绵条/H16DB/8*680*10mm/海氏</t>
  </si>
  <si>
    <t>261-000300-108</t>
  </si>
  <si>
    <t>海绵条/H16DB/8*30*10mm/海氏</t>
  </si>
  <si>
    <t>261-006300-108</t>
  </si>
  <si>
    <t>海绵条/H16DB/8*630*10mm/海氏</t>
  </si>
  <si>
    <t>806-424348-110</t>
  </si>
  <si>
    <t>806-425348-110</t>
  </si>
  <si>
    <t>F PATI COVER *R</t>
  </si>
  <si>
    <t>261-167000-103</t>
  </si>
  <si>
    <t>海绵条/H11RG/3*1670*10/海氏</t>
  </si>
  <si>
    <t>261-005000-254</t>
  </si>
  <si>
    <t>海绵条/H21DW/3*50*25/海氏</t>
  </si>
  <si>
    <t>261-015000-254</t>
  </si>
  <si>
    <t>海绵条/H21DW/3*150*25/海氏</t>
  </si>
  <si>
    <t>261-008000-204</t>
  </si>
  <si>
    <t>海绵条/H21DW/3*80*20/海氏</t>
  </si>
  <si>
    <t>261-019500-254</t>
  </si>
  <si>
    <t>海绵条/H21DW/3*195*25/海氏</t>
  </si>
  <si>
    <t>261-012000-254</t>
  </si>
  <si>
    <t>海绵条/H21DW/120*25*（t3+t5+铝箔）</t>
  </si>
  <si>
    <t>806-422348-110</t>
  </si>
  <si>
    <t>806-423348-110</t>
  </si>
  <si>
    <t>261-173000-103</t>
  </si>
  <si>
    <t>海绵条/H11RG/3*1730*10/海氏</t>
  </si>
  <si>
    <t>海绵条/H21DW/3*50*25/东芝/海氏</t>
  </si>
  <si>
    <t>海绵条/H21DW/3*150*25/东芝/海氏</t>
  </si>
  <si>
    <t>海绵条/H21DW/3*80*20/东芝/海氏</t>
  </si>
  <si>
    <t>261-023000-254</t>
  </si>
  <si>
    <t>海绵条/H21DW/3*230*25/东芝/海氏</t>
  </si>
  <si>
    <t>隔板密封/东芝用/海氏</t>
  </si>
  <si>
    <t>806-161000-110</t>
  </si>
  <si>
    <t>内胆加强板/东芝/000</t>
  </si>
  <si>
    <t>海绵条/5*25*25mm/东芝/B48 50 55/海氏</t>
  </si>
  <si>
    <t>261-078000-105</t>
  </si>
  <si>
    <t>海绵条/5*780*10/东芝/B48 50 55/海氏</t>
  </si>
  <si>
    <t>906-222000-110</t>
  </si>
  <si>
    <t>内箱加强板/I LIN REINF *U</t>
  </si>
  <si>
    <t>261-000000-016</t>
  </si>
  <si>
    <t>美纹胶纸/18MM*18M/东芝/E43N/致盟</t>
  </si>
  <si>
    <t>261-000000-013</t>
  </si>
  <si>
    <t>海绵条/H11RG/东芝/E43N/T5*230*10mm/</t>
  </si>
  <si>
    <t>261-000000-014</t>
  </si>
  <si>
    <t>海绵条/H11RG/东芝/E43N/T5*370*10mm/</t>
  </si>
  <si>
    <t>261-000000-015</t>
  </si>
  <si>
    <t>海绵条/H11RG/东芝/E43N/T5*50*30mm/</t>
  </si>
  <si>
    <t>241-000300-000</t>
  </si>
  <si>
    <t>包装箱/3/54.5*37*26.5/BD3DB</t>
  </si>
  <si>
    <t>241-000300-102</t>
  </si>
  <si>
    <t>3#隔板/54*36.5*0.3/BD3DB</t>
  </si>
  <si>
    <t>SOFT TP TYPE-A</t>
  </si>
  <si>
    <t>SOFT TAPE-A</t>
  </si>
  <si>
    <t>隔板密封?</t>
  </si>
  <si>
    <t>261-000000-168</t>
  </si>
  <si>
    <t>海绵条/G007/H21DW/50*25/(t3+t5+铝箔)/海氏</t>
  </si>
  <si>
    <t>H21DW海绵</t>
  </si>
  <si>
    <t>复合棉</t>
  </si>
  <si>
    <t>H21DW海绵/H21DW  t3×0150×025</t>
  </si>
  <si>
    <t>906-460348-110</t>
  </si>
  <si>
    <t>METPN SHAD FIX</t>
  </si>
  <si>
    <t>906-461000-110</t>
  </si>
  <si>
    <t>MEAT PAN SHADE</t>
  </si>
  <si>
    <t>211-020900-000</t>
  </si>
  <si>
    <t>AL TP(AF2515) 25X50            铝箔胶带</t>
  </si>
  <si>
    <t>211-028500-053</t>
  </si>
  <si>
    <t>海绵条\G999967833\H16W\3*285*5\东芝\海氏</t>
  </si>
  <si>
    <t>PE胶袋/1300*1000*1.5C</t>
  </si>
  <si>
    <t>906-394000-110</t>
  </si>
  <si>
    <t>SHADE FIXER</t>
  </si>
  <si>
    <t>211-020000-000</t>
  </si>
  <si>
    <t>密封材料(D)SEALER-D</t>
  </si>
  <si>
    <t>211-020100-000</t>
  </si>
  <si>
    <t>双面胶带BPT 5487</t>
  </si>
  <si>
    <t>皱纹纸               NO4033B</t>
  </si>
  <si>
    <t>胶袋\塑料袋\1200*1400*1800（厚度0.5mm)</t>
  </si>
  <si>
    <t>906-094000-100</t>
  </si>
  <si>
    <t>Water Receiver Pan   接水盘</t>
  </si>
  <si>
    <t>221-020400-000</t>
  </si>
  <si>
    <t>HOSE-B</t>
  </si>
  <si>
    <t>221-020500-000</t>
  </si>
  <si>
    <t>SK BAND</t>
  </si>
  <si>
    <t>906-257000-110</t>
  </si>
  <si>
    <t>I HOUSING COVER</t>
  </si>
  <si>
    <t>211-019900-000</t>
  </si>
  <si>
    <t>密封材-I             SEALER-I</t>
  </si>
  <si>
    <t>906-246458-110</t>
  </si>
  <si>
    <t>SHADE  FIXER</t>
  </si>
  <si>
    <t>211-020300-000</t>
  </si>
  <si>
    <t>皱纹纸 NO4033B</t>
  </si>
  <si>
    <t>211-020400-000</t>
  </si>
  <si>
    <t>皱纹纸NO4033B</t>
  </si>
  <si>
    <t>211-020500-000</t>
  </si>
  <si>
    <t>发泡密封材料 URETAN SEALER</t>
  </si>
  <si>
    <t>211-020600-000</t>
  </si>
  <si>
    <t>密封胶带 SEAL TAPE</t>
  </si>
  <si>
    <t>806-488000-110</t>
  </si>
  <si>
    <t>I LIN REINF U</t>
  </si>
  <si>
    <t>211-026000-105</t>
  </si>
  <si>
    <t>海绵条规格：H11RG 05*0260*010</t>
  </si>
  <si>
    <t>211-001500-105</t>
  </si>
  <si>
    <t>海绵条规格：H11RG 05*0150*010</t>
  </si>
  <si>
    <t>211-000300-105</t>
  </si>
  <si>
    <t>806-495000-110</t>
  </si>
  <si>
    <t>211-009500-000</t>
  </si>
  <si>
    <t>海绵条规格：H16DB 05*0060*010</t>
  </si>
  <si>
    <t>211-000550-155</t>
  </si>
  <si>
    <t>海绵条规格：H16DB 05X0055X015</t>
  </si>
  <si>
    <t>211-009700-000</t>
  </si>
  <si>
    <t>海绵条规格：H16DB 05*0030*010</t>
  </si>
  <si>
    <t>211-058500-105</t>
  </si>
  <si>
    <t>806-496000-110</t>
  </si>
  <si>
    <t>906-497000-110</t>
  </si>
  <si>
    <t>211-002500-255</t>
  </si>
  <si>
    <t>海绵条规格：H11RG 05X0025X025</t>
  </si>
  <si>
    <t>211-159000-103</t>
  </si>
  <si>
    <t>海绵条规格：H11RG　03×1590×010</t>
  </si>
  <si>
    <t>211-000100-000</t>
  </si>
  <si>
    <t>211-005000-254</t>
  </si>
  <si>
    <t xml:space="preserve">海绵条规格：H21DW 03×0050×025 </t>
  </si>
  <si>
    <t>211-016400-000</t>
  </si>
  <si>
    <t>50*25*（t3+t5+铝箔）</t>
  </si>
  <si>
    <t>211-010000-253</t>
  </si>
  <si>
    <t>海绵条规格：H21DW 03×0100×025</t>
  </si>
  <si>
    <t>211-008000-204</t>
  </si>
  <si>
    <t>海绵条规格：H21DW  03×0080×020</t>
  </si>
  <si>
    <t>211-019500-254</t>
  </si>
  <si>
    <t>海绵条规格：H21DW  03×0195×025</t>
  </si>
  <si>
    <t>211-012000-254</t>
  </si>
  <si>
    <t>120*25*（t3+t5+铝箔）</t>
  </si>
  <si>
    <t>806-958000-110</t>
  </si>
  <si>
    <t>\V PATI COVER\G0AMW24220\东芝\科智移模\6-958</t>
  </si>
  <si>
    <t>211-011900-000</t>
  </si>
  <si>
    <t>V PATI INSU\G0AMW24240\湘福</t>
  </si>
  <si>
    <t>211-006000-108</t>
  </si>
  <si>
    <t>海绵条\\H11RG\8*60*10\海氏</t>
  </si>
  <si>
    <t>海绵条\G999966146\H16DB\5*52*15mm\海氏</t>
  </si>
  <si>
    <t>211-074500-108</t>
  </si>
  <si>
    <t>海绵条\G999966315\H16DB\8*745*10\海氏</t>
  </si>
  <si>
    <t>211-000300-108</t>
  </si>
  <si>
    <t>海绵条\G999966961\H16DB\8*30*10mm\海氏</t>
  </si>
  <si>
    <t>211-006950-108</t>
  </si>
  <si>
    <t>海绵条\G999966991\H16DB\8*695*10mm\海氏</t>
  </si>
  <si>
    <t>806-793000-110</t>
  </si>
  <si>
    <t>/I LIN REINF*U/东芝(华达移模)G0PMW27590   6-793</t>
  </si>
  <si>
    <t>海绵条/H11RG/E43N/T5*230*10mm/G999964924FQ</t>
  </si>
  <si>
    <t>261-008000-305</t>
  </si>
  <si>
    <t>海绵条/H11RG/5*80*30/海氏G999965261</t>
  </si>
  <si>
    <t>806-959000-110</t>
  </si>
  <si>
    <t>\F PATI COVER\G0AMW93271\东芝\科智移模\6-959</t>
  </si>
  <si>
    <t>211-012000-000</t>
  </si>
  <si>
    <t>F PATI INSU\G0AMW34121\湘福</t>
  </si>
  <si>
    <t>211-008400-000</t>
  </si>
  <si>
    <t>PATI SEALER-C\G0PVU24630\海氏</t>
  </si>
  <si>
    <t>211-008500-000</t>
  </si>
  <si>
    <t>PATI SEALER-D\G0PVU24640\海氏</t>
  </si>
  <si>
    <t>906-722000-210</t>
  </si>
  <si>
    <t>\F CEIL DUCT\G0PMW39091\东芝\6-722</t>
  </si>
  <si>
    <t>906-721000-410</t>
  </si>
  <si>
    <t>\F CEIL PLATE\G0PMW39101\东芝\6-721</t>
  </si>
  <si>
    <t>906-739000-210</t>
  </si>
  <si>
    <t>\F CEIL DUCT\G0LMW39091\东芝\6-739</t>
  </si>
  <si>
    <t>906-738000-410</t>
  </si>
  <si>
    <t>\F CEIL PLATE\G0LMW39101\东芝\6-738</t>
  </si>
  <si>
    <t>806-487000-110</t>
  </si>
  <si>
    <t>D EVA PAN</t>
  </si>
  <si>
    <t xml:space="preserve">D E PAN SCR CAP                蒸发盘螺帽      </t>
  </si>
  <si>
    <t>211-004001-515</t>
  </si>
  <si>
    <t>806-442000-110</t>
  </si>
  <si>
    <t>261-000000-113</t>
  </si>
  <si>
    <t>806-442000-210</t>
  </si>
  <si>
    <t>906-443000-110</t>
  </si>
  <si>
    <t>DR SHADE FIX  A门内灯罩固定器（A）</t>
  </si>
  <si>
    <t>211-025600-000</t>
  </si>
  <si>
    <t>AL TAPE-B             铝箔胶带(B)</t>
  </si>
  <si>
    <t>211-070000-105</t>
  </si>
  <si>
    <t>SOFT TP TYPE-A 软质胶带-A</t>
  </si>
  <si>
    <t>906-444000-110</t>
  </si>
  <si>
    <t>211-025700-000</t>
  </si>
  <si>
    <t>ICE BOX</t>
  </si>
  <si>
    <t>221-025800-000</t>
  </si>
  <si>
    <t>ICE SERVER             冰铲</t>
  </si>
  <si>
    <t>271-002000-000</t>
  </si>
  <si>
    <t>ICE BOX CAU LAB     制冰盒警示标签</t>
  </si>
  <si>
    <t>MOPP-Ta64283 25X50         固定胶带</t>
  </si>
  <si>
    <t>MOPP-Ta64283 25X50               固定胶带</t>
  </si>
  <si>
    <t>906-339348-110</t>
  </si>
  <si>
    <t>906-340348-110</t>
  </si>
  <si>
    <t>271-002100-000</t>
  </si>
  <si>
    <t>906-475348-110</t>
  </si>
  <si>
    <t>ICE BOX              制冰盒</t>
  </si>
  <si>
    <t>906-476348-110</t>
  </si>
  <si>
    <t>906-477348-110</t>
  </si>
  <si>
    <t>906-749000-100</t>
  </si>
  <si>
    <t>CP MOUNT PLATE</t>
  </si>
  <si>
    <t>NO4033B 24*50           粘纸胶带</t>
  </si>
  <si>
    <t>CONT PANE SEAL                 控制面板密封</t>
  </si>
  <si>
    <t>906-412477-110</t>
  </si>
  <si>
    <t>HUM COND CASSET</t>
  </si>
  <si>
    <t>906-412477-210</t>
  </si>
  <si>
    <t>HUM CON CAS COV</t>
  </si>
  <si>
    <t xml:space="preserve">HUM COND SHEET                      调湿片    </t>
  </si>
  <si>
    <t>906-471348-110</t>
  </si>
  <si>
    <t>MOIST THRO CAS</t>
  </si>
  <si>
    <t>906-473348-110</t>
  </si>
  <si>
    <t>MOS THRO CAS CV</t>
  </si>
  <si>
    <t>MOIST THRO SHT              调湿片</t>
  </si>
  <si>
    <t>906-908000-110</t>
  </si>
  <si>
    <t>V盒</t>
  </si>
  <si>
    <t>PROTEC        SHEET</t>
  </si>
  <si>
    <t>906-417348-110</t>
  </si>
  <si>
    <t>R PATI COVER             冷藏室(R)隔板罩</t>
  </si>
  <si>
    <t>221-027100-000</t>
  </si>
  <si>
    <t>R PATI INSU MAT   冷藏室(R)隔板隔热材</t>
  </si>
  <si>
    <t>231-009900-000</t>
  </si>
  <si>
    <t>HEAT TRN PLT-A         传热板(A)</t>
  </si>
  <si>
    <t>231-010000-000</t>
  </si>
  <si>
    <t>HEAT TRN PLT-B              传热板(B)</t>
  </si>
  <si>
    <t>231-010100-000</t>
  </si>
  <si>
    <t>HINGE PATCH                  铰链挡板</t>
  </si>
  <si>
    <t>231-010200-000</t>
  </si>
  <si>
    <t>STS2SFLT +   平头带切口十字自攻螺钉S2型</t>
  </si>
  <si>
    <t>STS2STRS +   圆头带切口十字自攻螺钉S2型</t>
  </si>
  <si>
    <t>231-010500-000</t>
  </si>
  <si>
    <t>HINGE PATCH L                  铰链挡板(左)</t>
  </si>
  <si>
    <t>906-716458-100</t>
  </si>
  <si>
    <t>R PATI COVER</t>
  </si>
  <si>
    <t>圆头带切口十字自攻螺钉S2型</t>
  </si>
  <si>
    <t>221-027200-000</t>
  </si>
  <si>
    <t>隔板加强板</t>
  </si>
  <si>
    <t>铰链挡板</t>
  </si>
  <si>
    <t>铰链挡板(左)</t>
  </si>
  <si>
    <t>传热板(B)</t>
  </si>
  <si>
    <t>211-027100-000</t>
  </si>
  <si>
    <t>隔离密封    PATI SEALER</t>
  </si>
  <si>
    <t>平头带切口十字自攻螺钉S2型</t>
  </si>
  <si>
    <t>冷藏室(R)隔板隔热材</t>
  </si>
  <si>
    <t>906-484000-000</t>
  </si>
  <si>
    <t>P.C.B SUPPORT</t>
  </si>
  <si>
    <t>211-027400-000</t>
  </si>
  <si>
    <t>211-078000-105</t>
  </si>
  <si>
    <t>211-027500-000</t>
  </si>
  <si>
    <t>211-002500-155</t>
  </si>
  <si>
    <t>241-007900-000</t>
  </si>
  <si>
    <t>M856 25X50           粘纸胶带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</si>
</sst>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2067"/>
  <sheetViews>
    <sheetView tabSelected="1" workbookViewId="0"/>
  </sheetViews>
  <sheetFormatPr defaultRowHeight="15"/>
  <sheetData>
    <row r="1" spans="1:41">
      <c r="A1" t="s">
        <v>175</v>
      </c>
    </row>
    <row r="2" spans="1:41">
      <c r="A2" t="s">
        <v>176</v>
      </c>
    </row>
    <row r="3" spans="1:41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  <c r="S3">
        <v>10</v>
      </c>
      <c r="T3">
        <v>11</v>
      </c>
      <c r="U3">
        <v>12</v>
      </c>
      <c r="V3">
        <v>13</v>
      </c>
      <c r="W3">
        <v>14</v>
      </c>
      <c r="X3">
        <v>15</v>
      </c>
      <c r="Y3">
        <v>16</v>
      </c>
      <c r="Z3">
        <v>17</v>
      </c>
      <c r="AA3">
        <v>18</v>
      </c>
      <c r="AB3">
        <v>19</v>
      </c>
      <c r="AC3">
        <v>20</v>
      </c>
      <c r="AD3">
        <v>21</v>
      </c>
      <c r="AE3">
        <v>22</v>
      </c>
      <c r="AF3">
        <v>23</v>
      </c>
      <c r="AG3">
        <v>24</v>
      </c>
      <c r="AH3">
        <v>25</v>
      </c>
      <c r="AI3">
        <v>26</v>
      </c>
      <c r="AJ3">
        <v>27</v>
      </c>
      <c r="AK3">
        <v>28</v>
      </c>
      <c r="AL3">
        <v>29</v>
      </c>
      <c r="AM3">
        <v>30</v>
      </c>
      <c r="AN3">
        <v>31</v>
      </c>
    </row>
    <row r="4" spans="1:41">
      <c r="A4" t="s">
        <v>8</v>
      </c>
      <c r="B4" t="s">
        <v>9</v>
      </c>
      <c r="C4" t="s">
        <v>10</v>
      </c>
      <c r="E4">
        <v>1</v>
      </c>
      <c r="F4" t="s">
        <v>11</v>
      </c>
      <c r="I4" t="s">
        <v>177</v>
      </c>
    </row>
    <row r="5" spans="1:41">
      <c r="I5" t="s">
        <v>178</v>
      </c>
      <c r="J5">
        <f>IFERROR(VLOOKUP("927-050000-200",Out!B:AB,1+8,0),0)</f>
        <v>0</v>
      </c>
      <c r="K5">
        <f>IFERROR(VLOOKUP("927-050000-200",Out!B:AB,2+8,0),0)</f>
        <v>0</v>
      </c>
      <c r="L5">
        <f>IFERROR(VLOOKUP("927-050000-200",Out!B:AB,3+8,0),0)</f>
        <v>0</v>
      </c>
      <c r="M5">
        <f>IFERROR(VLOOKUP("927-050000-200",Out!B:AB,4+8,0),0)</f>
        <v>0</v>
      </c>
      <c r="N5">
        <f>IFERROR(VLOOKUP("927-050000-200",Out!B:AB,5+8,0),0)</f>
        <v>0</v>
      </c>
      <c r="O5">
        <f>IFERROR(VLOOKUP("927-050000-200",Out!B:AB,6+8,0),0)</f>
        <v>0</v>
      </c>
      <c r="P5">
        <f>IFERROR(VLOOKUP("927-050000-200",Out!B:AB,7+8,0),0)</f>
        <v>0</v>
      </c>
      <c r="Q5">
        <f>IFERROR(VLOOKUP("927-050000-200",Out!B:AB,8+8,0),0)</f>
        <v>0</v>
      </c>
      <c r="R5">
        <f>IFERROR(VLOOKUP("927-050000-200",Out!B:AB,9+8,0),0)</f>
        <v>0</v>
      </c>
      <c r="S5">
        <f>IFERROR(VLOOKUP("927-050000-200",Out!B:AB,10+8,0),0)</f>
        <v>0</v>
      </c>
      <c r="T5">
        <f>IFERROR(VLOOKUP("927-050000-200",Out!B:AB,11+8,0),0)</f>
        <v>0</v>
      </c>
      <c r="U5">
        <f>IFERROR(VLOOKUP("927-050000-200",Out!B:AB,12+8,0),0)</f>
        <v>0</v>
      </c>
      <c r="V5">
        <f>IFERROR(VLOOKUP("927-050000-200",Out!B:AB,13+8,0),0)</f>
        <v>0</v>
      </c>
      <c r="W5">
        <f>IFERROR(VLOOKUP("927-050000-200",Out!B:AB,14+8,0),0)</f>
        <v>0</v>
      </c>
      <c r="X5">
        <f>IFERROR(VLOOKUP("927-050000-200",Out!B:AB,15+8,0),0)</f>
        <v>0</v>
      </c>
      <c r="Y5">
        <f>IFERROR(VLOOKUP("927-050000-200",Out!B:AB,16+8,0),0)</f>
        <v>0</v>
      </c>
      <c r="Z5">
        <f>IFERROR(VLOOKUP("927-050000-200",Out!B:AB,17+8,0),0)</f>
        <v>0</v>
      </c>
      <c r="AA5">
        <f>IFERROR(VLOOKUP("927-050000-200",Out!B:AB,18+8,0),0)</f>
        <v>0</v>
      </c>
      <c r="AB5">
        <f>IFERROR(VLOOKUP("927-050000-200",Out!B:AB,19+8,0),0)</f>
        <v>0</v>
      </c>
      <c r="AC5">
        <f>IFERROR(VLOOKUP("927-050000-200",Out!B:AB,20+8,0),0)</f>
        <v>0</v>
      </c>
      <c r="AD5">
        <f>IFERROR(VLOOKUP("927-050000-200",Out!B:AB,21+8,0),0)</f>
        <v>0</v>
      </c>
      <c r="AE5">
        <f>IFERROR(VLOOKUP("927-050000-200",Out!B:AB,22+8,0),0)</f>
        <v>0</v>
      </c>
      <c r="AF5">
        <f>IFERROR(VLOOKUP("927-050000-200",Out!B:AB,23+8,0),0)</f>
        <v>0</v>
      </c>
      <c r="AG5">
        <f>IFERROR(VLOOKUP("927-050000-200",Out!B:AB,24+8,0),0)</f>
        <v>0</v>
      </c>
      <c r="AH5">
        <f>IFERROR(VLOOKUP("927-050000-200",Out!B:AB,25+8,0),0)</f>
        <v>0</v>
      </c>
      <c r="AI5">
        <f>IFERROR(VLOOKUP("927-050000-200",Out!B:AB,26+8,0),0)</f>
        <v>0</v>
      </c>
      <c r="AJ5">
        <f>IFERROR(VLOOKUP("927-050000-200",Out!B:AB,27+8,0),0)</f>
        <v>0</v>
      </c>
      <c r="AK5">
        <f>IFERROR(VLOOKUP("927-050000-200",Out!B:AB,28+8,0),0)</f>
        <v>0</v>
      </c>
      <c r="AL5">
        <f>IFERROR(VLOOKUP("927-050000-200",Out!B:AB,29+8,0),0)</f>
        <v>0</v>
      </c>
      <c r="AM5">
        <f>IFERROR(VLOOKUP("927-050000-200",Out!B:AB,30+8,0),0)</f>
        <v>0</v>
      </c>
      <c r="AN5">
        <f>IFERROR(VLOOKUP("927-050000-200",Out!B:AB,31+8,0),0)</f>
        <v>0</v>
      </c>
      <c r="AO5">
        <f>SUN(INDIRECT(ADDRESS(4,8)):INDIRECT(ADDRESS(4,39)))</f>
        <v>0</v>
      </c>
    </row>
    <row r="6" spans="1:41">
      <c r="H6" t="s">
        <v>179</v>
      </c>
      <c r="J6">
        <f>INDIRECT(ADDRESS(6,9))+INDIRECT(ADDRESS(4,10))-INDIRECT(ADDRESS(5,10))</f>
        <v>0</v>
      </c>
      <c r="K6">
        <f>INDIRECT(ADDRESS(6,10))+INDIRECT(ADDRESS(4,11))-INDIRECT(ADDRESS(5,11))</f>
        <v>0</v>
      </c>
      <c r="L6">
        <f>INDIRECT(ADDRESS(6,11))+INDIRECT(ADDRESS(4,12))-INDIRECT(ADDRESS(5,12))</f>
        <v>0</v>
      </c>
      <c r="M6">
        <f>INDIRECT(ADDRESS(6,12))+INDIRECT(ADDRESS(4,13))-INDIRECT(ADDRESS(5,13))</f>
        <v>0</v>
      </c>
      <c r="N6">
        <f>INDIRECT(ADDRESS(6,13))+INDIRECT(ADDRESS(4,14))-INDIRECT(ADDRESS(5,14))</f>
        <v>0</v>
      </c>
      <c r="O6">
        <f>INDIRECT(ADDRESS(6,14))+INDIRECT(ADDRESS(4,15))-INDIRECT(ADDRESS(5,15))</f>
        <v>0</v>
      </c>
      <c r="P6">
        <f>INDIRECT(ADDRESS(6,15))+INDIRECT(ADDRESS(4,16))-INDIRECT(ADDRESS(5,16))</f>
        <v>0</v>
      </c>
      <c r="Q6">
        <f>INDIRECT(ADDRESS(6,16))+INDIRECT(ADDRESS(4,17))-INDIRECT(ADDRESS(5,17))</f>
        <v>0</v>
      </c>
      <c r="R6">
        <f>INDIRECT(ADDRESS(6,17))+INDIRECT(ADDRESS(4,18))-INDIRECT(ADDRESS(5,18))</f>
        <v>0</v>
      </c>
      <c r="S6">
        <f>INDIRECT(ADDRESS(6,18))+INDIRECT(ADDRESS(4,19))-INDIRECT(ADDRESS(5,19))</f>
        <v>0</v>
      </c>
      <c r="T6">
        <f>INDIRECT(ADDRESS(6,19))+INDIRECT(ADDRESS(4,20))-INDIRECT(ADDRESS(5,20))</f>
        <v>0</v>
      </c>
      <c r="U6">
        <f>INDIRECT(ADDRESS(6,20))+INDIRECT(ADDRESS(4,21))-INDIRECT(ADDRESS(5,21))</f>
        <v>0</v>
      </c>
      <c r="V6">
        <f>INDIRECT(ADDRESS(6,21))+INDIRECT(ADDRESS(4,22))-INDIRECT(ADDRESS(5,22))</f>
        <v>0</v>
      </c>
      <c r="W6">
        <f>INDIRECT(ADDRESS(6,22))+INDIRECT(ADDRESS(4,23))-INDIRECT(ADDRESS(5,23))</f>
        <v>0</v>
      </c>
      <c r="X6">
        <f>INDIRECT(ADDRESS(6,23))+INDIRECT(ADDRESS(4,24))-INDIRECT(ADDRESS(5,24))</f>
        <v>0</v>
      </c>
      <c r="Y6">
        <f>INDIRECT(ADDRESS(6,24))+INDIRECT(ADDRESS(4,25))-INDIRECT(ADDRESS(5,25))</f>
        <v>0</v>
      </c>
      <c r="Z6">
        <f>INDIRECT(ADDRESS(6,25))+INDIRECT(ADDRESS(4,26))-INDIRECT(ADDRESS(5,26))</f>
        <v>0</v>
      </c>
      <c r="AA6">
        <f>INDIRECT(ADDRESS(6,26))+INDIRECT(ADDRESS(4,27))-INDIRECT(ADDRESS(5,27))</f>
        <v>0</v>
      </c>
      <c r="AB6">
        <f>INDIRECT(ADDRESS(6,27))+INDIRECT(ADDRESS(4,28))-INDIRECT(ADDRESS(5,28))</f>
        <v>0</v>
      </c>
      <c r="AC6">
        <f>INDIRECT(ADDRESS(6,28))+INDIRECT(ADDRESS(4,29))-INDIRECT(ADDRESS(5,29))</f>
        <v>0</v>
      </c>
      <c r="AD6">
        <f>INDIRECT(ADDRESS(6,29))+INDIRECT(ADDRESS(4,30))-INDIRECT(ADDRESS(5,30))</f>
        <v>0</v>
      </c>
      <c r="AE6">
        <f>INDIRECT(ADDRESS(6,30))+INDIRECT(ADDRESS(4,31))-INDIRECT(ADDRESS(5,31))</f>
        <v>0</v>
      </c>
      <c r="AF6">
        <f>INDIRECT(ADDRESS(6,31))+INDIRECT(ADDRESS(4,32))-INDIRECT(ADDRESS(5,32))</f>
        <v>0</v>
      </c>
      <c r="AG6">
        <f>INDIRECT(ADDRESS(6,32))+INDIRECT(ADDRESS(4,33))-INDIRECT(ADDRESS(5,33))</f>
        <v>0</v>
      </c>
      <c r="AH6">
        <f>INDIRECT(ADDRESS(6,33))+INDIRECT(ADDRESS(4,34))-INDIRECT(ADDRESS(5,34))</f>
        <v>0</v>
      </c>
      <c r="AI6">
        <f>INDIRECT(ADDRESS(6,34))+INDIRECT(ADDRESS(4,35))-INDIRECT(ADDRESS(5,35))</f>
        <v>0</v>
      </c>
      <c r="AJ6">
        <f>INDIRECT(ADDRESS(6,35))+INDIRECT(ADDRESS(4,36))-INDIRECT(ADDRESS(5,36))</f>
        <v>0</v>
      </c>
      <c r="AK6">
        <f>INDIRECT(ADDRESS(6,36))+INDIRECT(ADDRESS(4,37))-INDIRECT(ADDRESS(5,37))</f>
        <v>0</v>
      </c>
      <c r="AL6">
        <f>INDIRECT(ADDRESS(6,37))+INDIRECT(ADDRESS(4,38))-INDIRECT(ADDRESS(5,38))</f>
        <v>0</v>
      </c>
      <c r="AM6">
        <f>INDIRECT(ADDRESS(6,38))+INDIRECT(ADDRESS(4,39))-INDIRECT(ADDRESS(5,39))</f>
        <v>0</v>
      </c>
      <c r="AN6">
        <f>INDIRECT(ADDRESS(6,39))+INDIRECT(ADDRESS(4,40))-INDIRECT(ADDRESS(5,40))</f>
        <v>0</v>
      </c>
      <c r="AO6">
        <f>SUM(INDIRECT(ADDRESS(5,8)):INDIRECT(ADDRESS(5,39)))</f>
        <v>0</v>
      </c>
    </row>
    <row r="7" spans="1:41">
      <c r="A7" t="s">
        <v>180</v>
      </c>
      <c r="B7" t="s">
        <v>181</v>
      </c>
      <c r="C7" t="s">
        <v>182</v>
      </c>
      <c r="E7">
        <v>1</v>
      </c>
      <c r="F7" t="s">
        <v>11</v>
      </c>
      <c r="I7" t="s">
        <v>177</v>
      </c>
    </row>
    <row r="8" spans="1:41">
      <c r="I8" t="s">
        <v>178</v>
      </c>
      <c r="J8">
        <f>IFERROR(VLOOKUP("927-050000-200",B:AB,1+8,0),0)</f>
        <v>0</v>
      </c>
      <c r="K8">
        <f>IFERROR(VLOOKUP("927-050000-200",B:AB,2+8,0),0)</f>
        <v>0</v>
      </c>
      <c r="L8">
        <f>IFERROR(VLOOKUP("927-050000-200",B:AB,3+8,0),0)</f>
        <v>0</v>
      </c>
      <c r="M8">
        <f>IFERROR(VLOOKUP("927-050000-200",B:AB,4+8,0),0)</f>
        <v>0</v>
      </c>
      <c r="N8">
        <f>IFERROR(VLOOKUP("927-050000-200",B:AB,5+8,0),0)</f>
        <v>0</v>
      </c>
      <c r="O8">
        <f>IFERROR(VLOOKUP("927-050000-200",B:AB,6+8,0),0)</f>
        <v>0</v>
      </c>
      <c r="P8">
        <f>IFERROR(VLOOKUP("927-050000-200",B:AB,7+8,0),0)</f>
        <v>0</v>
      </c>
      <c r="Q8">
        <f>IFERROR(VLOOKUP("927-050000-200",B:AB,8+8,0),0)</f>
        <v>0</v>
      </c>
      <c r="R8">
        <f>IFERROR(VLOOKUP("927-050000-200",B:AB,9+8,0),0)</f>
        <v>0</v>
      </c>
      <c r="S8">
        <f>IFERROR(VLOOKUP("927-050000-200",B:AB,10+8,0),0)</f>
        <v>0</v>
      </c>
      <c r="T8">
        <f>IFERROR(VLOOKUP("927-050000-200",B:AB,11+8,0),0)</f>
        <v>0</v>
      </c>
      <c r="U8">
        <f>IFERROR(VLOOKUP("927-050000-200",B:AB,12+8,0),0)</f>
        <v>0</v>
      </c>
      <c r="V8">
        <f>IFERROR(VLOOKUP("927-050000-200",B:AB,13+8,0),0)</f>
        <v>0</v>
      </c>
      <c r="W8">
        <f>IFERROR(VLOOKUP("927-050000-200",B:AB,14+8,0),0)</f>
        <v>0</v>
      </c>
      <c r="X8">
        <f>IFERROR(VLOOKUP("927-050000-200",B:AB,15+8,0),0)</f>
        <v>0</v>
      </c>
      <c r="Y8">
        <f>IFERROR(VLOOKUP("927-050000-200",B:AB,16+8,0),0)</f>
        <v>0</v>
      </c>
      <c r="Z8">
        <f>IFERROR(VLOOKUP("927-050000-200",B:AB,17+8,0),0)</f>
        <v>0</v>
      </c>
      <c r="AA8">
        <f>IFERROR(VLOOKUP("927-050000-200",B:AB,18+8,0),0)</f>
        <v>0</v>
      </c>
      <c r="AB8">
        <f>IFERROR(VLOOKUP("927-050000-200",B:AB,19+8,0),0)</f>
        <v>0</v>
      </c>
      <c r="AC8">
        <f>IFERROR(VLOOKUP("927-050000-200",B:AB,20+8,0),0)</f>
        <v>0</v>
      </c>
      <c r="AD8">
        <f>IFERROR(VLOOKUP("927-050000-200",B:AB,21+8,0),0)</f>
        <v>0</v>
      </c>
      <c r="AE8">
        <f>IFERROR(VLOOKUP("927-050000-200",B:AB,22+8,0),0)</f>
        <v>0</v>
      </c>
      <c r="AF8">
        <f>IFERROR(VLOOKUP("927-050000-200",B:AB,23+8,0),0)</f>
        <v>0</v>
      </c>
      <c r="AG8">
        <f>IFERROR(VLOOKUP("927-050000-200",B:AB,24+8,0),0)</f>
        <v>0</v>
      </c>
      <c r="AH8">
        <f>IFERROR(VLOOKUP("927-050000-200",B:AB,25+8,0),0)</f>
        <v>0</v>
      </c>
      <c r="AI8">
        <f>IFERROR(VLOOKUP("927-050000-200",B:AB,26+8,0),0)</f>
        <v>0</v>
      </c>
      <c r="AJ8">
        <f>IFERROR(VLOOKUP("927-050000-200",B:AB,27+8,0),0)</f>
        <v>0</v>
      </c>
      <c r="AK8">
        <f>IFERROR(VLOOKUP("927-050000-200",B:AB,28+8,0),0)</f>
        <v>0</v>
      </c>
      <c r="AL8">
        <f>IFERROR(VLOOKUP("927-050000-200",B:AB,29+8,0),0)</f>
        <v>0</v>
      </c>
      <c r="AM8">
        <f>IFERROR(VLOOKUP("927-050000-200",B:AB,30+8,0),0)</f>
        <v>0</v>
      </c>
      <c r="AN8">
        <f>IFERROR(VLOOKUP("927-050000-200",B:AB,31+8,0),0)</f>
        <v>0</v>
      </c>
      <c r="AO8">
        <f>SUN(INDIRECT(ADDRESS(7,8)):INDIRECT(ADDRESS(7,39)))</f>
        <v>0</v>
      </c>
    </row>
    <row r="9" spans="1:41">
      <c r="H9" t="s">
        <v>179</v>
      </c>
      <c r="J9">
        <f>INDIRECT(ADDRESS(9,9))+INDIRECT(ADDRESS(7,10))-INDIRECT(ADDRESS(8,10))</f>
        <v>0</v>
      </c>
      <c r="K9">
        <f>INDIRECT(ADDRESS(9,10))+INDIRECT(ADDRESS(7,11))-INDIRECT(ADDRESS(8,11))</f>
        <v>0</v>
      </c>
      <c r="L9">
        <f>INDIRECT(ADDRESS(9,11))+INDIRECT(ADDRESS(7,12))-INDIRECT(ADDRESS(8,12))</f>
        <v>0</v>
      </c>
      <c r="M9">
        <f>INDIRECT(ADDRESS(9,12))+INDIRECT(ADDRESS(7,13))-INDIRECT(ADDRESS(8,13))</f>
        <v>0</v>
      </c>
      <c r="N9">
        <f>INDIRECT(ADDRESS(9,13))+INDIRECT(ADDRESS(7,14))-INDIRECT(ADDRESS(8,14))</f>
        <v>0</v>
      </c>
      <c r="O9">
        <f>INDIRECT(ADDRESS(9,14))+INDIRECT(ADDRESS(7,15))-INDIRECT(ADDRESS(8,15))</f>
        <v>0</v>
      </c>
      <c r="P9">
        <f>INDIRECT(ADDRESS(9,15))+INDIRECT(ADDRESS(7,16))-INDIRECT(ADDRESS(8,16))</f>
        <v>0</v>
      </c>
      <c r="Q9">
        <f>INDIRECT(ADDRESS(9,16))+INDIRECT(ADDRESS(7,17))-INDIRECT(ADDRESS(8,17))</f>
        <v>0</v>
      </c>
      <c r="R9">
        <f>INDIRECT(ADDRESS(9,17))+INDIRECT(ADDRESS(7,18))-INDIRECT(ADDRESS(8,18))</f>
        <v>0</v>
      </c>
      <c r="S9">
        <f>INDIRECT(ADDRESS(9,18))+INDIRECT(ADDRESS(7,19))-INDIRECT(ADDRESS(8,19))</f>
        <v>0</v>
      </c>
      <c r="T9">
        <f>INDIRECT(ADDRESS(9,19))+INDIRECT(ADDRESS(7,20))-INDIRECT(ADDRESS(8,20))</f>
        <v>0</v>
      </c>
      <c r="U9">
        <f>INDIRECT(ADDRESS(9,20))+INDIRECT(ADDRESS(7,21))-INDIRECT(ADDRESS(8,21))</f>
        <v>0</v>
      </c>
      <c r="V9">
        <f>INDIRECT(ADDRESS(9,21))+INDIRECT(ADDRESS(7,22))-INDIRECT(ADDRESS(8,22))</f>
        <v>0</v>
      </c>
      <c r="W9">
        <f>INDIRECT(ADDRESS(9,22))+INDIRECT(ADDRESS(7,23))-INDIRECT(ADDRESS(8,23))</f>
        <v>0</v>
      </c>
      <c r="X9">
        <f>INDIRECT(ADDRESS(9,23))+INDIRECT(ADDRESS(7,24))-INDIRECT(ADDRESS(8,24))</f>
        <v>0</v>
      </c>
      <c r="Y9">
        <f>INDIRECT(ADDRESS(9,24))+INDIRECT(ADDRESS(7,25))-INDIRECT(ADDRESS(8,25))</f>
        <v>0</v>
      </c>
      <c r="Z9">
        <f>INDIRECT(ADDRESS(9,25))+INDIRECT(ADDRESS(7,26))-INDIRECT(ADDRESS(8,26))</f>
        <v>0</v>
      </c>
      <c r="AA9">
        <f>INDIRECT(ADDRESS(9,26))+INDIRECT(ADDRESS(7,27))-INDIRECT(ADDRESS(8,27))</f>
        <v>0</v>
      </c>
      <c r="AB9">
        <f>INDIRECT(ADDRESS(9,27))+INDIRECT(ADDRESS(7,28))-INDIRECT(ADDRESS(8,28))</f>
        <v>0</v>
      </c>
      <c r="AC9">
        <f>INDIRECT(ADDRESS(9,28))+INDIRECT(ADDRESS(7,29))-INDIRECT(ADDRESS(8,29))</f>
        <v>0</v>
      </c>
      <c r="AD9">
        <f>INDIRECT(ADDRESS(9,29))+INDIRECT(ADDRESS(7,30))-INDIRECT(ADDRESS(8,30))</f>
        <v>0</v>
      </c>
      <c r="AE9">
        <f>INDIRECT(ADDRESS(9,30))+INDIRECT(ADDRESS(7,31))-INDIRECT(ADDRESS(8,31))</f>
        <v>0</v>
      </c>
      <c r="AF9">
        <f>INDIRECT(ADDRESS(9,31))+INDIRECT(ADDRESS(7,32))-INDIRECT(ADDRESS(8,32))</f>
        <v>0</v>
      </c>
      <c r="AG9">
        <f>INDIRECT(ADDRESS(9,32))+INDIRECT(ADDRESS(7,33))-INDIRECT(ADDRESS(8,33))</f>
        <v>0</v>
      </c>
      <c r="AH9">
        <f>INDIRECT(ADDRESS(9,33))+INDIRECT(ADDRESS(7,34))-INDIRECT(ADDRESS(8,34))</f>
        <v>0</v>
      </c>
      <c r="AI9">
        <f>INDIRECT(ADDRESS(9,34))+INDIRECT(ADDRESS(7,35))-INDIRECT(ADDRESS(8,35))</f>
        <v>0</v>
      </c>
      <c r="AJ9">
        <f>INDIRECT(ADDRESS(9,35))+INDIRECT(ADDRESS(7,36))-INDIRECT(ADDRESS(8,36))</f>
        <v>0</v>
      </c>
      <c r="AK9">
        <f>INDIRECT(ADDRESS(9,36))+INDIRECT(ADDRESS(7,37))-INDIRECT(ADDRESS(8,37))</f>
        <v>0</v>
      </c>
      <c r="AL9">
        <f>INDIRECT(ADDRESS(9,37))+INDIRECT(ADDRESS(7,38))-INDIRECT(ADDRESS(8,38))</f>
        <v>0</v>
      </c>
      <c r="AM9">
        <f>INDIRECT(ADDRESS(9,38))+INDIRECT(ADDRESS(7,39))-INDIRECT(ADDRESS(8,39))</f>
        <v>0</v>
      </c>
      <c r="AN9">
        <f>INDIRECT(ADDRESS(9,39))+INDIRECT(ADDRESS(7,40))-INDIRECT(ADDRESS(8,40))</f>
        <v>0</v>
      </c>
      <c r="AO9">
        <f>SUM(INDIRECT(ADDRESS(8,8)):INDIRECT(ADDRESS(8,39)))</f>
        <v>0</v>
      </c>
    </row>
    <row r="10" spans="1:41">
      <c r="A10" t="s">
        <v>180</v>
      </c>
      <c r="B10" t="s">
        <v>183</v>
      </c>
      <c r="C10" t="s">
        <v>184</v>
      </c>
      <c r="E10">
        <v>1</v>
      </c>
      <c r="F10" t="s">
        <v>11</v>
      </c>
      <c r="I10" t="s">
        <v>177</v>
      </c>
    </row>
    <row r="11" spans="1:41">
      <c r="I11" t="s">
        <v>178</v>
      </c>
      <c r="J11">
        <f>IFERROR(VLOOKUP("927-050000-200",B:AB,1+8,0),0)</f>
        <v>0</v>
      </c>
      <c r="K11">
        <f>IFERROR(VLOOKUP("927-050000-200",B:AB,2+8,0),0)</f>
        <v>0</v>
      </c>
      <c r="L11">
        <f>IFERROR(VLOOKUP("927-050000-200",B:AB,3+8,0),0)</f>
        <v>0</v>
      </c>
      <c r="M11">
        <f>IFERROR(VLOOKUP("927-050000-200",B:AB,4+8,0),0)</f>
        <v>0</v>
      </c>
      <c r="N11">
        <f>IFERROR(VLOOKUP("927-050000-200",B:AB,5+8,0),0)</f>
        <v>0</v>
      </c>
      <c r="O11">
        <f>IFERROR(VLOOKUP("927-050000-200",B:AB,6+8,0),0)</f>
        <v>0</v>
      </c>
      <c r="P11">
        <f>IFERROR(VLOOKUP("927-050000-200",B:AB,7+8,0),0)</f>
        <v>0</v>
      </c>
      <c r="Q11">
        <f>IFERROR(VLOOKUP("927-050000-200",B:AB,8+8,0),0)</f>
        <v>0</v>
      </c>
      <c r="R11">
        <f>IFERROR(VLOOKUP("927-050000-200",B:AB,9+8,0),0)</f>
        <v>0</v>
      </c>
      <c r="S11">
        <f>IFERROR(VLOOKUP("927-050000-200",B:AB,10+8,0),0)</f>
        <v>0</v>
      </c>
      <c r="T11">
        <f>IFERROR(VLOOKUP("927-050000-200",B:AB,11+8,0),0)</f>
        <v>0</v>
      </c>
      <c r="U11">
        <f>IFERROR(VLOOKUP("927-050000-200",B:AB,12+8,0),0)</f>
        <v>0</v>
      </c>
      <c r="V11">
        <f>IFERROR(VLOOKUP("927-050000-200",B:AB,13+8,0),0)</f>
        <v>0</v>
      </c>
      <c r="W11">
        <f>IFERROR(VLOOKUP("927-050000-200",B:AB,14+8,0),0)</f>
        <v>0</v>
      </c>
      <c r="X11">
        <f>IFERROR(VLOOKUP("927-050000-200",B:AB,15+8,0),0)</f>
        <v>0</v>
      </c>
      <c r="Y11">
        <f>IFERROR(VLOOKUP("927-050000-200",B:AB,16+8,0),0)</f>
        <v>0</v>
      </c>
      <c r="Z11">
        <f>IFERROR(VLOOKUP("927-050000-200",B:AB,17+8,0),0)</f>
        <v>0</v>
      </c>
      <c r="AA11">
        <f>IFERROR(VLOOKUP("927-050000-200",B:AB,18+8,0),0)</f>
        <v>0</v>
      </c>
      <c r="AB11">
        <f>IFERROR(VLOOKUP("927-050000-200",B:AB,19+8,0),0)</f>
        <v>0</v>
      </c>
      <c r="AC11">
        <f>IFERROR(VLOOKUP("927-050000-200",B:AB,20+8,0),0)</f>
        <v>0</v>
      </c>
      <c r="AD11">
        <f>IFERROR(VLOOKUP("927-050000-200",B:AB,21+8,0),0)</f>
        <v>0</v>
      </c>
      <c r="AE11">
        <f>IFERROR(VLOOKUP("927-050000-200",B:AB,22+8,0),0)</f>
        <v>0</v>
      </c>
      <c r="AF11">
        <f>IFERROR(VLOOKUP("927-050000-200",B:AB,23+8,0),0)</f>
        <v>0</v>
      </c>
      <c r="AG11">
        <f>IFERROR(VLOOKUP("927-050000-200",B:AB,24+8,0),0)</f>
        <v>0</v>
      </c>
      <c r="AH11">
        <f>IFERROR(VLOOKUP("927-050000-200",B:AB,25+8,0),0)</f>
        <v>0</v>
      </c>
      <c r="AI11">
        <f>IFERROR(VLOOKUP("927-050000-200",B:AB,26+8,0),0)</f>
        <v>0</v>
      </c>
      <c r="AJ11">
        <f>IFERROR(VLOOKUP("927-050000-200",B:AB,27+8,0),0)</f>
        <v>0</v>
      </c>
      <c r="AK11">
        <f>IFERROR(VLOOKUP("927-050000-200",B:AB,28+8,0),0)</f>
        <v>0</v>
      </c>
      <c r="AL11">
        <f>IFERROR(VLOOKUP("927-050000-200",B:AB,29+8,0),0)</f>
        <v>0</v>
      </c>
      <c r="AM11">
        <f>IFERROR(VLOOKUP("927-050000-200",B:AB,30+8,0),0)</f>
        <v>0</v>
      </c>
      <c r="AN11">
        <f>IFERROR(VLOOKUP("927-050000-200",B:AB,31+8,0),0)</f>
        <v>0</v>
      </c>
      <c r="AO11">
        <f>SUN(INDIRECT(ADDRESS(10,8)):INDIRECT(ADDRESS(10,39)))</f>
        <v>0</v>
      </c>
    </row>
    <row r="12" spans="1:41">
      <c r="H12" t="s">
        <v>179</v>
      </c>
      <c r="J12">
        <f>INDIRECT(ADDRESS(12,9))+INDIRECT(ADDRESS(10,10))-INDIRECT(ADDRESS(11,10))</f>
        <v>0</v>
      </c>
      <c r="K12">
        <f>INDIRECT(ADDRESS(12,10))+INDIRECT(ADDRESS(10,11))-INDIRECT(ADDRESS(11,11))</f>
        <v>0</v>
      </c>
      <c r="L12">
        <f>INDIRECT(ADDRESS(12,11))+INDIRECT(ADDRESS(10,12))-INDIRECT(ADDRESS(11,12))</f>
        <v>0</v>
      </c>
      <c r="M12">
        <f>INDIRECT(ADDRESS(12,12))+INDIRECT(ADDRESS(10,13))-INDIRECT(ADDRESS(11,13))</f>
        <v>0</v>
      </c>
      <c r="N12">
        <f>INDIRECT(ADDRESS(12,13))+INDIRECT(ADDRESS(10,14))-INDIRECT(ADDRESS(11,14))</f>
        <v>0</v>
      </c>
      <c r="O12">
        <f>INDIRECT(ADDRESS(12,14))+INDIRECT(ADDRESS(10,15))-INDIRECT(ADDRESS(11,15))</f>
        <v>0</v>
      </c>
      <c r="P12">
        <f>INDIRECT(ADDRESS(12,15))+INDIRECT(ADDRESS(10,16))-INDIRECT(ADDRESS(11,16))</f>
        <v>0</v>
      </c>
      <c r="Q12">
        <f>INDIRECT(ADDRESS(12,16))+INDIRECT(ADDRESS(10,17))-INDIRECT(ADDRESS(11,17))</f>
        <v>0</v>
      </c>
      <c r="R12">
        <f>INDIRECT(ADDRESS(12,17))+INDIRECT(ADDRESS(10,18))-INDIRECT(ADDRESS(11,18))</f>
        <v>0</v>
      </c>
      <c r="S12">
        <f>INDIRECT(ADDRESS(12,18))+INDIRECT(ADDRESS(10,19))-INDIRECT(ADDRESS(11,19))</f>
        <v>0</v>
      </c>
      <c r="T12">
        <f>INDIRECT(ADDRESS(12,19))+INDIRECT(ADDRESS(10,20))-INDIRECT(ADDRESS(11,20))</f>
        <v>0</v>
      </c>
      <c r="U12">
        <f>INDIRECT(ADDRESS(12,20))+INDIRECT(ADDRESS(10,21))-INDIRECT(ADDRESS(11,21))</f>
        <v>0</v>
      </c>
      <c r="V12">
        <f>INDIRECT(ADDRESS(12,21))+INDIRECT(ADDRESS(10,22))-INDIRECT(ADDRESS(11,22))</f>
        <v>0</v>
      </c>
      <c r="W12">
        <f>INDIRECT(ADDRESS(12,22))+INDIRECT(ADDRESS(10,23))-INDIRECT(ADDRESS(11,23))</f>
        <v>0</v>
      </c>
      <c r="X12">
        <f>INDIRECT(ADDRESS(12,23))+INDIRECT(ADDRESS(10,24))-INDIRECT(ADDRESS(11,24))</f>
        <v>0</v>
      </c>
      <c r="Y12">
        <f>INDIRECT(ADDRESS(12,24))+INDIRECT(ADDRESS(10,25))-INDIRECT(ADDRESS(11,25))</f>
        <v>0</v>
      </c>
      <c r="Z12">
        <f>INDIRECT(ADDRESS(12,25))+INDIRECT(ADDRESS(10,26))-INDIRECT(ADDRESS(11,26))</f>
        <v>0</v>
      </c>
      <c r="AA12">
        <f>INDIRECT(ADDRESS(12,26))+INDIRECT(ADDRESS(10,27))-INDIRECT(ADDRESS(11,27))</f>
        <v>0</v>
      </c>
      <c r="AB12">
        <f>INDIRECT(ADDRESS(12,27))+INDIRECT(ADDRESS(10,28))-INDIRECT(ADDRESS(11,28))</f>
        <v>0</v>
      </c>
      <c r="AC12">
        <f>INDIRECT(ADDRESS(12,28))+INDIRECT(ADDRESS(10,29))-INDIRECT(ADDRESS(11,29))</f>
        <v>0</v>
      </c>
      <c r="AD12">
        <f>INDIRECT(ADDRESS(12,29))+INDIRECT(ADDRESS(10,30))-INDIRECT(ADDRESS(11,30))</f>
        <v>0</v>
      </c>
      <c r="AE12">
        <f>INDIRECT(ADDRESS(12,30))+INDIRECT(ADDRESS(10,31))-INDIRECT(ADDRESS(11,31))</f>
        <v>0</v>
      </c>
      <c r="AF12">
        <f>INDIRECT(ADDRESS(12,31))+INDIRECT(ADDRESS(10,32))-INDIRECT(ADDRESS(11,32))</f>
        <v>0</v>
      </c>
      <c r="AG12">
        <f>INDIRECT(ADDRESS(12,32))+INDIRECT(ADDRESS(10,33))-INDIRECT(ADDRESS(11,33))</f>
        <v>0</v>
      </c>
      <c r="AH12">
        <f>INDIRECT(ADDRESS(12,33))+INDIRECT(ADDRESS(10,34))-INDIRECT(ADDRESS(11,34))</f>
        <v>0</v>
      </c>
      <c r="AI12">
        <f>INDIRECT(ADDRESS(12,34))+INDIRECT(ADDRESS(10,35))-INDIRECT(ADDRESS(11,35))</f>
        <v>0</v>
      </c>
      <c r="AJ12">
        <f>INDIRECT(ADDRESS(12,35))+INDIRECT(ADDRESS(10,36))-INDIRECT(ADDRESS(11,36))</f>
        <v>0</v>
      </c>
      <c r="AK12">
        <f>INDIRECT(ADDRESS(12,36))+INDIRECT(ADDRESS(10,37))-INDIRECT(ADDRESS(11,37))</f>
        <v>0</v>
      </c>
      <c r="AL12">
        <f>INDIRECT(ADDRESS(12,37))+INDIRECT(ADDRESS(10,38))-INDIRECT(ADDRESS(11,38))</f>
        <v>0</v>
      </c>
      <c r="AM12">
        <f>INDIRECT(ADDRESS(12,38))+INDIRECT(ADDRESS(10,39))-INDIRECT(ADDRESS(11,39))</f>
        <v>0</v>
      </c>
      <c r="AN12">
        <f>INDIRECT(ADDRESS(12,39))+INDIRECT(ADDRESS(10,40))-INDIRECT(ADDRESS(11,40))</f>
        <v>0</v>
      </c>
      <c r="AO12">
        <f>SUM(INDIRECT(ADDRESS(11,8)):INDIRECT(ADDRESS(11,39)))</f>
        <v>0</v>
      </c>
    </row>
    <row r="13" spans="1:41">
      <c r="A13" t="s">
        <v>185</v>
      </c>
      <c r="B13" t="s">
        <v>186</v>
      </c>
      <c r="C13" t="s">
        <v>187</v>
      </c>
      <c r="E13">
        <v>1</v>
      </c>
      <c r="F13" t="s">
        <v>11</v>
      </c>
      <c r="I13" t="s">
        <v>177</v>
      </c>
    </row>
    <row r="14" spans="1:41">
      <c r="I14" t="s">
        <v>178</v>
      </c>
      <c r="J14">
        <f>IFERROR(VLOOKUP("927-050000-200",B:AB,1+8,0),0)</f>
        <v>0</v>
      </c>
      <c r="K14">
        <f>IFERROR(VLOOKUP("927-050000-200",B:AB,2+8,0),0)</f>
        <v>0</v>
      </c>
      <c r="L14">
        <f>IFERROR(VLOOKUP("927-050000-200",B:AB,3+8,0),0)</f>
        <v>0</v>
      </c>
      <c r="M14">
        <f>IFERROR(VLOOKUP("927-050000-200",B:AB,4+8,0),0)</f>
        <v>0</v>
      </c>
      <c r="N14">
        <f>IFERROR(VLOOKUP("927-050000-200",B:AB,5+8,0),0)</f>
        <v>0</v>
      </c>
      <c r="O14">
        <f>IFERROR(VLOOKUP("927-050000-200",B:AB,6+8,0),0)</f>
        <v>0</v>
      </c>
      <c r="P14">
        <f>IFERROR(VLOOKUP("927-050000-200",B:AB,7+8,0),0)</f>
        <v>0</v>
      </c>
      <c r="Q14">
        <f>IFERROR(VLOOKUP("927-050000-200",B:AB,8+8,0),0)</f>
        <v>0</v>
      </c>
      <c r="R14">
        <f>IFERROR(VLOOKUP("927-050000-200",B:AB,9+8,0),0)</f>
        <v>0</v>
      </c>
      <c r="S14">
        <f>IFERROR(VLOOKUP("927-050000-200",B:AB,10+8,0),0)</f>
        <v>0</v>
      </c>
      <c r="T14">
        <f>IFERROR(VLOOKUP("927-050000-200",B:AB,11+8,0),0)</f>
        <v>0</v>
      </c>
      <c r="U14">
        <f>IFERROR(VLOOKUP("927-050000-200",B:AB,12+8,0),0)</f>
        <v>0</v>
      </c>
      <c r="V14">
        <f>IFERROR(VLOOKUP("927-050000-200",B:AB,13+8,0),0)</f>
        <v>0</v>
      </c>
      <c r="W14">
        <f>IFERROR(VLOOKUP("927-050000-200",B:AB,14+8,0),0)</f>
        <v>0</v>
      </c>
      <c r="X14">
        <f>IFERROR(VLOOKUP("927-050000-200",B:AB,15+8,0),0)</f>
        <v>0</v>
      </c>
      <c r="Y14">
        <f>IFERROR(VLOOKUP("927-050000-200",B:AB,16+8,0),0)</f>
        <v>0</v>
      </c>
      <c r="Z14">
        <f>IFERROR(VLOOKUP("927-050000-200",B:AB,17+8,0),0)</f>
        <v>0</v>
      </c>
      <c r="AA14">
        <f>IFERROR(VLOOKUP("927-050000-200",B:AB,18+8,0),0)</f>
        <v>0</v>
      </c>
      <c r="AB14">
        <f>IFERROR(VLOOKUP("927-050000-200",B:AB,19+8,0),0)</f>
        <v>0</v>
      </c>
      <c r="AC14">
        <f>IFERROR(VLOOKUP("927-050000-200",B:AB,20+8,0),0)</f>
        <v>0</v>
      </c>
      <c r="AD14">
        <f>IFERROR(VLOOKUP("927-050000-200",B:AB,21+8,0),0)</f>
        <v>0</v>
      </c>
      <c r="AE14">
        <f>IFERROR(VLOOKUP("927-050000-200",B:AB,22+8,0),0)</f>
        <v>0</v>
      </c>
      <c r="AF14">
        <f>IFERROR(VLOOKUP("927-050000-200",B:AB,23+8,0),0)</f>
        <v>0</v>
      </c>
      <c r="AG14">
        <f>IFERROR(VLOOKUP("927-050000-200",B:AB,24+8,0),0)</f>
        <v>0</v>
      </c>
      <c r="AH14">
        <f>IFERROR(VLOOKUP("927-050000-200",B:AB,25+8,0),0)</f>
        <v>0</v>
      </c>
      <c r="AI14">
        <f>IFERROR(VLOOKUP("927-050000-200",B:AB,26+8,0),0)</f>
        <v>0</v>
      </c>
      <c r="AJ14">
        <f>IFERROR(VLOOKUP("927-050000-200",B:AB,27+8,0),0)</f>
        <v>0</v>
      </c>
      <c r="AK14">
        <f>IFERROR(VLOOKUP("927-050000-200",B:AB,28+8,0),0)</f>
        <v>0</v>
      </c>
      <c r="AL14">
        <f>IFERROR(VLOOKUP("927-050000-200",B:AB,29+8,0),0)</f>
        <v>0</v>
      </c>
      <c r="AM14">
        <f>IFERROR(VLOOKUP("927-050000-200",B:AB,30+8,0),0)</f>
        <v>0</v>
      </c>
      <c r="AN14">
        <f>IFERROR(VLOOKUP("927-050000-200",B:AB,31+8,0),0)</f>
        <v>0</v>
      </c>
      <c r="AO14">
        <f>SUN(INDIRECT(ADDRESS(13,8)):INDIRECT(ADDRESS(13,39)))</f>
        <v>0</v>
      </c>
    </row>
    <row r="15" spans="1:41">
      <c r="H15" t="s">
        <v>179</v>
      </c>
      <c r="J15">
        <f>INDIRECT(ADDRESS(15,9))+INDIRECT(ADDRESS(13,10))-INDIRECT(ADDRESS(14,10))</f>
        <v>0</v>
      </c>
      <c r="K15">
        <f>INDIRECT(ADDRESS(15,10))+INDIRECT(ADDRESS(13,11))-INDIRECT(ADDRESS(14,11))</f>
        <v>0</v>
      </c>
      <c r="L15">
        <f>INDIRECT(ADDRESS(15,11))+INDIRECT(ADDRESS(13,12))-INDIRECT(ADDRESS(14,12))</f>
        <v>0</v>
      </c>
      <c r="M15">
        <f>INDIRECT(ADDRESS(15,12))+INDIRECT(ADDRESS(13,13))-INDIRECT(ADDRESS(14,13))</f>
        <v>0</v>
      </c>
      <c r="N15">
        <f>INDIRECT(ADDRESS(15,13))+INDIRECT(ADDRESS(13,14))-INDIRECT(ADDRESS(14,14))</f>
        <v>0</v>
      </c>
      <c r="O15">
        <f>INDIRECT(ADDRESS(15,14))+INDIRECT(ADDRESS(13,15))-INDIRECT(ADDRESS(14,15))</f>
        <v>0</v>
      </c>
      <c r="P15">
        <f>INDIRECT(ADDRESS(15,15))+INDIRECT(ADDRESS(13,16))-INDIRECT(ADDRESS(14,16))</f>
        <v>0</v>
      </c>
      <c r="Q15">
        <f>INDIRECT(ADDRESS(15,16))+INDIRECT(ADDRESS(13,17))-INDIRECT(ADDRESS(14,17))</f>
        <v>0</v>
      </c>
      <c r="R15">
        <f>INDIRECT(ADDRESS(15,17))+INDIRECT(ADDRESS(13,18))-INDIRECT(ADDRESS(14,18))</f>
        <v>0</v>
      </c>
      <c r="S15">
        <f>INDIRECT(ADDRESS(15,18))+INDIRECT(ADDRESS(13,19))-INDIRECT(ADDRESS(14,19))</f>
        <v>0</v>
      </c>
      <c r="T15">
        <f>INDIRECT(ADDRESS(15,19))+INDIRECT(ADDRESS(13,20))-INDIRECT(ADDRESS(14,20))</f>
        <v>0</v>
      </c>
      <c r="U15">
        <f>INDIRECT(ADDRESS(15,20))+INDIRECT(ADDRESS(13,21))-INDIRECT(ADDRESS(14,21))</f>
        <v>0</v>
      </c>
      <c r="V15">
        <f>INDIRECT(ADDRESS(15,21))+INDIRECT(ADDRESS(13,22))-INDIRECT(ADDRESS(14,22))</f>
        <v>0</v>
      </c>
      <c r="W15">
        <f>INDIRECT(ADDRESS(15,22))+INDIRECT(ADDRESS(13,23))-INDIRECT(ADDRESS(14,23))</f>
        <v>0</v>
      </c>
      <c r="X15">
        <f>INDIRECT(ADDRESS(15,23))+INDIRECT(ADDRESS(13,24))-INDIRECT(ADDRESS(14,24))</f>
        <v>0</v>
      </c>
      <c r="Y15">
        <f>INDIRECT(ADDRESS(15,24))+INDIRECT(ADDRESS(13,25))-INDIRECT(ADDRESS(14,25))</f>
        <v>0</v>
      </c>
      <c r="Z15">
        <f>INDIRECT(ADDRESS(15,25))+INDIRECT(ADDRESS(13,26))-INDIRECT(ADDRESS(14,26))</f>
        <v>0</v>
      </c>
      <c r="AA15">
        <f>INDIRECT(ADDRESS(15,26))+INDIRECT(ADDRESS(13,27))-INDIRECT(ADDRESS(14,27))</f>
        <v>0</v>
      </c>
      <c r="AB15">
        <f>INDIRECT(ADDRESS(15,27))+INDIRECT(ADDRESS(13,28))-INDIRECT(ADDRESS(14,28))</f>
        <v>0</v>
      </c>
      <c r="AC15">
        <f>INDIRECT(ADDRESS(15,28))+INDIRECT(ADDRESS(13,29))-INDIRECT(ADDRESS(14,29))</f>
        <v>0</v>
      </c>
      <c r="AD15">
        <f>INDIRECT(ADDRESS(15,29))+INDIRECT(ADDRESS(13,30))-INDIRECT(ADDRESS(14,30))</f>
        <v>0</v>
      </c>
      <c r="AE15">
        <f>INDIRECT(ADDRESS(15,30))+INDIRECT(ADDRESS(13,31))-INDIRECT(ADDRESS(14,31))</f>
        <v>0</v>
      </c>
      <c r="AF15">
        <f>INDIRECT(ADDRESS(15,31))+INDIRECT(ADDRESS(13,32))-INDIRECT(ADDRESS(14,32))</f>
        <v>0</v>
      </c>
      <c r="AG15">
        <f>INDIRECT(ADDRESS(15,32))+INDIRECT(ADDRESS(13,33))-INDIRECT(ADDRESS(14,33))</f>
        <v>0</v>
      </c>
      <c r="AH15">
        <f>INDIRECT(ADDRESS(15,33))+INDIRECT(ADDRESS(13,34))-INDIRECT(ADDRESS(14,34))</f>
        <v>0</v>
      </c>
      <c r="AI15">
        <f>INDIRECT(ADDRESS(15,34))+INDIRECT(ADDRESS(13,35))-INDIRECT(ADDRESS(14,35))</f>
        <v>0</v>
      </c>
      <c r="AJ15">
        <f>INDIRECT(ADDRESS(15,35))+INDIRECT(ADDRESS(13,36))-INDIRECT(ADDRESS(14,36))</f>
        <v>0</v>
      </c>
      <c r="AK15">
        <f>INDIRECT(ADDRESS(15,36))+INDIRECT(ADDRESS(13,37))-INDIRECT(ADDRESS(14,37))</f>
        <v>0</v>
      </c>
      <c r="AL15">
        <f>INDIRECT(ADDRESS(15,37))+INDIRECT(ADDRESS(13,38))-INDIRECT(ADDRESS(14,38))</f>
        <v>0</v>
      </c>
      <c r="AM15">
        <f>INDIRECT(ADDRESS(15,38))+INDIRECT(ADDRESS(13,39))-INDIRECT(ADDRESS(14,39))</f>
        <v>0</v>
      </c>
      <c r="AN15">
        <f>INDIRECT(ADDRESS(15,39))+INDIRECT(ADDRESS(13,40))-INDIRECT(ADDRESS(14,40))</f>
        <v>0</v>
      </c>
      <c r="AO15">
        <f>SUM(INDIRECT(ADDRESS(14,8)):INDIRECT(ADDRESS(14,39)))</f>
        <v>0</v>
      </c>
    </row>
    <row r="16" spans="1:41">
      <c r="A16" t="s">
        <v>180</v>
      </c>
      <c r="B16" t="s">
        <v>188</v>
      </c>
      <c r="C16" t="s">
        <v>189</v>
      </c>
      <c r="E16">
        <v>1</v>
      </c>
      <c r="F16" t="s">
        <v>11</v>
      </c>
      <c r="I16" t="s">
        <v>177</v>
      </c>
    </row>
    <row r="17" spans="1:41">
      <c r="I17" t="s">
        <v>178</v>
      </c>
      <c r="J17">
        <f>IFERROR(VLOOKUP("927-050000-200",B:AB,1+8,0),0)</f>
        <v>0</v>
      </c>
      <c r="K17">
        <f>IFERROR(VLOOKUP("927-050000-200",B:AB,2+8,0),0)</f>
        <v>0</v>
      </c>
      <c r="L17">
        <f>IFERROR(VLOOKUP("927-050000-200",B:AB,3+8,0),0)</f>
        <v>0</v>
      </c>
      <c r="M17">
        <f>IFERROR(VLOOKUP("927-050000-200",B:AB,4+8,0),0)</f>
        <v>0</v>
      </c>
      <c r="N17">
        <f>IFERROR(VLOOKUP("927-050000-200",B:AB,5+8,0),0)</f>
        <v>0</v>
      </c>
      <c r="O17">
        <f>IFERROR(VLOOKUP("927-050000-200",B:AB,6+8,0),0)</f>
        <v>0</v>
      </c>
      <c r="P17">
        <f>IFERROR(VLOOKUP("927-050000-200",B:AB,7+8,0),0)</f>
        <v>0</v>
      </c>
      <c r="Q17">
        <f>IFERROR(VLOOKUP("927-050000-200",B:AB,8+8,0),0)</f>
        <v>0</v>
      </c>
      <c r="R17">
        <f>IFERROR(VLOOKUP("927-050000-200",B:AB,9+8,0),0)</f>
        <v>0</v>
      </c>
      <c r="S17">
        <f>IFERROR(VLOOKUP("927-050000-200",B:AB,10+8,0),0)</f>
        <v>0</v>
      </c>
      <c r="T17">
        <f>IFERROR(VLOOKUP("927-050000-200",B:AB,11+8,0),0)</f>
        <v>0</v>
      </c>
      <c r="U17">
        <f>IFERROR(VLOOKUP("927-050000-200",B:AB,12+8,0),0)</f>
        <v>0</v>
      </c>
      <c r="V17">
        <f>IFERROR(VLOOKUP("927-050000-200",B:AB,13+8,0),0)</f>
        <v>0</v>
      </c>
      <c r="W17">
        <f>IFERROR(VLOOKUP("927-050000-200",B:AB,14+8,0),0)</f>
        <v>0</v>
      </c>
      <c r="X17">
        <f>IFERROR(VLOOKUP("927-050000-200",B:AB,15+8,0),0)</f>
        <v>0</v>
      </c>
      <c r="Y17">
        <f>IFERROR(VLOOKUP("927-050000-200",B:AB,16+8,0),0)</f>
        <v>0</v>
      </c>
      <c r="Z17">
        <f>IFERROR(VLOOKUP("927-050000-200",B:AB,17+8,0),0)</f>
        <v>0</v>
      </c>
      <c r="AA17">
        <f>IFERROR(VLOOKUP("927-050000-200",B:AB,18+8,0),0)</f>
        <v>0</v>
      </c>
      <c r="AB17">
        <f>IFERROR(VLOOKUP("927-050000-200",B:AB,19+8,0),0)</f>
        <v>0</v>
      </c>
      <c r="AC17">
        <f>IFERROR(VLOOKUP("927-050000-200",B:AB,20+8,0),0)</f>
        <v>0</v>
      </c>
      <c r="AD17">
        <f>IFERROR(VLOOKUP("927-050000-200",B:AB,21+8,0),0)</f>
        <v>0</v>
      </c>
      <c r="AE17">
        <f>IFERROR(VLOOKUP("927-050000-200",B:AB,22+8,0),0)</f>
        <v>0</v>
      </c>
      <c r="AF17">
        <f>IFERROR(VLOOKUP("927-050000-200",B:AB,23+8,0),0)</f>
        <v>0</v>
      </c>
      <c r="AG17">
        <f>IFERROR(VLOOKUP("927-050000-200",B:AB,24+8,0),0)</f>
        <v>0</v>
      </c>
      <c r="AH17">
        <f>IFERROR(VLOOKUP("927-050000-200",B:AB,25+8,0),0)</f>
        <v>0</v>
      </c>
      <c r="AI17">
        <f>IFERROR(VLOOKUP("927-050000-200",B:AB,26+8,0),0)</f>
        <v>0</v>
      </c>
      <c r="AJ17">
        <f>IFERROR(VLOOKUP("927-050000-200",B:AB,27+8,0),0)</f>
        <v>0</v>
      </c>
      <c r="AK17">
        <f>IFERROR(VLOOKUP("927-050000-200",B:AB,28+8,0),0)</f>
        <v>0</v>
      </c>
      <c r="AL17">
        <f>IFERROR(VLOOKUP("927-050000-200",B:AB,29+8,0),0)</f>
        <v>0</v>
      </c>
      <c r="AM17">
        <f>IFERROR(VLOOKUP("927-050000-200",B:AB,30+8,0),0)</f>
        <v>0</v>
      </c>
      <c r="AN17">
        <f>IFERROR(VLOOKUP("927-050000-200",B:AB,31+8,0),0)</f>
        <v>0</v>
      </c>
      <c r="AO17">
        <f>SUN(INDIRECT(ADDRESS(16,8)):INDIRECT(ADDRESS(16,39)))</f>
        <v>0</v>
      </c>
    </row>
    <row r="18" spans="1:41">
      <c r="H18" t="s">
        <v>179</v>
      </c>
      <c r="J18">
        <f>INDIRECT(ADDRESS(18,9))+INDIRECT(ADDRESS(16,10))-INDIRECT(ADDRESS(17,10))</f>
        <v>0</v>
      </c>
      <c r="K18">
        <f>INDIRECT(ADDRESS(18,10))+INDIRECT(ADDRESS(16,11))-INDIRECT(ADDRESS(17,11))</f>
        <v>0</v>
      </c>
      <c r="L18">
        <f>INDIRECT(ADDRESS(18,11))+INDIRECT(ADDRESS(16,12))-INDIRECT(ADDRESS(17,12))</f>
        <v>0</v>
      </c>
      <c r="M18">
        <f>INDIRECT(ADDRESS(18,12))+INDIRECT(ADDRESS(16,13))-INDIRECT(ADDRESS(17,13))</f>
        <v>0</v>
      </c>
      <c r="N18">
        <f>INDIRECT(ADDRESS(18,13))+INDIRECT(ADDRESS(16,14))-INDIRECT(ADDRESS(17,14))</f>
        <v>0</v>
      </c>
      <c r="O18">
        <f>INDIRECT(ADDRESS(18,14))+INDIRECT(ADDRESS(16,15))-INDIRECT(ADDRESS(17,15))</f>
        <v>0</v>
      </c>
      <c r="P18">
        <f>INDIRECT(ADDRESS(18,15))+INDIRECT(ADDRESS(16,16))-INDIRECT(ADDRESS(17,16))</f>
        <v>0</v>
      </c>
      <c r="Q18">
        <f>INDIRECT(ADDRESS(18,16))+INDIRECT(ADDRESS(16,17))-INDIRECT(ADDRESS(17,17))</f>
        <v>0</v>
      </c>
      <c r="R18">
        <f>INDIRECT(ADDRESS(18,17))+INDIRECT(ADDRESS(16,18))-INDIRECT(ADDRESS(17,18))</f>
        <v>0</v>
      </c>
      <c r="S18">
        <f>INDIRECT(ADDRESS(18,18))+INDIRECT(ADDRESS(16,19))-INDIRECT(ADDRESS(17,19))</f>
        <v>0</v>
      </c>
      <c r="T18">
        <f>INDIRECT(ADDRESS(18,19))+INDIRECT(ADDRESS(16,20))-INDIRECT(ADDRESS(17,20))</f>
        <v>0</v>
      </c>
      <c r="U18">
        <f>INDIRECT(ADDRESS(18,20))+INDIRECT(ADDRESS(16,21))-INDIRECT(ADDRESS(17,21))</f>
        <v>0</v>
      </c>
      <c r="V18">
        <f>INDIRECT(ADDRESS(18,21))+INDIRECT(ADDRESS(16,22))-INDIRECT(ADDRESS(17,22))</f>
        <v>0</v>
      </c>
      <c r="W18">
        <f>INDIRECT(ADDRESS(18,22))+INDIRECT(ADDRESS(16,23))-INDIRECT(ADDRESS(17,23))</f>
        <v>0</v>
      </c>
      <c r="X18">
        <f>INDIRECT(ADDRESS(18,23))+INDIRECT(ADDRESS(16,24))-INDIRECT(ADDRESS(17,24))</f>
        <v>0</v>
      </c>
      <c r="Y18">
        <f>INDIRECT(ADDRESS(18,24))+INDIRECT(ADDRESS(16,25))-INDIRECT(ADDRESS(17,25))</f>
        <v>0</v>
      </c>
      <c r="Z18">
        <f>INDIRECT(ADDRESS(18,25))+INDIRECT(ADDRESS(16,26))-INDIRECT(ADDRESS(17,26))</f>
        <v>0</v>
      </c>
      <c r="AA18">
        <f>INDIRECT(ADDRESS(18,26))+INDIRECT(ADDRESS(16,27))-INDIRECT(ADDRESS(17,27))</f>
        <v>0</v>
      </c>
      <c r="AB18">
        <f>INDIRECT(ADDRESS(18,27))+INDIRECT(ADDRESS(16,28))-INDIRECT(ADDRESS(17,28))</f>
        <v>0</v>
      </c>
      <c r="AC18">
        <f>INDIRECT(ADDRESS(18,28))+INDIRECT(ADDRESS(16,29))-INDIRECT(ADDRESS(17,29))</f>
        <v>0</v>
      </c>
      <c r="AD18">
        <f>INDIRECT(ADDRESS(18,29))+INDIRECT(ADDRESS(16,30))-INDIRECT(ADDRESS(17,30))</f>
        <v>0</v>
      </c>
      <c r="AE18">
        <f>INDIRECT(ADDRESS(18,30))+INDIRECT(ADDRESS(16,31))-INDIRECT(ADDRESS(17,31))</f>
        <v>0</v>
      </c>
      <c r="AF18">
        <f>INDIRECT(ADDRESS(18,31))+INDIRECT(ADDRESS(16,32))-INDIRECT(ADDRESS(17,32))</f>
        <v>0</v>
      </c>
      <c r="AG18">
        <f>INDIRECT(ADDRESS(18,32))+INDIRECT(ADDRESS(16,33))-INDIRECT(ADDRESS(17,33))</f>
        <v>0</v>
      </c>
      <c r="AH18">
        <f>INDIRECT(ADDRESS(18,33))+INDIRECT(ADDRESS(16,34))-INDIRECT(ADDRESS(17,34))</f>
        <v>0</v>
      </c>
      <c r="AI18">
        <f>INDIRECT(ADDRESS(18,34))+INDIRECT(ADDRESS(16,35))-INDIRECT(ADDRESS(17,35))</f>
        <v>0</v>
      </c>
      <c r="AJ18">
        <f>INDIRECT(ADDRESS(18,35))+INDIRECT(ADDRESS(16,36))-INDIRECT(ADDRESS(17,36))</f>
        <v>0</v>
      </c>
      <c r="AK18">
        <f>INDIRECT(ADDRESS(18,36))+INDIRECT(ADDRESS(16,37))-INDIRECT(ADDRESS(17,37))</f>
        <v>0</v>
      </c>
      <c r="AL18">
        <f>INDIRECT(ADDRESS(18,37))+INDIRECT(ADDRESS(16,38))-INDIRECT(ADDRESS(17,38))</f>
        <v>0</v>
      </c>
      <c r="AM18">
        <f>INDIRECT(ADDRESS(18,38))+INDIRECT(ADDRESS(16,39))-INDIRECT(ADDRESS(17,39))</f>
        <v>0</v>
      </c>
      <c r="AN18">
        <f>INDIRECT(ADDRESS(18,39))+INDIRECT(ADDRESS(16,40))-INDIRECT(ADDRESS(17,40))</f>
        <v>0</v>
      </c>
      <c r="AO18">
        <f>SUM(INDIRECT(ADDRESS(17,8)):INDIRECT(ADDRESS(17,39)))</f>
        <v>0</v>
      </c>
    </row>
    <row r="19" spans="1:41">
      <c r="A19" t="s">
        <v>180</v>
      </c>
      <c r="B19" t="s">
        <v>190</v>
      </c>
      <c r="C19" t="s">
        <v>191</v>
      </c>
      <c r="E19">
        <v>1</v>
      </c>
      <c r="F19" t="s">
        <v>11</v>
      </c>
      <c r="I19" t="s">
        <v>177</v>
      </c>
    </row>
    <row r="20" spans="1:41">
      <c r="I20" t="s">
        <v>178</v>
      </c>
      <c r="J20">
        <f>IFERROR(VLOOKUP("927-050000-200",B:AB,1+8,0),0)</f>
        <v>0</v>
      </c>
      <c r="K20">
        <f>IFERROR(VLOOKUP("927-050000-200",B:AB,2+8,0),0)</f>
        <v>0</v>
      </c>
      <c r="L20">
        <f>IFERROR(VLOOKUP("927-050000-200",B:AB,3+8,0),0)</f>
        <v>0</v>
      </c>
      <c r="M20">
        <f>IFERROR(VLOOKUP("927-050000-200",B:AB,4+8,0),0)</f>
        <v>0</v>
      </c>
      <c r="N20">
        <f>IFERROR(VLOOKUP("927-050000-200",B:AB,5+8,0),0)</f>
        <v>0</v>
      </c>
      <c r="O20">
        <f>IFERROR(VLOOKUP("927-050000-200",B:AB,6+8,0),0)</f>
        <v>0</v>
      </c>
      <c r="P20">
        <f>IFERROR(VLOOKUP("927-050000-200",B:AB,7+8,0),0)</f>
        <v>0</v>
      </c>
      <c r="Q20">
        <f>IFERROR(VLOOKUP("927-050000-200",B:AB,8+8,0),0)</f>
        <v>0</v>
      </c>
      <c r="R20">
        <f>IFERROR(VLOOKUP("927-050000-200",B:AB,9+8,0),0)</f>
        <v>0</v>
      </c>
      <c r="S20">
        <f>IFERROR(VLOOKUP("927-050000-200",B:AB,10+8,0),0)</f>
        <v>0</v>
      </c>
      <c r="T20">
        <f>IFERROR(VLOOKUP("927-050000-200",B:AB,11+8,0),0)</f>
        <v>0</v>
      </c>
      <c r="U20">
        <f>IFERROR(VLOOKUP("927-050000-200",B:AB,12+8,0),0)</f>
        <v>0</v>
      </c>
      <c r="V20">
        <f>IFERROR(VLOOKUP("927-050000-200",B:AB,13+8,0),0)</f>
        <v>0</v>
      </c>
      <c r="W20">
        <f>IFERROR(VLOOKUP("927-050000-200",B:AB,14+8,0),0)</f>
        <v>0</v>
      </c>
      <c r="X20">
        <f>IFERROR(VLOOKUP("927-050000-200",B:AB,15+8,0),0)</f>
        <v>0</v>
      </c>
      <c r="Y20">
        <f>IFERROR(VLOOKUP("927-050000-200",B:AB,16+8,0),0)</f>
        <v>0</v>
      </c>
      <c r="Z20">
        <f>IFERROR(VLOOKUP("927-050000-200",B:AB,17+8,0),0)</f>
        <v>0</v>
      </c>
      <c r="AA20">
        <f>IFERROR(VLOOKUP("927-050000-200",B:AB,18+8,0),0)</f>
        <v>0</v>
      </c>
      <c r="AB20">
        <f>IFERROR(VLOOKUP("927-050000-200",B:AB,19+8,0),0)</f>
        <v>0</v>
      </c>
      <c r="AC20">
        <f>IFERROR(VLOOKUP("927-050000-200",B:AB,20+8,0),0)</f>
        <v>0</v>
      </c>
      <c r="AD20">
        <f>IFERROR(VLOOKUP("927-050000-200",B:AB,21+8,0),0)</f>
        <v>0</v>
      </c>
      <c r="AE20">
        <f>IFERROR(VLOOKUP("927-050000-200",B:AB,22+8,0),0)</f>
        <v>0</v>
      </c>
      <c r="AF20">
        <f>IFERROR(VLOOKUP("927-050000-200",B:AB,23+8,0),0)</f>
        <v>0</v>
      </c>
      <c r="AG20">
        <f>IFERROR(VLOOKUP("927-050000-200",B:AB,24+8,0),0)</f>
        <v>0</v>
      </c>
      <c r="AH20">
        <f>IFERROR(VLOOKUP("927-050000-200",B:AB,25+8,0),0)</f>
        <v>0</v>
      </c>
      <c r="AI20">
        <f>IFERROR(VLOOKUP("927-050000-200",B:AB,26+8,0),0)</f>
        <v>0</v>
      </c>
      <c r="AJ20">
        <f>IFERROR(VLOOKUP("927-050000-200",B:AB,27+8,0),0)</f>
        <v>0</v>
      </c>
      <c r="AK20">
        <f>IFERROR(VLOOKUP("927-050000-200",B:AB,28+8,0),0)</f>
        <v>0</v>
      </c>
      <c r="AL20">
        <f>IFERROR(VLOOKUP("927-050000-200",B:AB,29+8,0),0)</f>
        <v>0</v>
      </c>
      <c r="AM20">
        <f>IFERROR(VLOOKUP("927-050000-200",B:AB,30+8,0),0)</f>
        <v>0</v>
      </c>
      <c r="AN20">
        <f>IFERROR(VLOOKUP("927-050000-200",B:AB,31+8,0),0)</f>
        <v>0</v>
      </c>
      <c r="AO20">
        <f>SUN(INDIRECT(ADDRESS(19,8)):INDIRECT(ADDRESS(19,39)))</f>
        <v>0</v>
      </c>
    </row>
    <row r="21" spans="1:41">
      <c r="H21" t="s">
        <v>179</v>
      </c>
      <c r="J21">
        <f>INDIRECT(ADDRESS(21,9))+INDIRECT(ADDRESS(19,10))-INDIRECT(ADDRESS(20,10))</f>
        <v>0</v>
      </c>
      <c r="K21">
        <f>INDIRECT(ADDRESS(21,10))+INDIRECT(ADDRESS(19,11))-INDIRECT(ADDRESS(20,11))</f>
        <v>0</v>
      </c>
      <c r="L21">
        <f>INDIRECT(ADDRESS(21,11))+INDIRECT(ADDRESS(19,12))-INDIRECT(ADDRESS(20,12))</f>
        <v>0</v>
      </c>
      <c r="M21">
        <f>INDIRECT(ADDRESS(21,12))+INDIRECT(ADDRESS(19,13))-INDIRECT(ADDRESS(20,13))</f>
        <v>0</v>
      </c>
      <c r="N21">
        <f>INDIRECT(ADDRESS(21,13))+INDIRECT(ADDRESS(19,14))-INDIRECT(ADDRESS(20,14))</f>
        <v>0</v>
      </c>
      <c r="O21">
        <f>INDIRECT(ADDRESS(21,14))+INDIRECT(ADDRESS(19,15))-INDIRECT(ADDRESS(20,15))</f>
        <v>0</v>
      </c>
      <c r="P21">
        <f>INDIRECT(ADDRESS(21,15))+INDIRECT(ADDRESS(19,16))-INDIRECT(ADDRESS(20,16))</f>
        <v>0</v>
      </c>
      <c r="Q21">
        <f>INDIRECT(ADDRESS(21,16))+INDIRECT(ADDRESS(19,17))-INDIRECT(ADDRESS(20,17))</f>
        <v>0</v>
      </c>
      <c r="R21">
        <f>INDIRECT(ADDRESS(21,17))+INDIRECT(ADDRESS(19,18))-INDIRECT(ADDRESS(20,18))</f>
        <v>0</v>
      </c>
      <c r="S21">
        <f>INDIRECT(ADDRESS(21,18))+INDIRECT(ADDRESS(19,19))-INDIRECT(ADDRESS(20,19))</f>
        <v>0</v>
      </c>
      <c r="T21">
        <f>INDIRECT(ADDRESS(21,19))+INDIRECT(ADDRESS(19,20))-INDIRECT(ADDRESS(20,20))</f>
        <v>0</v>
      </c>
      <c r="U21">
        <f>INDIRECT(ADDRESS(21,20))+INDIRECT(ADDRESS(19,21))-INDIRECT(ADDRESS(20,21))</f>
        <v>0</v>
      </c>
      <c r="V21">
        <f>INDIRECT(ADDRESS(21,21))+INDIRECT(ADDRESS(19,22))-INDIRECT(ADDRESS(20,22))</f>
        <v>0</v>
      </c>
      <c r="W21">
        <f>INDIRECT(ADDRESS(21,22))+INDIRECT(ADDRESS(19,23))-INDIRECT(ADDRESS(20,23))</f>
        <v>0</v>
      </c>
      <c r="X21">
        <f>INDIRECT(ADDRESS(21,23))+INDIRECT(ADDRESS(19,24))-INDIRECT(ADDRESS(20,24))</f>
        <v>0</v>
      </c>
      <c r="Y21">
        <f>INDIRECT(ADDRESS(21,24))+INDIRECT(ADDRESS(19,25))-INDIRECT(ADDRESS(20,25))</f>
        <v>0</v>
      </c>
      <c r="Z21">
        <f>INDIRECT(ADDRESS(21,25))+INDIRECT(ADDRESS(19,26))-INDIRECT(ADDRESS(20,26))</f>
        <v>0</v>
      </c>
      <c r="AA21">
        <f>INDIRECT(ADDRESS(21,26))+INDIRECT(ADDRESS(19,27))-INDIRECT(ADDRESS(20,27))</f>
        <v>0</v>
      </c>
      <c r="AB21">
        <f>INDIRECT(ADDRESS(21,27))+INDIRECT(ADDRESS(19,28))-INDIRECT(ADDRESS(20,28))</f>
        <v>0</v>
      </c>
      <c r="AC21">
        <f>INDIRECT(ADDRESS(21,28))+INDIRECT(ADDRESS(19,29))-INDIRECT(ADDRESS(20,29))</f>
        <v>0</v>
      </c>
      <c r="AD21">
        <f>INDIRECT(ADDRESS(21,29))+INDIRECT(ADDRESS(19,30))-INDIRECT(ADDRESS(20,30))</f>
        <v>0</v>
      </c>
      <c r="AE21">
        <f>INDIRECT(ADDRESS(21,30))+INDIRECT(ADDRESS(19,31))-INDIRECT(ADDRESS(20,31))</f>
        <v>0</v>
      </c>
      <c r="AF21">
        <f>INDIRECT(ADDRESS(21,31))+INDIRECT(ADDRESS(19,32))-INDIRECT(ADDRESS(20,32))</f>
        <v>0</v>
      </c>
      <c r="AG21">
        <f>INDIRECT(ADDRESS(21,32))+INDIRECT(ADDRESS(19,33))-INDIRECT(ADDRESS(20,33))</f>
        <v>0</v>
      </c>
      <c r="AH21">
        <f>INDIRECT(ADDRESS(21,33))+INDIRECT(ADDRESS(19,34))-INDIRECT(ADDRESS(20,34))</f>
        <v>0</v>
      </c>
      <c r="AI21">
        <f>INDIRECT(ADDRESS(21,34))+INDIRECT(ADDRESS(19,35))-INDIRECT(ADDRESS(20,35))</f>
        <v>0</v>
      </c>
      <c r="AJ21">
        <f>INDIRECT(ADDRESS(21,35))+INDIRECT(ADDRESS(19,36))-INDIRECT(ADDRESS(20,36))</f>
        <v>0</v>
      </c>
      <c r="AK21">
        <f>INDIRECT(ADDRESS(21,36))+INDIRECT(ADDRESS(19,37))-INDIRECT(ADDRESS(20,37))</f>
        <v>0</v>
      </c>
      <c r="AL21">
        <f>INDIRECT(ADDRESS(21,37))+INDIRECT(ADDRESS(19,38))-INDIRECT(ADDRESS(20,38))</f>
        <v>0</v>
      </c>
      <c r="AM21">
        <f>INDIRECT(ADDRESS(21,38))+INDIRECT(ADDRESS(19,39))-INDIRECT(ADDRESS(20,39))</f>
        <v>0</v>
      </c>
      <c r="AN21">
        <f>INDIRECT(ADDRESS(21,39))+INDIRECT(ADDRESS(19,40))-INDIRECT(ADDRESS(20,40))</f>
        <v>0</v>
      </c>
      <c r="AO21">
        <f>SUM(INDIRECT(ADDRESS(20,8)):INDIRECT(ADDRESS(20,39)))</f>
        <v>0</v>
      </c>
    </row>
    <row r="22" spans="1:41">
      <c r="A22" t="s">
        <v>185</v>
      </c>
      <c r="B22" t="s">
        <v>192</v>
      </c>
      <c r="C22" t="s">
        <v>193</v>
      </c>
      <c r="E22">
        <v>1</v>
      </c>
      <c r="F22" t="s">
        <v>11</v>
      </c>
      <c r="I22" t="s">
        <v>177</v>
      </c>
    </row>
    <row r="23" spans="1:41">
      <c r="I23" t="s">
        <v>178</v>
      </c>
      <c r="J23">
        <f>IFERROR(VLOOKUP("927-050000-200",B:AB,1+8,0),0)</f>
        <v>0</v>
      </c>
      <c r="K23">
        <f>IFERROR(VLOOKUP("927-050000-200",B:AB,2+8,0),0)</f>
        <v>0</v>
      </c>
      <c r="L23">
        <f>IFERROR(VLOOKUP("927-050000-200",B:AB,3+8,0),0)</f>
        <v>0</v>
      </c>
      <c r="M23">
        <f>IFERROR(VLOOKUP("927-050000-200",B:AB,4+8,0),0)</f>
        <v>0</v>
      </c>
      <c r="N23">
        <f>IFERROR(VLOOKUP("927-050000-200",B:AB,5+8,0),0)</f>
        <v>0</v>
      </c>
      <c r="O23">
        <f>IFERROR(VLOOKUP("927-050000-200",B:AB,6+8,0),0)</f>
        <v>0</v>
      </c>
      <c r="P23">
        <f>IFERROR(VLOOKUP("927-050000-200",B:AB,7+8,0),0)</f>
        <v>0</v>
      </c>
      <c r="Q23">
        <f>IFERROR(VLOOKUP("927-050000-200",B:AB,8+8,0),0)</f>
        <v>0</v>
      </c>
      <c r="R23">
        <f>IFERROR(VLOOKUP("927-050000-200",B:AB,9+8,0),0)</f>
        <v>0</v>
      </c>
      <c r="S23">
        <f>IFERROR(VLOOKUP("927-050000-200",B:AB,10+8,0),0)</f>
        <v>0</v>
      </c>
      <c r="T23">
        <f>IFERROR(VLOOKUP("927-050000-200",B:AB,11+8,0),0)</f>
        <v>0</v>
      </c>
      <c r="U23">
        <f>IFERROR(VLOOKUP("927-050000-200",B:AB,12+8,0),0)</f>
        <v>0</v>
      </c>
      <c r="V23">
        <f>IFERROR(VLOOKUP("927-050000-200",B:AB,13+8,0),0)</f>
        <v>0</v>
      </c>
      <c r="W23">
        <f>IFERROR(VLOOKUP("927-050000-200",B:AB,14+8,0),0)</f>
        <v>0</v>
      </c>
      <c r="X23">
        <f>IFERROR(VLOOKUP("927-050000-200",B:AB,15+8,0),0)</f>
        <v>0</v>
      </c>
      <c r="Y23">
        <f>IFERROR(VLOOKUP("927-050000-200",B:AB,16+8,0),0)</f>
        <v>0</v>
      </c>
      <c r="Z23">
        <f>IFERROR(VLOOKUP("927-050000-200",B:AB,17+8,0),0)</f>
        <v>0</v>
      </c>
      <c r="AA23">
        <f>IFERROR(VLOOKUP("927-050000-200",B:AB,18+8,0),0)</f>
        <v>0</v>
      </c>
      <c r="AB23">
        <f>IFERROR(VLOOKUP("927-050000-200",B:AB,19+8,0),0)</f>
        <v>0</v>
      </c>
      <c r="AC23">
        <f>IFERROR(VLOOKUP("927-050000-200",B:AB,20+8,0),0)</f>
        <v>0</v>
      </c>
      <c r="AD23">
        <f>IFERROR(VLOOKUP("927-050000-200",B:AB,21+8,0),0)</f>
        <v>0</v>
      </c>
      <c r="AE23">
        <f>IFERROR(VLOOKUP("927-050000-200",B:AB,22+8,0),0)</f>
        <v>0</v>
      </c>
      <c r="AF23">
        <f>IFERROR(VLOOKUP("927-050000-200",B:AB,23+8,0),0)</f>
        <v>0</v>
      </c>
      <c r="AG23">
        <f>IFERROR(VLOOKUP("927-050000-200",B:AB,24+8,0),0)</f>
        <v>0</v>
      </c>
      <c r="AH23">
        <f>IFERROR(VLOOKUP("927-050000-200",B:AB,25+8,0),0)</f>
        <v>0</v>
      </c>
      <c r="AI23">
        <f>IFERROR(VLOOKUP("927-050000-200",B:AB,26+8,0),0)</f>
        <v>0</v>
      </c>
      <c r="AJ23">
        <f>IFERROR(VLOOKUP("927-050000-200",B:AB,27+8,0),0)</f>
        <v>0</v>
      </c>
      <c r="AK23">
        <f>IFERROR(VLOOKUP("927-050000-200",B:AB,28+8,0),0)</f>
        <v>0</v>
      </c>
      <c r="AL23">
        <f>IFERROR(VLOOKUP("927-050000-200",B:AB,29+8,0),0)</f>
        <v>0</v>
      </c>
      <c r="AM23">
        <f>IFERROR(VLOOKUP("927-050000-200",B:AB,30+8,0),0)</f>
        <v>0</v>
      </c>
      <c r="AN23">
        <f>IFERROR(VLOOKUP("927-050000-200",B:AB,31+8,0),0)</f>
        <v>0</v>
      </c>
      <c r="AO23">
        <f>SUN(INDIRECT(ADDRESS(22,8)):INDIRECT(ADDRESS(22,39)))</f>
        <v>0</v>
      </c>
    </row>
    <row r="24" spans="1:41">
      <c r="H24" t="s">
        <v>179</v>
      </c>
      <c r="J24">
        <f>INDIRECT(ADDRESS(24,9))+INDIRECT(ADDRESS(22,10))-INDIRECT(ADDRESS(23,10))</f>
        <v>0</v>
      </c>
      <c r="K24">
        <f>INDIRECT(ADDRESS(24,10))+INDIRECT(ADDRESS(22,11))-INDIRECT(ADDRESS(23,11))</f>
        <v>0</v>
      </c>
      <c r="L24">
        <f>INDIRECT(ADDRESS(24,11))+INDIRECT(ADDRESS(22,12))-INDIRECT(ADDRESS(23,12))</f>
        <v>0</v>
      </c>
      <c r="M24">
        <f>INDIRECT(ADDRESS(24,12))+INDIRECT(ADDRESS(22,13))-INDIRECT(ADDRESS(23,13))</f>
        <v>0</v>
      </c>
      <c r="N24">
        <f>INDIRECT(ADDRESS(24,13))+INDIRECT(ADDRESS(22,14))-INDIRECT(ADDRESS(23,14))</f>
        <v>0</v>
      </c>
      <c r="O24">
        <f>INDIRECT(ADDRESS(24,14))+INDIRECT(ADDRESS(22,15))-INDIRECT(ADDRESS(23,15))</f>
        <v>0</v>
      </c>
      <c r="P24">
        <f>INDIRECT(ADDRESS(24,15))+INDIRECT(ADDRESS(22,16))-INDIRECT(ADDRESS(23,16))</f>
        <v>0</v>
      </c>
      <c r="Q24">
        <f>INDIRECT(ADDRESS(24,16))+INDIRECT(ADDRESS(22,17))-INDIRECT(ADDRESS(23,17))</f>
        <v>0</v>
      </c>
      <c r="R24">
        <f>INDIRECT(ADDRESS(24,17))+INDIRECT(ADDRESS(22,18))-INDIRECT(ADDRESS(23,18))</f>
        <v>0</v>
      </c>
      <c r="S24">
        <f>INDIRECT(ADDRESS(24,18))+INDIRECT(ADDRESS(22,19))-INDIRECT(ADDRESS(23,19))</f>
        <v>0</v>
      </c>
      <c r="T24">
        <f>INDIRECT(ADDRESS(24,19))+INDIRECT(ADDRESS(22,20))-INDIRECT(ADDRESS(23,20))</f>
        <v>0</v>
      </c>
      <c r="U24">
        <f>INDIRECT(ADDRESS(24,20))+INDIRECT(ADDRESS(22,21))-INDIRECT(ADDRESS(23,21))</f>
        <v>0</v>
      </c>
      <c r="V24">
        <f>INDIRECT(ADDRESS(24,21))+INDIRECT(ADDRESS(22,22))-INDIRECT(ADDRESS(23,22))</f>
        <v>0</v>
      </c>
      <c r="W24">
        <f>INDIRECT(ADDRESS(24,22))+INDIRECT(ADDRESS(22,23))-INDIRECT(ADDRESS(23,23))</f>
        <v>0</v>
      </c>
      <c r="X24">
        <f>INDIRECT(ADDRESS(24,23))+INDIRECT(ADDRESS(22,24))-INDIRECT(ADDRESS(23,24))</f>
        <v>0</v>
      </c>
      <c r="Y24">
        <f>INDIRECT(ADDRESS(24,24))+INDIRECT(ADDRESS(22,25))-INDIRECT(ADDRESS(23,25))</f>
        <v>0</v>
      </c>
      <c r="Z24">
        <f>INDIRECT(ADDRESS(24,25))+INDIRECT(ADDRESS(22,26))-INDIRECT(ADDRESS(23,26))</f>
        <v>0</v>
      </c>
      <c r="AA24">
        <f>INDIRECT(ADDRESS(24,26))+INDIRECT(ADDRESS(22,27))-INDIRECT(ADDRESS(23,27))</f>
        <v>0</v>
      </c>
      <c r="AB24">
        <f>INDIRECT(ADDRESS(24,27))+INDIRECT(ADDRESS(22,28))-INDIRECT(ADDRESS(23,28))</f>
        <v>0</v>
      </c>
      <c r="AC24">
        <f>INDIRECT(ADDRESS(24,28))+INDIRECT(ADDRESS(22,29))-INDIRECT(ADDRESS(23,29))</f>
        <v>0</v>
      </c>
      <c r="AD24">
        <f>INDIRECT(ADDRESS(24,29))+INDIRECT(ADDRESS(22,30))-INDIRECT(ADDRESS(23,30))</f>
        <v>0</v>
      </c>
      <c r="AE24">
        <f>INDIRECT(ADDRESS(24,30))+INDIRECT(ADDRESS(22,31))-INDIRECT(ADDRESS(23,31))</f>
        <v>0</v>
      </c>
      <c r="AF24">
        <f>INDIRECT(ADDRESS(24,31))+INDIRECT(ADDRESS(22,32))-INDIRECT(ADDRESS(23,32))</f>
        <v>0</v>
      </c>
      <c r="AG24">
        <f>INDIRECT(ADDRESS(24,32))+INDIRECT(ADDRESS(22,33))-INDIRECT(ADDRESS(23,33))</f>
        <v>0</v>
      </c>
      <c r="AH24">
        <f>INDIRECT(ADDRESS(24,33))+INDIRECT(ADDRESS(22,34))-INDIRECT(ADDRESS(23,34))</f>
        <v>0</v>
      </c>
      <c r="AI24">
        <f>INDIRECT(ADDRESS(24,34))+INDIRECT(ADDRESS(22,35))-INDIRECT(ADDRESS(23,35))</f>
        <v>0</v>
      </c>
      <c r="AJ24">
        <f>INDIRECT(ADDRESS(24,35))+INDIRECT(ADDRESS(22,36))-INDIRECT(ADDRESS(23,36))</f>
        <v>0</v>
      </c>
      <c r="AK24">
        <f>INDIRECT(ADDRESS(24,36))+INDIRECT(ADDRESS(22,37))-INDIRECT(ADDRESS(23,37))</f>
        <v>0</v>
      </c>
      <c r="AL24">
        <f>INDIRECT(ADDRESS(24,37))+INDIRECT(ADDRESS(22,38))-INDIRECT(ADDRESS(23,38))</f>
        <v>0</v>
      </c>
      <c r="AM24">
        <f>INDIRECT(ADDRESS(24,38))+INDIRECT(ADDRESS(22,39))-INDIRECT(ADDRESS(23,39))</f>
        <v>0</v>
      </c>
      <c r="AN24">
        <f>INDIRECT(ADDRESS(24,39))+INDIRECT(ADDRESS(22,40))-INDIRECT(ADDRESS(23,40))</f>
        <v>0</v>
      </c>
      <c r="AO24">
        <f>SUM(INDIRECT(ADDRESS(23,8)):INDIRECT(ADDRESS(23,39)))</f>
        <v>0</v>
      </c>
    </row>
    <row r="25" spans="1:41">
      <c r="A25" t="s">
        <v>180</v>
      </c>
      <c r="B25" t="s">
        <v>194</v>
      </c>
      <c r="C25" t="s">
        <v>195</v>
      </c>
      <c r="E25">
        <v>2</v>
      </c>
      <c r="F25" t="s">
        <v>11</v>
      </c>
      <c r="I25" t="s">
        <v>177</v>
      </c>
    </row>
    <row r="26" spans="1:41">
      <c r="I26" t="s">
        <v>178</v>
      </c>
      <c r="J26">
        <f>IFERROR(VLOOKUP("927-050000-200",B:AB,1+8,0),0)</f>
        <v>0</v>
      </c>
      <c r="K26">
        <f>IFERROR(VLOOKUP("927-050000-200",B:AB,2+8,0),0)</f>
        <v>0</v>
      </c>
      <c r="L26">
        <f>IFERROR(VLOOKUP("927-050000-200",B:AB,3+8,0),0)</f>
        <v>0</v>
      </c>
      <c r="M26">
        <f>IFERROR(VLOOKUP("927-050000-200",B:AB,4+8,0),0)</f>
        <v>0</v>
      </c>
      <c r="N26">
        <f>IFERROR(VLOOKUP("927-050000-200",B:AB,5+8,0),0)</f>
        <v>0</v>
      </c>
      <c r="O26">
        <f>IFERROR(VLOOKUP("927-050000-200",B:AB,6+8,0),0)</f>
        <v>0</v>
      </c>
      <c r="P26">
        <f>IFERROR(VLOOKUP("927-050000-200",B:AB,7+8,0),0)</f>
        <v>0</v>
      </c>
      <c r="Q26">
        <f>IFERROR(VLOOKUP("927-050000-200",B:AB,8+8,0),0)</f>
        <v>0</v>
      </c>
      <c r="R26">
        <f>IFERROR(VLOOKUP("927-050000-200",B:AB,9+8,0),0)</f>
        <v>0</v>
      </c>
      <c r="S26">
        <f>IFERROR(VLOOKUP("927-050000-200",B:AB,10+8,0),0)</f>
        <v>0</v>
      </c>
      <c r="T26">
        <f>IFERROR(VLOOKUP("927-050000-200",B:AB,11+8,0),0)</f>
        <v>0</v>
      </c>
      <c r="U26">
        <f>IFERROR(VLOOKUP("927-050000-200",B:AB,12+8,0),0)</f>
        <v>0</v>
      </c>
      <c r="V26">
        <f>IFERROR(VLOOKUP("927-050000-200",B:AB,13+8,0),0)</f>
        <v>0</v>
      </c>
      <c r="W26">
        <f>IFERROR(VLOOKUP("927-050000-200",B:AB,14+8,0),0)</f>
        <v>0</v>
      </c>
      <c r="X26">
        <f>IFERROR(VLOOKUP("927-050000-200",B:AB,15+8,0),0)</f>
        <v>0</v>
      </c>
      <c r="Y26">
        <f>IFERROR(VLOOKUP("927-050000-200",B:AB,16+8,0),0)</f>
        <v>0</v>
      </c>
      <c r="Z26">
        <f>IFERROR(VLOOKUP("927-050000-200",B:AB,17+8,0),0)</f>
        <v>0</v>
      </c>
      <c r="AA26">
        <f>IFERROR(VLOOKUP("927-050000-200",B:AB,18+8,0),0)</f>
        <v>0</v>
      </c>
      <c r="AB26">
        <f>IFERROR(VLOOKUP("927-050000-200",B:AB,19+8,0),0)</f>
        <v>0</v>
      </c>
      <c r="AC26">
        <f>IFERROR(VLOOKUP("927-050000-200",B:AB,20+8,0),0)</f>
        <v>0</v>
      </c>
      <c r="AD26">
        <f>IFERROR(VLOOKUP("927-050000-200",B:AB,21+8,0),0)</f>
        <v>0</v>
      </c>
      <c r="AE26">
        <f>IFERROR(VLOOKUP("927-050000-200",B:AB,22+8,0),0)</f>
        <v>0</v>
      </c>
      <c r="AF26">
        <f>IFERROR(VLOOKUP("927-050000-200",B:AB,23+8,0),0)</f>
        <v>0</v>
      </c>
      <c r="AG26">
        <f>IFERROR(VLOOKUP("927-050000-200",B:AB,24+8,0),0)</f>
        <v>0</v>
      </c>
      <c r="AH26">
        <f>IFERROR(VLOOKUP("927-050000-200",B:AB,25+8,0),0)</f>
        <v>0</v>
      </c>
      <c r="AI26">
        <f>IFERROR(VLOOKUP("927-050000-200",B:AB,26+8,0),0)</f>
        <v>0</v>
      </c>
      <c r="AJ26">
        <f>IFERROR(VLOOKUP("927-050000-200",B:AB,27+8,0),0)</f>
        <v>0</v>
      </c>
      <c r="AK26">
        <f>IFERROR(VLOOKUP("927-050000-200",B:AB,28+8,0),0)</f>
        <v>0</v>
      </c>
      <c r="AL26">
        <f>IFERROR(VLOOKUP("927-050000-200",B:AB,29+8,0),0)</f>
        <v>0</v>
      </c>
      <c r="AM26">
        <f>IFERROR(VLOOKUP("927-050000-200",B:AB,30+8,0),0)</f>
        <v>0</v>
      </c>
      <c r="AN26">
        <f>IFERROR(VLOOKUP("927-050000-200",B:AB,31+8,0),0)</f>
        <v>0</v>
      </c>
      <c r="AO26">
        <f>SUN(INDIRECT(ADDRESS(25,8)):INDIRECT(ADDRESS(25,39)))</f>
        <v>0</v>
      </c>
    </row>
    <row r="27" spans="1:41">
      <c r="H27" t="s">
        <v>179</v>
      </c>
      <c r="J27">
        <f>INDIRECT(ADDRESS(27,9))+INDIRECT(ADDRESS(25,10))-INDIRECT(ADDRESS(26,10))</f>
        <v>0</v>
      </c>
      <c r="K27">
        <f>INDIRECT(ADDRESS(27,10))+INDIRECT(ADDRESS(25,11))-INDIRECT(ADDRESS(26,11))</f>
        <v>0</v>
      </c>
      <c r="L27">
        <f>INDIRECT(ADDRESS(27,11))+INDIRECT(ADDRESS(25,12))-INDIRECT(ADDRESS(26,12))</f>
        <v>0</v>
      </c>
      <c r="M27">
        <f>INDIRECT(ADDRESS(27,12))+INDIRECT(ADDRESS(25,13))-INDIRECT(ADDRESS(26,13))</f>
        <v>0</v>
      </c>
      <c r="N27">
        <f>INDIRECT(ADDRESS(27,13))+INDIRECT(ADDRESS(25,14))-INDIRECT(ADDRESS(26,14))</f>
        <v>0</v>
      </c>
      <c r="O27">
        <f>INDIRECT(ADDRESS(27,14))+INDIRECT(ADDRESS(25,15))-INDIRECT(ADDRESS(26,15))</f>
        <v>0</v>
      </c>
      <c r="P27">
        <f>INDIRECT(ADDRESS(27,15))+INDIRECT(ADDRESS(25,16))-INDIRECT(ADDRESS(26,16))</f>
        <v>0</v>
      </c>
      <c r="Q27">
        <f>INDIRECT(ADDRESS(27,16))+INDIRECT(ADDRESS(25,17))-INDIRECT(ADDRESS(26,17))</f>
        <v>0</v>
      </c>
      <c r="R27">
        <f>INDIRECT(ADDRESS(27,17))+INDIRECT(ADDRESS(25,18))-INDIRECT(ADDRESS(26,18))</f>
        <v>0</v>
      </c>
      <c r="S27">
        <f>INDIRECT(ADDRESS(27,18))+INDIRECT(ADDRESS(25,19))-INDIRECT(ADDRESS(26,19))</f>
        <v>0</v>
      </c>
      <c r="T27">
        <f>INDIRECT(ADDRESS(27,19))+INDIRECT(ADDRESS(25,20))-INDIRECT(ADDRESS(26,20))</f>
        <v>0</v>
      </c>
      <c r="U27">
        <f>INDIRECT(ADDRESS(27,20))+INDIRECT(ADDRESS(25,21))-INDIRECT(ADDRESS(26,21))</f>
        <v>0</v>
      </c>
      <c r="V27">
        <f>INDIRECT(ADDRESS(27,21))+INDIRECT(ADDRESS(25,22))-INDIRECT(ADDRESS(26,22))</f>
        <v>0</v>
      </c>
      <c r="W27">
        <f>INDIRECT(ADDRESS(27,22))+INDIRECT(ADDRESS(25,23))-INDIRECT(ADDRESS(26,23))</f>
        <v>0</v>
      </c>
      <c r="X27">
        <f>INDIRECT(ADDRESS(27,23))+INDIRECT(ADDRESS(25,24))-INDIRECT(ADDRESS(26,24))</f>
        <v>0</v>
      </c>
      <c r="Y27">
        <f>INDIRECT(ADDRESS(27,24))+INDIRECT(ADDRESS(25,25))-INDIRECT(ADDRESS(26,25))</f>
        <v>0</v>
      </c>
      <c r="Z27">
        <f>INDIRECT(ADDRESS(27,25))+INDIRECT(ADDRESS(25,26))-INDIRECT(ADDRESS(26,26))</f>
        <v>0</v>
      </c>
      <c r="AA27">
        <f>INDIRECT(ADDRESS(27,26))+INDIRECT(ADDRESS(25,27))-INDIRECT(ADDRESS(26,27))</f>
        <v>0</v>
      </c>
      <c r="AB27">
        <f>INDIRECT(ADDRESS(27,27))+INDIRECT(ADDRESS(25,28))-INDIRECT(ADDRESS(26,28))</f>
        <v>0</v>
      </c>
      <c r="AC27">
        <f>INDIRECT(ADDRESS(27,28))+INDIRECT(ADDRESS(25,29))-INDIRECT(ADDRESS(26,29))</f>
        <v>0</v>
      </c>
      <c r="AD27">
        <f>INDIRECT(ADDRESS(27,29))+INDIRECT(ADDRESS(25,30))-INDIRECT(ADDRESS(26,30))</f>
        <v>0</v>
      </c>
      <c r="AE27">
        <f>INDIRECT(ADDRESS(27,30))+INDIRECT(ADDRESS(25,31))-INDIRECT(ADDRESS(26,31))</f>
        <v>0</v>
      </c>
      <c r="AF27">
        <f>INDIRECT(ADDRESS(27,31))+INDIRECT(ADDRESS(25,32))-INDIRECT(ADDRESS(26,32))</f>
        <v>0</v>
      </c>
      <c r="AG27">
        <f>INDIRECT(ADDRESS(27,32))+INDIRECT(ADDRESS(25,33))-INDIRECT(ADDRESS(26,33))</f>
        <v>0</v>
      </c>
      <c r="AH27">
        <f>INDIRECT(ADDRESS(27,33))+INDIRECT(ADDRESS(25,34))-INDIRECT(ADDRESS(26,34))</f>
        <v>0</v>
      </c>
      <c r="AI27">
        <f>INDIRECT(ADDRESS(27,34))+INDIRECT(ADDRESS(25,35))-INDIRECT(ADDRESS(26,35))</f>
        <v>0</v>
      </c>
      <c r="AJ27">
        <f>INDIRECT(ADDRESS(27,35))+INDIRECT(ADDRESS(25,36))-INDIRECT(ADDRESS(26,36))</f>
        <v>0</v>
      </c>
      <c r="AK27">
        <f>INDIRECT(ADDRESS(27,36))+INDIRECT(ADDRESS(25,37))-INDIRECT(ADDRESS(26,37))</f>
        <v>0</v>
      </c>
      <c r="AL27">
        <f>INDIRECT(ADDRESS(27,37))+INDIRECT(ADDRESS(25,38))-INDIRECT(ADDRESS(26,38))</f>
        <v>0</v>
      </c>
      <c r="AM27">
        <f>INDIRECT(ADDRESS(27,38))+INDIRECT(ADDRESS(25,39))-INDIRECT(ADDRESS(26,39))</f>
        <v>0</v>
      </c>
      <c r="AN27">
        <f>INDIRECT(ADDRESS(27,39))+INDIRECT(ADDRESS(25,40))-INDIRECT(ADDRESS(26,40))</f>
        <v>0</v>
      </c>
      <c r="AO27">
        <f>SUM(INDIRECT(ADDRESS(26,8)):INDIRECT(ADDRESS(26,39)))</f>
        <v>0</v>
      </c>
    </row>
    <row r="28" spans="1:41">
      <c r="A28" t="s">
        <v>185</v>
      </c>
      <c r="B28" t="s">
        <v>196</v>
      </c>
      <c r="C28" t="s">
        <v>197</v>
      </c>
      <c r="E28">
        <v>2</v>
      </c>
      <c r="F28" t="s">
        <v>11</v>
      </c>
      <c r="I28" t="s">
        <v>177</v>
      </c>
    </row>
    <row r="29" spans="1:41">
      <c r="I29" t="s">
        <v>178</v>
      </c>
      <c r="J29">
        <f>IFERROR(VLOOKUP("927-050000-200",B:AB,1+8,0),0)</f>
        <v>0</v>
      </c>
      <c r="K29">
        <f>IFERROR(VLOOKUP("927-050000-200",B:AB,2+8,0),0)</f>
        <v>0</v>
      </c>
      <c r="L29">
        <f>IFERROR(VLOOKUP("927-050000-200",B:AB,3+8,0),0)</f>
        <v>0</v>
      </c>
      <c r="M29">
        <f>IFERROR(VLOOKUP("927-050000-200",B:AB,4+8,0),0)</f>
        <v>0</v>
      </c>
      <c r="N29">
        <f>IFERROR(VLOOKUP("927-050000-200",B:AB,5+8,0),0)</f>
        <v>0</v>
      </c>
      <c r="O29">
        <f>IFERROR(VLOOKUP("927-050000-200",B:AB,6+8,0),0)</f>
        <v>0</v>
      </c>
      <c r="P29">
        <f>IFERROR(VLOOKUP("927-050000-200",B:AB,7+8,0),0)</f>
        <v>0</v>
      </c>
      <c r="Q29">
        <f>IFERROR(VLOOKUP("927-050000-200",B:AB,8+8,0),0)</f>
        <v>0</v>
      </c>
      <c r="R29">
        <f>IFERROR(VLOOKUP("927-050000-200",B:AB,9+8,0),0)</f>
        <v>0</v>
      </c>
      <c r="S29">
        <f>IFERROR(VLOOKUP("927-050000-200",B:AB,10+8,0),0)</f>
        <v>0</v>
      </c>
      <c r="T29">
        <f>IFERROR(VLOOKUP("927-050000-200",B:AB,11+8,0),0)</f>
        <v>0</v>
      </c>
      <c r="U29">
        <f>IFERROR(VLOOKUP("927-050000-200",B:AB,12+8,0),0)</f>
        <v>0</v>
      </c>
      <c r="V29">
        <f>IFERROR(VLOOKUP("927-050000-200",B:AB,13+8,0),0)</f>
        <v>0</v>
      </c>
      <c r="W29">
        <f>IFERROR(VLOOKUP("927-050000-200",B:AB,14+8,0),0)</f>
        <v>0</v>
      </c>
      <c r="X29">
        <f>IFERROR(VLOOKUP("927-050000-200",B:AB,15+8,0),0)</f>
        <v>0</v>
      </c>
      <c r="Y29">
        <f>IFERROR(VLOOKUP("927-050000-200",B:AB,16+8,0),0)</f>
        <v>0</v>
      </c>
      <c r="Z29">
        <f>IFERROR(VLOOKUP("927-050000-200",B:AB,17+8,0),0)</f>
        <v>0</v>
      </c>
      <c r="AA29">
        <f>IFERROR(VLOOKUP("927-050000-200",B:AB,18+8,0),0)</f>
        <v>0</v>
      </c>
      <c r="AB29">
        <f>IFERROR(VLOOKUP("927-050000-200",B:AB,19+8,0),0)</f>
        <v>0</v>
      </c>
      <c r="AC29">
        <f>IFERROR(VLOOKUP("927-050000-200",B:AB,20+8,0),0)</f>
        <v>0</v>
      </c>
      <c r="AD29">
        <f>IFERROR(VLOOKUP("927-050000-200",B:AB,21+8,0),0)</f>
        <v>0</v>
      </c>
      <c r="AE29">
        <f>IFERROR(VLOOKUP("927-050000-200",B:AB,22+8,0),0)</f>
        <v>0</v>
      </c>
      <c r="AF29">
        <f>IFERROR(VLOOKUP("927-050000-200",B:AB,23+8,0),0)</f>
        <v>0</v>
      </c>
      <c r="AG29">
        <f>IFERROR(VLOOKUP("927-050000-200",B:AB,24+8,0),0)</f>
        <v>0</v>
      </c>
      <c r="AH29">
        <f>IFERROR(VLOOKUP("927-050000-200",B:AB,25+8,0),0)</f>
        <v>0</v>
      </c>
      <c r="AI29">
        <f>IFERROR(VLOOKUP("927-050000-200",B:AB,26+8,0),0)</f>
        <v>0</v>
      </c>
      <c r="AJ29">
        <f>IFERROR(VLOOKUP("927-050000-200",B:AB,27+8,0),0)</f>
        <v>0</v>
      </c>
      <c r="AK29">
        <f>IFERROR(VLOOKUP("927-050000-200",B:AB,28+8,0),0)</f>
        <v>0</v>
      </c>
      <c r="AL29">
        <f>IFERROR(VLOOKUP("927-050000-200",B:AB,29+8,0),0)</f>
        <v>0</v>
      </c>
      <c r="AM29">
        <f>IFERROR(VLOOKUP("927-050000-200",B:AB,30+8,0),0)</f>
        <v>0</v>
      </c>
      <c r="AN29">
        <f>IFERROR(VLOOKUP("927-050000-200",B:AB,31+8,0),0)</f>
        <v>0</v>
      </c>
      <c r="AO29">
        <f>SUN(INDIRECT(ADDRESS(28,8)):INDIRECT(ADDRESS(28,39)))</f>
        <v>0</v>
      </c>
    </row>
    <row r="30" spans="1:41">
      <c r="H30" t="s">
        <v>179</v>
      </c>
      <c r="J30">
        <f>INDIRECT(ADDRESS(30,9))+INDIRECT(ADDRESS(28,10))-INDIRECT(ADDRESS(29,10))</f>
        <v>0</v>
      </c>
      <c r="K30">
        <f>INDIRECT(ADDRESS(30,10))+INDIRECT(ADDRESS(28,11))-INDIRECT(ADDRESS(29,11))</f>
        <v>0</v>
      </c>
      <c r="L30">
        <f>INDIRECT(ADDRESS(30,11))+INDIRECT(ADDRESS(28,12))-INDIRECT(ADDRESS(29,12))</f>
        <v>0</v>
      </c>
      <c r="M30">
        <f>INDIRECT(ADDRESS(30,12))+INDIRECT(ADDRESS(28,13))-INDIRECT(ADDRESS(29,13))</f>
        <v>0</v>
      </c>
      <c r="N30">
        <f>INDIRECT(ADDRESS(30,13))+INDIRECT(ADDRESS(28,14))-INDIRECT(ADDRESS(29,14))</f>
        <v>0</v>
      </c>
      <c r="O30">
        <f>INDIRECT(ADDRESS(30,14))+INDIRECT(ADDRESS(28,15))-INDIRECT(ADDRESS(29,15))</f>
        <v>0</v>
      </c>
      <c r="P30">
        <f>INDIRECT(ADDRESS(30,15))+INDIRECT(ADDRESS(28,16))-INDIRECT(ADDRESS(29,16))</f>
        <v>0</v>
      </c>
      <c r="Q30">
        <f>INDIRECT(ADDRESS(30,16))+INDIRECT(ADDRESS(28,17))-INDIRECT(ADDRESS(29,17))</f>
        <v>0</v>
      </c>
      <c r="R30">
        <f>INDIRECT(ADDRESS(30,17))+INDIRECT(ADDRESS(28,18))-INDIRECT(ADDRESS(29,18))</f>
        <v>0</v>
      </c>
      <c r="S30">
        <f>INDIRECT(ADDRESS(30,18))+INDIRECT(ADDRESS(28,19))-INDIRECT(ADDRESS(29,19))</f>
        <v>0</v>
      </c>
      <c r="T30">
        <f>INDIRECT(ADDRESS(30,19))+INDIRECT(ADDRESS(28,20))-INDIRECT(ADDRESS(29,20))</f>
        <v>0</v>
      </c>
      <c r="U30">
        <f>INDIRECT(ADDRESS(30,20))+INDIRECT(ADDRESS(28,21))-INDIRECT(ADDRESS(29,21))</f>
        <v>0</v>
      </c>
      <c r="V30">
        <f>INDIRECT(ADDRESS(30,21))+INDIRECT(ADDRESS(28,22))-INDIRECT(ADDRESS(29,22))</f>
        <v>0</v>
      </c>
      <c r="W30">
        <f>INDIRECT(ADDRESS(30,22))+INDIRECT(ADDRESS(28,23))-INDIRECT(ADDRESS(29,23))</f>
        <v>0</v>
      </c>
      <c r="X30">
        <f>INDIRECT(ADDRESS(30,23))+INDIRECT(ADDRESS(28,24))-INDIRECT(ADDRESS(29,24))</f>
        <v>0</v>
      </c>
      <c r="Y30">
        <f>INDIRECT(ADDRESS(30,24))+INDIRECT(ADDRESS(28,25))-INDIRECT(ADDRESS(29,25))</f>
        <v>0</v>
      </c>
      <c r="Z30">
        <f>INDIRECT(ADDRESS(30,25))+INDIRECT(ADDRESS(28,26))-INDIRECT(ADDRESS(29,26))</f>
        <v>0</v>
      </c>
      <c r="AA30">
        <f>INDIRECT(ADDRESS(30,26))+INDIRECT(ADDRESS(28,27))-INDIRECT(ADDRESS(29,27))</f>
        <v>0</v>
      </c>
      <c r="AB30">
        <f>INDIRECT(ADDRESS(30,27))+INDIRECT(ADDRESS(28,28))-INDIRECT(ADDRESS(29,28))</f>
        <v>0</v>
      </c>
      <c r="AC30">
        <f>INDIRECT(ADDRESS(30,28))+INDIRECT(ADDRESS(28,29))-INDIRECT(ADDRESS(29,29))</f>
        <v>0</v>
      </c>
      <c r="AD30">
        <f>INDIRECT(ADDRESS(30,29))+INDIRECT(ADDRESS(28,30))-INDIRECT(ADDRESS(29,30))</f>
        <v>0</v>
      </c>
      <c r="AE30">
        <f>INDIRECT(ADDRESS(30,30))+INDIRECT(ADDRESS(28,31))-INDIRECT(ADDRESS(29,31))</f>
        <v>0</v>
      </c>
      <c r="AF30">
        <f>INDIRECT(ADDRESS(30,31))+INDIRECT(ADDRESS(28,32))-INDIRECT(ADDRESS(29,32))</f>
        <v>0</v>
      </c>
      <c r="AG30">
        <f>INDIRECT(ADDRESS(30,32))+INDIRECT(ADDRESS(28,33))-INDIRECT(ADDRESS(29,33))</f>
        <v>0</v>
      </c>
      <c r="AH30">
        <f>INDIRECT(ADDRESS(30,33))+INDIRECT(ADDRESS(28,34))-INDIRECT(ADDRESS(29,34))</f>
        <v>0</v>
      </c>
      <c r="AI30">
        <f>INDIRECT(ADDRESS(30,34))+INDIRECT(ADDRESS(28,35))-INDIRECT(ADDRESS(29,35))</f>
        <v>0</v>
      </c>
      <c r="AJ30">
        <f>INDIRECT(ADDRESS(30,35))+INDIRECT(ADDRESS(28,36))-INDIRECT(ADDRESS(29,36))</f>
        <v>0</v>
      </c>
      <c r="AK30">
        <f>INDIRECT(ADDRESS(30,36))+INDIRECT(ADDRESS(28,37))-INDIRECT(ADDRESS(29,37))</f>
        <v>0</v>
      </c>
      <c r="AL30">
        <f>INDIRECT(ADDRESS(30,37))+INDIRECT(ADDRESS(28,38))-INDIRECT(ADDRESS(29,38))</f>
        <v>0</v>
      </c>
      <c r="AM30">
        <f>INDIRECT(ADDRESS(30,38))+INDIRECT(ADDRESS(28,39))-INDIRECT(ADDRESS(29,39))</f>
        <v>0</v>
      </c>
      <c r="AN30">
        <f>INDIRECT(ADDRESS(30,39))+INDIRECT(ADDRESS(28,40))-INDIRECT(ADDRESS(29,40))</f>
        <v>0</v>
      </c>
      <c r="AO30">
        <f>SUM(INDIRECT(ADDRESS(29,8)):INDIRECT(ADDRESS(29,39)))</f>
        <v>0</v>
      </c>
    </row>
    <row r="31" spans="1:41">
      <c r="A31" t="s">
        <v>185</v>
      </c>
      <c r="B31" t="s">
        <v>198</v>
      </c>
      <c r="C31" t="s">
        <v>199</v>
      </c>
      <c r="E31">
        <v>2</v>
      </c>
      <c r="F31" t="s">
        <v>11</v>
      </c>
      <c r="I31" t="s">
        <v>177</v>
      </c>
    </row>
    <row r="32" spans="1:41">
      <c r="I32" t="s">
        <v>178</v>
      </c>
      <c r="J32">
        <f>IFERROR(VLOOKUP("927-050000-200",B:AB,1+8,0),0)</f>
        <v>0</v>
      </c>
      <c r="K32">
        <f>IFERROR(VLOOKUP("927-050000-200",B:AB,2+8,0),0)</f>
        <v>0</v>
      </c>
      <c r="L32">
        <f>IFERROR(VLOOKUP("927-050000-200",B:AB,3+8,0),0)</f>
        <v>0</v>
      </c>
      <c r="M32">
        <f>IFERROR(VLOOKUP("927-050000-200",B:AB,4+8,0),0)</f>
        <v>0</v>
      </c>
      <c r="N32">
        <f>IFERROR(VLOOKUP("927-050000-200",B:AB,5+8,0),0)</f>
        <v>0</v>
      </c>
      <c r="O32">
        <f>IFERROR(VLOOKUP("927-050000-200",B:AB,6+8,0),0)</f>
        <v>0</v>
      </c>
      <c r="P32">
        <f>IFERROR(VLOOKUP("927-050000-200",B:AB,7+8,0),0)</f>
        <v>0</v>
      </c>
      <c r="Q32">
        <f>IFERROR(VLOOKUP("927-050000-200",B:AB,8+8,0),0)</f>
        <v>0</v>
      </c>
      <c r="R32">
        <f>IFERROR(VLOOKUP("927-050000-200",B:AB,9+8,0),0)</f>
        <v>0</v>
      </c>
      <c r="S32">
        <f>IFERROR(VLOOKUP("927-050000-200",B:AB,10+8,0),0)</f>
        <v>0</v>
      </c>
      <c r="T32">
        <f>IFERROR(VLOOKUP("927-050000-200",B:AB,11+8,0),0)</f>
        <v>0</v>
      </c>
      <c r="U32">
        <f>IFERROR(VLOOKUP("927-050000-200",B:AB,12+8,0),0)</f>
        <v>0</v>
      </c>
      <c r="V32">
        <f>IFERROR(VLOOKUP("927-050000-200",B:AB,13+8,0),0)</f>
        <v>0</v>
      </c>
      <c r="W32">
        <f>IFERROR(VLOOKUP("927-050000-200",B:AB,14+8,0),0)</f>
        <v>0</v>
      </c>
      <c r="X32">
        <f>IFERROR(VLOOKUP("927-050000-200",B:AB,15+8,0),0)</f>
        <v>0</v>
      </c>
      <c r="Y32">
        <f>IFERROR(VLOOKUP("927-050000-200",B:AB,16+8,0),0)</f>
        <v>0</v>
      </c>
      <c r="Z32">
        <f>IFERROR(VLOOKUP("927-050000-200",B:AB,17+8,0),0)</f>
        <v>0</v>
      </c>
      <c r="AA32">
        <f>IFERROR(VLOOKUP("927-050000-200",B:AB,18+8,0),0)</f>
        <v>0</v>
      </c>
      <c r="AB32">
        <f>IFERROR(VLOOKUP("927-050000-200",B:AB,19+8,0),0)</f>
        <v>0</v>
      </c>
      <c r="AC32">
        <f>IFERROR(VLOOKUP("927-050000-200",B:AB,20+8,0),0)</f>
        <v>0</v>
      </c>
      <c r="AD32">
        <f>IFERROR(VLOOKUP("927-050000-200",B:AB,21+8,0),0)</f>
        <v>0</v>
      </c>
      <c r="AE32">
        <f>IFERROR(VLOOKUP("927-050000-200",B:AB,22+8,0),0)</f>
        <v>0</v>
      </c>
      <c r="AF32">
        <f>IFERROR(VLOOKUP("927-050000-200",B:AB,23+8,0),0)</f>
        <v>0</v>
      </c>
      <c r="AG32">
        <f>IFERROR(VLOOKUP("927-050000-200",B:AB,24+8,0),0)</f>
        <v>0</v>
      </c>
      <c r="AH32">
        <f>IFERROR(VLOOKUP("927-050000-200",B:AB,25+8,0),0)</f>
        <v>0</v>
      </c>
      <c r="AI32">
        <f>IFERROR(VLOOKUP("927-050000-200",B:AB,26+8,0),0)</f>
        <v>0</v>
      </c>
      <c r="AJ32">
        <f>IFERROR(VLOOKUP("927-050000-200",B:AB,27+8,0),0)</f>
        <v>0</v>
      </c>
      <c r="AK32">
        <f>IFERROR(VLOOKUP("927-050000-200",B:AB,28+8,0),0)</f>
        <v>0</v>
      </c>
      <c r="AL32">
        <f>IFERROR(VLOOKUP("927-050000-200",B:AB,29+8,0),0)</f>
        <v>0</v>
      </c>
      <c r="AM32">
        <f>IFERROR(VLOOKUP("927-050000-200",B:AB,30+8,0),0)</f>
        <v>0</v>
      </c>
      <c r="AN32">
        <f>IFERROR(VLOOKUP("927-050000-200",B:AB,31+8,0),0)</f>
        <v>0</v>
      </c>
      <c r="AO32">
        <f>SUN(INDIRECT(ADDRESS(31,8)):INDIRECT(ADDRESS(31,39)))</f>
        <v>0</v>
      </c>
    </row>
    <row r="33" spans="1:41">
      <c r="H33" t="s">
        <v>179</v>
      </c>
      <c r="J33">
        <f>INDIRECT(ADDRESS(33,9))+INDIRECT(ADDRESS(31,10))-INDIRECT(ADDRESS(32,10))</f>
        <v>0</v>
      </c>
      <c r="K33">
        <f>INDIRECT(ADDRESS(33,10))+INDIRECT(ADDRESS(31,11))-INDIRECT(ADDRESS(32,11))</f>
        <v>0</v>
      </c>
      <c r="L33">
        <f>INDIRECT(ADDRESS(33,11))+INDIRECT(ADDRESS(31,12))-INDIRECT(ADDRESS(32,12))</f>
        <v>0</v>
      </c>
      <c r="M33">
        <f>INDIRECT(ADDRESS(33,12))+INDIRECT(ADDRESS(31,13))-INDIRECT(ADDRESS(32,13))</f>
        <v>0</v>
      </c>
      <c r="N33">
        <f>INDIRECT(ADDRESS(33,13))+INDIRECT(ADDRESS(31,14))-INDIRECT(ADDRESS(32,14))</f>
        <v>0</v>
      </c>
      <c r="O33">
        <f>INDIRECT(ADDRESS(33,14))+INDIRECT(ADDRESS(31,15))-INDIRECT(ADDRESS(32,15))</f>
        <v>0</v>
      </c>
      <c r="P33">
        <f>INDIRECT(ADDRESS(33,15))+INDIRECT(ADDRESS(31,16))-INDIRECT(ADDRESS(32,16))</f>
        <v>0</v>
      </c>
      <c r="Q33">
        <f>INDIRECT(ADDRESS(33,16))+INDIRECT(ADDRESS(31,17))-INDIRECT(ADDRESS(32,17))</f>
        <v>0</v>
      </c>
      <c r="R33">
        <f>INDIRECT(ADDRESS(33,17))+INDIRECT(ADDRESS(31,18))-INDIRECT(ADDRESS(32,18))</f>
        <v>0</v>
      </c>
      <c r="S33">
        <f>INDIRECT(ADDRESS(33,18))+INDIRECT(ADDRESS(31,19))-INDIRECT(ADDRESS(32,19))</f>
        <v>0</v>
      </c>
      <c r="T33">
        <f>INDIRECT(ADDRESS(33,19))+INDIRECT(ADDRESS(31,20))-INDIRECT(ADDRESS(32,20))</f>
        <v>0</v>
      </c>
      <c r="U33">
        <f>INDIRECT(ADDRESS(33,20))+INDIRECT(ADDRESS(31,21))-INDIRECT(ADDRESS(32,21))</f>
        <v>0</v>
      </c>
      <c r="V33">
        <f>INDIRECT(ADDRESS(33,21))+INDIRECT(ADDRESS(31,22))-INDIRECT(ADDRESS(32,22))</f>
        <v>0</v>
      </c>
      <c r="W33">
        <f>INDIRECT(ADDRESS(33,22))+INDIRECT(ADDRESS(31,23))-INDIRECT(ADDRESS(32,23))</f>
        <v>0</v>
      </c>
      <c r="X33">
        <f>INDIRECT(ADDRESS(33,23))+INDIRECT(ADDRESS(31,24))-INDIRECT(ADDRESS(32,24))</f>
        <v>0</v>
      </c>
      <c r="Y33">
        <f>INDIRECT(ADDRESS(33,24))+INDIRECT(ADDRESS(31,25))-INDIRECT(ADDRESS(32,25))</f>
        <v>0</v>
      </c>
      <c r="Z33">
        <f>INDIRECT(ADDRESS(33,25))+INDIRECT(ADDRESS(31,26))-INDIRECT(ADDRESS(32,26))</f>
        <v>0</v>
      </c>
      <c r="AA33">
        <f>INDIRECT(ADDRESS(33,26))+INDIRECT(ADDRESS(31,27))-INDIRECT(ADDRESS(32,27))</f>
        <v>0</v>
      </c>
      <c r="AB33">
        <f>INDIRECT(ADDRESS(33,27))+INDIRECT(ADDRESS(31,28))-INDIRECT(ADDRESS(32,28))</f>
        <v>0</v>
      </c>
      <c r="AC33">
        <f>INDIRECT(ADDRESS(33,28))+INDIRECT(ADDRESS(31,29))-INDIRECT(ADDRESS(32,29))</f>
        <v>0</v>
      </c>
      <c r="AD33">
        <f>INDIRECT(ADDRESS(33,29))+INDIRECT(ADDRESS(31,30))-INDIRECT(ADDRESS(32,30))</f>
        <v>0</v>
      </c>
      <c r="AE33">
        <f>INDIRECT(ADDRESS(33,30))+INDIRECT(ADDRESS(31,31))-INDIRECT(ADDRESS(32,31))</f>
        <v>0</v>
      </c>
      <c r="AF33">
        <f>INDIRECT(ADDRESS(33,31))+INDIRECT(ADDRESS(31,32))-INDIRECT(ADDRESS(32,32))</f>
        <v>0</v>
      </c>
      <c r="AG33">
        <f>INDIRECT(ADDRESS(33,32))+INDIRECT(ADDRESS(31,33))-INDIRECT(ADDRESS(32,33))</f>
        <v>0</v>
      </c>
      <c r="AH33">
        <f>INDIRECT(ADDRESS(33,33))+INDIRECT(ADDRESS(31,34))-INDIRECT(ADDRESS(32,34))</f>
        <v>0</v>
      </c>
      <c r="AI33">
        <f>INDIRECT(ADDRESS(33,34))+INDIRECT(ADDRESS(31,35))-INDIRECT(ADDRESS(32,35))</f>
        <v>0</v>
      </c>
      <c r="AJ33">
        <f>INDIRECT(ADDRESS(33,35))+INDIRECT(ADDRESS(31,36))-INDIRECT(ADDRESS(32,36))</f>
        <v>0</v>
      </c>
      <c r="AK33">
        <f>INDIRECT(ADDRESS(33,36))+INDIRECT(ADDRESS(31,37))-INDIRECT(ADDRESS(32,37))</f>
        <v>0</v>
      </c>
      <c r="AL33">
        <f>INDIRECT(ADDRESS(33,37))+INDIRECT(ADDRESS(31,38))-INDIRECT(ADDRESS(32,38))</f>
        <v>0</v>
      </c>
      <c r="AM33">
        <f>INDIRECT(ADDRESS(33,38))+INDIRECT(ADDRESS(31,39))-INDIRECT(ADDRESS(32,39))</f>
        <v>0</v>
      </c>
      <c r="AN33">
        <f>INDIRECT(ADDRESS(33,39))+INDIRECT(ADDRESS(31,40))-INDIRECT(ADDRESS(32,40))</f>
        <v>0</v>
      </c>
      <c r="AO33">
        <f>SUM(INDIRECT(ADDRESS(32,8)):INDIRECT(ADDRESS(32,39)))</f>
        <v>0</v>
      </c>
    </row>
    <row r="34" spans="1:41">
      <c r="A34" t="s">
        <v>185</v>
      </c>
      <c r="B34" t="s">
        <v>200</v>
      </c>
      <c r="C34" t="s">
        <v>201</v>
      </c>
      <c r="E34">
        <v>1</v>
      </c>
      <c r="F34" t="s">
        <v>11</v>
      </c>
      <c r="I34" t="s">
        <v>177</v>
      </c>
    </row>
    <row r="35" spans="1:41">
      <c r="I35" t="s">
        <v>178</v>
      </c>
      <c r="J35">
        <f>IFERROR(VLOOKUP("927-050000-200",B:AB,1+8,0),0)</f>
        <v>0</v>
      </c>
      <c r="K35">
        <f>IFERROR(VLOOKUP("927-050000-200",B:AB,2+8,0),0)</f>
        <v>0</v>
      </c>
      <c r="L35">
        <f>IFERROR(VLOOKUP("927-050000-200",B:AB,3+8,0),0)</f>
        <v>0</v>
      </c>
      <c r="M35">
        <f>IFERROR(VLOOKUP("927-050000-200",B:AB,4+8,0),0)</f>
        <v>0</v>
      </c>
      <c r="N35">
        <f>IFERROR(VLOOKUP("927-050000-200",B:AB,5+8,0),0)</f>
        <v>0</v>
      </c>
      <c r="O35">
        <f>IFERROR(VLOOKUP("927-050000-200",B:AB,6+8,0),0)</f>
        <v>0</v>
      </c>
      <c r="P35">
        <f>IFERROR(VLOOKUP("927-050000-200",B:AB,7+8,0),0)</f>
        <v>0</v>
      </c>
      <c r="Q35">
        <f>IFERROR(VLOOKUP("927-050000-200",B:AB,8+8,0),0)</f>
        <v>0</v>
      </c>
      <c r="R35">
        <f>IFERROR(VLOOKUP("927-050000-200",B:AB,9+8,0),0)</f>
        <v>0</v>
      </c>
      <c r="S35">
        <f>IFERROR(VLOOKUP("927-050000-200",B:AB,10+8,0),0)</f>
        <v>0</v>
      </c>
      <c r="T35">
        <f>IFERROR(VLOOKUP("927-050000-200",B:AB,11+8,0),0)</f>
        <v>0</v>
      </c>
      <c r="U35">
        <f>IFERROR(VLOOKUP("927-050000-200",B:AB,12+8,0),0)</f>
        <v>0</v>
      </c>
      <c r="V35">
        <f>IFERROR(VLOOKUP("927-050000-200",B:AB,13+8,0),0)</f>
        <v>0</v>
      </c>
      <c r="W35">
        <f>IFERROR(VLOOKUP("927-050000-200",B:AB,14+8,0),0)</f>
        <v>0</v>
      </c>
      <c r="X35">
        <f>IFERROR(VLOOKUP("927-050000-200",B:AB,15+8,0),0)</f>
        <v>0</v>
      </c>
      <c r="Y35">
        <f>IFERROR(VLOOKUP("927-050000-200",B:AB,16+8,0),0)</f>
        <v>0</v>
      </c>
      <c r="Z35">
        <f>IFERROR(VLOOKUP("927-050000-200",B:AB,17+8,0),0)</f>
        <v>0</v>
      </c>
      <c r="AA35">
        <f>IFERROR(VLOOKUP("927-050000-200",B:AB,18+8,0),0)</f>
        <v>0</v>
      </c>
      <c r="AB35">
        <f>IFERROR(VLOOKUP("927-050000-200",B:AB,19+8,0),0)</f>
        <v>0</v>
      </c>
      <c r="AC35">
        <f>IFERROR(VLOOKUP("927-050000-200",B:AB,20+8,0),0)</f>
        <v>0</v>
      </c>
      <c r="AD35">
        <f>IFERROR(VLOOKUP("927-050000-200",B:AB,21+8,0),0)</f>
        <v>0</v>
      </c>
      <c r="AE35">
        <f>IFERROR(VLOOKUP("927-050000-200",B:AB,22+8,0),0)</f>
        <v>0</v>
      </c>
      <c r="AF35">
        <f>IFERROR(VLOOKUP("927-050000-200",B:AB,23+8,0),0)</f>
        <v>0</v>
      </c>
      <c r="AG35">
        <f>IFERROR(VLOOKUP("927-050000-200",B:AB,24+8,0),0)</f>
        <v>0</v>
      </c>
      <c r="AH35">
        <f>IFERROR(VLOOKUP("927-050000-200",B:AB,25+8,0),0)</f>
        <v>0</v>
      </c>
      <c r="AI35">
        <f>IFERROR(VLOOKUP("927-050000-200",B:AB,26+8,0),0)</f>
        <v>0</v>
      </c>
      <c r="AJ35">
        <f>IFERROR(VLOOKUP("927-050000-200",B:AB,27+8,0),0)</f>
        <v>0</v>
      </c>
      <c r="AK35">
        <f>IFERROR(VLOOKUP("927-050000-200",B:AB,28+8,0),0)</f>
        <v>0</v>
      </c>
      <c r="AL35">
        <f>IFERROR(VLOOKUP("927-050000-200",B:AB,29+8,0),0)</f>
        <v>0</v>
      </c>
      <c r="AM35">
        <f>IFERROR(VLOOKUP("927-050000-200",B:AB,30+8,0),0)</f>
        <v>0</v>
      </c>
      <c r="AN35">
        <f>IFERROR(VLOOKUP("927-050000-200",B:AB,31+8,0),0)</f>
        <v>0</v>
      </c>
      <c r="AO35">
        <f>SUN(INDIRECT(ADDRESS(34,8)):INDIRECT(ADDRESS(34,39)))</f>
        <v>0</v>
      </c>
    </row>
    <row r="36" spans="1:41">
      <c r="H36" t="s">
        <v>179</v>
      </c>
      <c r="J36">
        <f>INDIRECT(ADDRESS(36,9))+INDIRECT(ADDRESS(34,10))-INDIRECT(ADDRESS(35,10))</f>
        <v>0</v>
      </c>
      <c r="K36">
        <f>INDIRECT(ADDRESS(36,10))+INDIRECT(ADDRESS(34,11))-INDIRECT(ADDRESS(35,11))</f>
        <v>0</v>
      </c>
      <c r="L36">
        <f>INDIRECT(ADDRESS(36,11))+INDIRECT(ADDRESS(34,12))-INDIRECT(ADDRESS(35,12))</f>
        <v>0</v>
      </c>
      <c r="M36">
        <f>INDIRECT(ADDRESS(36,12))+INDIRECT(ADDRESS(34,13))-INDIRECT(ADDRESS(35,13))</f>
        <v>0</v>
      </c>
      <c r="N36">
        <f>INDIRECT(ADDRESS(36,13))+INDIRECT(ADDRESS(34,14))-INDIRECT(ADDRESS(35,14))</f>
        <v>0</v>
      </c>
      <c r="O36">
        <f>INDIRECT(ADDRESS(36,14))+INDIRECT(ADDRESS(34,15))-INDIRECT(ADDRESS(35,15))</f>
        <v>0</v>
      </c>
      <c r="P36">
        <f>INDIRECT(ADDRESS(36,15))+INDIRECT(ADDRESS(34,16))-INDIRECT(ADDRESS(35,16))</f>
        <v>0</v>
      </c>
      <c r="Q36">
        <f>INDIRECT(ADDRESS(36,16))+INDIRECT(ADDRESS(34,17))-INDIRECT(ADDRESS(35,17))</f>
        <v>0</v>
      </c>
      <c r="R36">
        <f>INDIRECT(ADDRESS(36,17))+INDIRECT(ADDRESS(34,18))-INDIRECT(ADDRESS(35,18))</f>
        <v>0</v>
      </c>
      <c r="S36">
        <f>INDIRECT(ADDRESS(36,18))+INDIRECT(ADDRESS(34,19))-INDIRECT(ADDRESS(35,19))</f>
        <v>0</v>
      </c>
      <c r="T36">
        <f>INDIRECT(ADDRESS(36,19))+INDIRECT(ADDRESS(34,20))-INDIRECT(ADDRESS(35,20))</f>
        <v>0</v>
      </c>
      <c r="U36">
        <f>INDIRECT(ADDRESS(36,20))+INDIRECT(ADDRESS(34,21))-INDIRECT(ADDRESS(35,21))</f>
        <v>0</v>
      </c>
      <c r="V36">
        <f>INDIRECT(ADDRESS(36,21))+INDIRECT(ADDRESS(34,22))-INDIRECT(ADDRESS(35,22))</f>
        <v>0</v>
      </c>
      <c r="W36">
        <f>INDIRECT(ADDRESS(36,22))+INDIRECT(ADDRESS(34,23))-INDIRECT(ADDRESS(35,23))</f>
        <v>0</v>
      </c>
      <c r="X36">
        <f>INDIRECT(ADDRESS(36,23))+INDIRECT(ADDRESS(34,24))-INDIRECT(ADDRESS(35,24))</f>
        <v>0</v>
      </c>
      <c r="Y36">
        <f>INDIRECT(ADDRESS(36,24))+INDIRECT(ADDRESS(34,25))-INDIRECT(ADDRESS(35,25))</f>
        <v>0</v>
      </c>
      <c r="Z36">
        <f>INDIRECT(ADDRESS(36,25))+INDIRECT(ADDRESS(34,26))-INDIRECT(ADDRESS(35,26))</f>
        <v>0</v>
      </c>
      <c r="AA36">
        <f>INDIRECT(ADDRESS(36,26))+INDIRECT(ADDRESS(34,27))-INDIRECT(ADDRESS(35,27))</f>
        <v>0</v>
      </c>
      <c r="AB36">
        <f>INDIRECT(ADDRESS(36,27))+INDIRECT(ADDRESS(34,28))-INDIRECT(ADDRESS(35,28))</f>
        <v>0</v>
      </c>
      <c r="AC36">
        <f>INDIRECT(ADDRESS(36,28))+INDIRECT(ADDRESS(34,29))-INDIRECT(ADDRESS(35,29))</f>
        <v>0</v>
      </c>
      <c r="AD36">
        <f>INDIRECT(ADDRESS(36,29))+INDIRECT(ADDRESS(34,30))-INDIRECT(ADDRESS(35,30))</f>
        <v>0</v>
      </c>
      <c r="AE36">
        <f>INDIRECT(ADDRESS(36,30))+INDIRECT(ADDRESS(34,31))-INDIRECT(ADDRESS(35,31))</f>
        <v>0</v>
      </c>
      <c r="AF36">
        <f>INDIRECT(ADDRESS(36,31))+INDIRECT(ADDRESS(34,32))-INDIRECT(ADDRESS(35,32))</f>
        <v>0</v>
      </c>
      <c r="AG36">
        <f>INDIRECT(ADDRESS(36,32))+INDIRECT(ADDRESS(34,33))-INDIRECT(ADDRESS(35,33))</f>
        <v>0</v>
      </c>
      <c r="AH36">
        <f>INDIRECT(ADDRESS(36,33))+INDIRECT(ADDRESS(34,34))-INDIRECT(ADDRESS(35,34))</f>
        <v>0</v>
      </c>
      <c r="AI36">
        <f>INDIRECT(ADDRESS(36,34))+INDIRECT(ADDRESS(34,35))-INDIRECT(ADDRESS(35,35))</f>
        <v>0</v>
      </c>
      <c r="AJ36">
        <f>INDIRECT(ADDRESS(36,35))+INDIRECT(ADDRESS(34,36))-INDIRECT(ADDRESS(35,36))</f>
        <v>0</v>
      </c>
      <c r="AK36">
        <f>INDIRECT(ADDRESS(36,36))+INDIRECT(ADDRESS(34,37))-INDIRECT(ADDRESS(35,37))</f>
        <v>0</v>
      </c>
      <c r="AL36">
        <f>INDIRECT(ADDRESS(36,37))+INDIRECT(ADDRESS(34,38))-INDIRECT(ADDRESS(35,38))</f>
        <v>0</v>
      </c>
      <c r="AM36">
        <f>INDIRECT(ADDRESS(36,38))+INDIRECT(ADDRESS(34,39))-INDIRECT(ADDRESS(35,39))</f>
        <v>0</v>
      </c>
      <c r="AN36">
        <f>INDIRECT(ADDRESS(36,39))+INDIRECT(ADDRESS(34,40))-INDIRECT(ADDRESS(35,40))</f>
        <v>0</v>
      </c>
      <c r="AO36">
        <f>SUM(INDIRECT(ADDRESS(35,8)):INDIRECT(ADDRESS(35,39)))</f>
        <v>0</v>
      </c>
    </row>
    <row r="37" spans="1:41">
      <c r="A37" t="s">
        <v>185</v>
      </c>
      <c r="B37" t="s">
        <v>202</v>
      </c>
      <c r="C37" t="s">
        <v>203</v>
      </c>
      <c r="E37">
        <v>1</v>
      </c>
      <c r="F37" t="s">
        <v>11</v>
      </c>
      <c r="I37" t="s">
        <v>177</v>
      </c>
    </row>
    <row r="38" spans="1:41">
      <c r="I38" t="s">
        <v>178</v>
      </c>
      <c r="J38">
        <f>IFERROR(VLOOKUP("927-050000-200",B:AB,1+8,0),0)</f>
        <v>0</v>
      </c>
      <c r="K38">
        <f>IFERROR(VLOOKUP("927-050000-200",B:AB,2+8,0),0)</f>
        <v>0</v>
      </c>
      <c r="L38">
        <f>IFERROR(VLOOKUP("927-050000-200",B:AB,3+8,0),0)</f>
        <v>0</v>
      </c>
      <c r="M38">
        <f>IFERROR(VLOOKUP("927-050000-200",B:AB,4+8,0),0)</f>
        <v>0</v>
      </c>
      <c r="N38">
        <f>IFERROR(VLOOKUP("927-050000-200",B:AB,5+8,0),0)</f>
        <v>0</v>
      </c>
      <c r="O38">
        <f>IFERROR(VLOOKUP("927-050000-200",B:AB,6+8,0),0)</f>
        <v>0</v>
      </c>
      <c r="P38">
        <f>IFERROR(VLOOKUP("927-050000-200",B:AB,7+8,0),0)</f>
        <v>0</v>
      </c>
      <c r="Q38">
        <f>IFERROR(VLOOKUP("927-050000-200",B:AB,8+8,0),0)</f>
        <v>0</v>
      </c>
      <c r="R38">
        <f>IFERROR(VLOOKUP("927-050000-200",B:AB,9+8,0),0)</f>
        <v>0</v>
      </c>
      <c r="S38">
        <f>IFERROR(VLOOKUP("927-050000-200",B:AB,10+8,0),0)</f>
        <v>0</v>
      </c>
      <c r="T38">
        <f>IFERROR(VLOOKUP("927-050000-200",B:AB,11+8,0),0)</f>
        <v>0</v>
      </c>
      <c r="U38">
        <f>IFERROR(VLOOKUP("927-050000-200",B:AB,12+8,0),0)</f>
        <v>0</v>
      </c>
      <c r="V38">
        <f>IFERROR(VLOOKUP("927-050000-200",B:AB,13+8,0),0)</f>
        <v>0</v>
      </c>
      <c r="W38">
        <f>IFERROR(VLOOKUP("927-050000-200",B:AB,14+8,0),0)</f>
        <v>0</v>
      </c>
      <c r="X38">
        <f>IFERROR(VLOOKUP("927-050000-200",B:AB,15+8,0),0)</f>
        <v>0</v>
      </c>
      <c r="Y38">
        <f>IFERROR(VLOOKUP("927-050000-200",B:AB,16+8,0),0)</f>
        <v>0</v>
      </c>
      <c r="Z38">
        <f>IFERROR(VLOOKUP("927-050000-200",B:AB,17+8,0),0)</f>
        <v>0</v>
      </c>
      <c r="AA38">
        <f>IFERROR(VLOOKUP("927-050000-200",B:AB,18+8,0),0)</f>
        <v>0</v>
      </c>
      <c r="AB38">
        <f>IFERROR(VLOOKUP("927-050000-200",B:AB,19+8,0),0)</f>
        <v>0</v>
      </c>
      <c r="AC38">
        <f>IFERROR(VLOOKUP("927-050000-200",B:AB,20+8,0),0)</f>
        <v>0</v>
      </c>
      <c r="AD38">
        <f>IFERROR(VLOOKUP("927-050000-200",B:AB,21+8,0),0)</f>
        <v>0</v>
      </c>
      <c r="AE38">
        <f>IFERROR(VLOOKUP("927-050000-200",B:AB,22+8,0),0)</f>
        <v>0</v>
      </c>
      <c r="AF38">
        <f>IFERROR(VLOOKUP("927-050000-200",B:AB,23+8,0),0)</f>
        <v>0</v>
      </c>
      <c r="AG38">
        <f>IFERROR(VLOOKUP("927-050000-200",B:AB,24+8,0),0)</f>
        <v>0</v>
      </c>
      <c r="AH38">
        <f>IFERROR(VLOOKUP("927-050000-200",B:AB,25+8,0),0)</f>
        <v>0</v>
      </c>
      <c r="AI38">
        <f>IFERROR(VLOOKUP("927-050000-200",B:AB,26+8,0),0)</f>
        <v>0</v>
      </c>
      <c r="AJ38">
        <f>IFERROR(VLOOKUP("927-050000-200",B:AB,27+8,0),0)</f>
        <v>0</v>
      </c>
      <c r="AK38">
        <f>IFERROR(VLOOKUP("927-050000-200",B:AB,28+8,0),0)</f>
        <v>0</v>
      </c>
      <c r="AL38">
        <f>IFERROR(VLOOKUP("927-050000-200",B:AB,29+8,0),0)</f>
        <v>0</v>
      </c>
      <c r="AM38">
        <f>IFERROR(VLOOKUP("927-050000-200",B:AB,30+8,0),0)</f>
        <v>0</v>
      </c>
      <c r="AN38">
        <f>IFERROR(VLOOKUP("927-050000-200",B:AB,31+8,0),0)</f>
        <v>0</v>
      </c>
      <c r="AO38">
        <f>SUN(INDIRECT(ADDRESS(37,8)):INDIRECT(ADDRESS(37,39)))</f>
        <v>0</v>
      </c>
    </row>
    <row r="39" spans="1:41">
      <c r="H39" t="s">
        <v>179</v>
      </c>
      <c r="J39">
        <f>INDIRECT(ADDRESS(39,9))+INDIRECT(ADDRESS(37,10))-INDIRECT(ADDRESS(38,10))</f>
        <v>0</v>
      </c>
      <c r="K39">
        <f>INDIRECT(ADDRESS(39,10))+INDIRECT(ADDRESS(37,11))-INDIRECT(ADDRESS(38,11))</f>
        <v>0</v>
      </c>
      <c r="L39">
        <f>INDIRECT(ADDRESS(39,11))+INDIRECT(ADDRESS(37,12))-INDIRECT(ADDRESS(38,12))</f>
        <v>0</v>
      </c>
      <c r="M39">
        <f>INDIRECT(ADDRESS(39,12))+INDIRECT(ADDRESS(37,13))-INDIRECT(ADDRESS(38,13))</f>
        <v>0</v>
      </c>
      <c r="N39">
        <f>INDIRECT(ADDRESS(39,13))+INDIRECT(ADDRESS(37,14))-INDIRECT(ADDRESS(38,14))</f>
        <v>0</v>
      </c>
      <c r="O39">
        <f>INDIRECT(ADDRESS(39,14))+INDIRECT(ADDRESS(37,15))-INDIRECT(ADDRESS(38,15))</f>
        <v>0</v>
      </c>
      <c r="P39">
        <f>INDIRECT(ADDRESS(39,15))+INDIRECT(ADDRESS(37,16))-INDIRECT(ADDRESS(38,16))</f>
        <v>0</v>
      </c>
      <c r="Q39">
        <f>INDIRECT(ADDRESS(39,16))+INDIRECT(ADDRESS(37,17))-INDIRECT(ADDRESS(38,17))</f>
        <v>0</v>
      </c>
      <c r="R39">
        <f>INDIRECT(ADDRESS(39,17))+INDIRECT(ADDRESS(37,18))-INDIRECT(ADDRESS(38,18))</f>
        <v>0</v>
      </c>
      <c r="S39">
        <f>INDIRECT(ADDRESS(39,18))+INDIRECT(ADDRESS(37,19))-INDIRECT(ADDRESS(38,19))</f>
        <v>0</v>
      </c>
      <c r="T39">
        <f>INDIRECT(ADDRESS(39,19))+INDIRECT(ADDRESS(37,20))-INDIRECT(ADDRESS(38,20))</f>
        <v>0</v>
      </c>
      <c r="U39">
        <f>INDIRECT(ADDRESS(39,20))+INDIRECT(ADDRESS(37,21))-INDIRECT(ADDRESS(38,21))</f>
        <v>0</v>
      </c>
      <c r="V39">
        <f>INDIRECT(ADDRESS(39,21))+INDIRECT(ADDRESS(37,22))-INDIRECT(ADDRESS(38,22))</f>
        <v>0</v>
      </c>
      <c r="W39">
        <f>INDIRECT(ADDRESS(39,22))+INDIRECT(ADDRESS(37,23))-INDIRECT(ADDRESS(38,23))</f>
        <v>0</v>
      </c>
      <c r="X39">
        <f>INDIRECT(ADDRESS(39,23))+INDIRECT(ADDRESS(37,24))-INDIRECT(ADDRESS(38,24))</f>
        <v>0</v>
      </c>
      <c r="Y39">
        <f>INDIRECT(ADDRESS(39,24))+INDIRECT(ADDRESS(37,25))-INDIRECT(ADDRESS(38,25))</f>
        <v>0</v>
      </c>
      <c r="Z39">
        <f>INDIRECT(ADDRESS(39,25))+INDIRECT(ADDRESS(37,26))-INDIRECT(ADDRESS(38,26))</f>
        <v>0</v>
      </c>
      <c r="AA39">
        <f>INDIRECT(ADDRESS(39,26))+INDIRECT(ADDRESS(37,27))-INDIRECT(ADDRESS(38,27))</f>
        <v>0</v>
      </c>
      <c r="AB39">
        <f>INDIRECT(ADDRESS(39,27))+INDIRECT(ADDRESS(37,28))-INDIRECT(ADDRESS(38,28))</f>
        <v>0</v>
      </c>
      <c r="AC39">
        <f>INDIRECT(ADDRESS(39,28))+INDIRECT(ADDRESS(37,29))-INDIRECT(ADDRESS(38,29))</f>
        <v>0</v>
      </c>
      <c r="AD39">
        <f>INDIRECT(ADDRESS(39,29))+INDIRECT(ADDRESS(37,30))-INDIRECT(ADDRESS(38,30))</f>
        <v>0</v>
      </c>
      <c r="AE39">
        <f>INDIRECT(ADDRESS(39,30))+INDIRECT(ADDRESS(37,31))-INDIRECT(ADDRESS(38,31))</f>
        <v>0</v>
      </c>
      <c r="AF39">
        <f>INDIRECT(ADDRESS(39,31))+INDIRECT(ADDRESS(37,32))-INDIRECT(ADDRESS(38,32))</f>
        <v>0</v>
      </c>
      <c r="AG39">
        <f>INDIRECT(ADDRESS(39,32))+INDIRECT(ADDRESS(37,33))-INDIRECT(ADDRESS(38,33))</f>
        <v>0</v>
      </c>
      <c r="AH39">
        <f>INDIRECT(ADDRESS(39,33))+INDIRECT(ADDRESS(37,34))-INDIRECT(ADDRESS(38,34))</f>
        <v>0</v>
      </c>
      <c r="AI39">
        <f>INDIRECT(ADDRESS(39,34))+INDIRECT(ADDRESS(37,35))-INDIRECT(ADDRESS(38,35))</f>
        <v>0</v>
      </c>
      <c r="AJ39">
        <f>INDIRECT(ADDRESS(39,35))+INDIRECT(ADDRESS(37,36))-INDIRECT(ADDRESS(38,36))</f>
        <v>0</v>
      </c>
      <c r="AK39">
        <f>INDIRECT(ADDRESS(39,36))+INDIRECT(ADDRESS(37,37))-INDIRECT(ADDRESS(38,37))</f>
        <v>0</v>
      </c>
      <c r="AL39">
        <f>INDIRECT(ADDRESS(39,37))+INDIRECT(ADDRESS(37,38))-INDIRECT(ADDRESS(38,38))</f>
        <v>0</v>
      </c>
      <c r="AM39">
        <f>INDIRECT(ADDRESS(39,38))+INDIRECT(ADDRESS(37,39))-INDIRECT(ADDRESS(38,39))</f>
        <v>0</v>
      </c>
      <c r="AN39">
        <f>INDIRECT(ADDRESS(39,39))+INDIRECT(ADDRESS(37,40))-INDIRECT(ADDRESS(38,40))</f>
        <v>0</v>
      </c>
      <c r="AO39">
        <f>SUM(INDIRECT(ADDRESS(38,8)):INDIRECT(ADDRESS(38,39)))</f>
        <v>0</v>
      </c>
    </row>
    <row r="40" spans="1:41">
      <c r="A40" t="s">
        <v>204</v>
      </c>
      <c r="B40" t="s">
        <v>202</v>
      </c>
      <c r="C40" t="s">
        <v>203</v>
      </c>
      <c r="E40">
        <v>0.17</v>
      </c>
      <c r="F40" t="s">
        <v>205</v>
      </c>
      <c r="I40" t="s">
        <v>177</v>
      </c>
    </row>
    <row r="41" spans="1:41">
      <c r="I41" t="s">
        <v>178</v>
      </c>
      <c r="J41">
        <f>IFERROR(VLOOKUP("927-050000-200",B:AB,1+8,0),0)</f>
        <v>0</v>
      </c>
      <c r="K41">
        <f>IFERROR(VLOOKUP("927-050000-200",B:AB,2+8,0),0)</f>
        <v>0</v>
      </c>
      <c r="L41">
        <f>IFERROR(VLOOKUP("927-050000-200",B:AB,3+8,0),0)</f>
        <v>0</v>
      </c>
      <c r="M41">
        <f>IFERROR(VLOOKUP("927-050000-200",B:AB,4+8,0),0)</f>
        <v>0</v>
      </c>
      <c r="N41">
        <f>IFERROR(VLOOKUP("927-050000-200",B:AB,5+8,0),0)</f>
        <v>0</v>
      </c>
      <c r="O41">
        <f>IFERROR(VLOOKUP("927-050000-200",B:AB,6+8,0),0)</f>
        <v>0</v>
      </c>
      <c r="P41">
        <f>IFERROR(VLOOKUP("927-050000-200",B:AB,7+8,0),0)</f>
        <v>0</v>
      </c>
      <c r="Q41">
        <f>IFERROR(VLOOKUP("927-050000-200",B:AB,8+8,0),0)</f>
        <v>0</v>
      </c>
      <c r="R41">
        <f>IFERROR(VLOOKUP("927-050000-200",B:AB,9+8,0),0)</f>
        <v>0</v>
      </c>
      <c r="S41">
        <f>IFERROR(VLOOKUP("927-050000-200",B:AB,10+8,0),0)</f>
        <v>0</v>
      </c>
      <c r="T41">
        <f>IFERROR(VLOOKUP("927-050000-200",B:AB,11+8,0),0)</f>
        <v>0</v>
      </c>
      <c r="U41">
        <f>IFERROR(VLOOKUP("927-050000-200",B:AB,12+8,0),0)</f>
        <v>0</v>
      </c>
      <c r="V41">
        <f>IFERROR(VLOOKUP("927-050000-200",B:AB,13+8,0),0)</f>
        <v>0</v>
      </c>
      <c r="W41">
        <f>IFERROR(VLOOKUP("927-050000-200",B:AB,14+8,0),0)</f>
        <v>0</v>
      </c>
      <c r="X41">
        <f>IFERROR(VLOOKUP("927-050000-200",B:AB,15+8,0),0)</f>
        <v>0</v>
      </c>
      <c r="Y41">
        <f>IFERROR(VLOOKUP("927-050000-200",B:AB,16+8,0),0)</f>
        <v>0</v>
      </c>
      <c r="Z41">
        <f>IFERROR(VLOOKUP("927-050000-200",B:AB,17+8,0),0)</f>
        <v>0</v>
      </c>
      <c r="AA41">
        <f>IFERROR(VLOOKUP("927-050000-200",B:AB,18+8,0),0)</f>
        <v>0</v>
      </c>
      <c r="AB41">
        <f>IFERROR(VLOOKUP("927-050000-200",B:AB,19+8,0),0)</f>
        <v>0</v>
      </c>
      <c r="AC41">
        <f>IFERROR(VLOOKUP("927-050000-200",B:AB,20+8,0),0)</f>
        <v>0</v>
      </c>
      <c r="AD41">
        <f>IFERROR(VLOOKUP("927-050000-200",B:AB,21+8,0),0)</f>
        <v>0</v>
      </c>
      <c r="AE41">
        <f>IFERROR(VLOOKUP("927-050000-200",B:AB,22+8,0),0)</f>
        <v>0</v>
      </c>
      <c r="AF41">
        <f>IFERROR(VLOOKUP("927-050000-200",B:AB,23+8,0),0)</f>
        <v>0</v>
      </c>
      <c r="AG41">
        <f>IFERROR(VLOOKUP("927-050000-200",B:AB,24+8,0),0)</f>
        <v>0</v>
      </c>
      <c r="AH41">
        <f>IFERROR(VLOOKUP("927-050000-200",B:AB,25+8,0),0)</f>
        <v>0</v>
      </c>
      <c r="AI41">
        <f>IFERROR(VLOOKUP("927-050000-200",B:AB,26+8,0),0)</f>
        <v>0</v>
      </c>
      <c r="AJ41">
        <f>IFERROR(VLOOKUP("927-050000-200",B:AB,27+8,0),0)</f>
        <v>0</v>
      </c>
      <c r="AK41">
        <f>IFERROR(VLOOKUP("927-050000-200",B:AB,28+8,0),0)</f>
        <v>0</v>
      </c>
      <c r="AL41">
        <f>IFERROR(VLOOKUP("927-050000-200",B:AB,29+8,0),0)</f>
        <v>0</v>
      </c>
      <c r="AM41">
        <f>IFERROR(VLOOKUP("927-050000-200",B:AB,30+8,0),0)</f>
        <v>0</v>
      </c>
      <c r="AN41">
        <f>IFERROR(VLOOKUP("927-050000-200",B:AB,31+8,0),0)</f>
        <v>0</v>
      </c>
      <c r="AO41">
        <f>SUN(INDIRECT(ADDRESS(40,8)):INDIRECT(ADDRESS(40,39)))</f>
        <v>0</v>
      </c>
    </row>
    <row r="42" spans="1:41">
      <c r="H42" t="s">
        <v>179</v>
      </c>
      <c r="J42">
        <f>INDIRECT(ADDRESS(42,9))+INDIRECT(ADDRESS(40,10))-INDIRECT(ADDRESS(41,10))</f>
        <v>0</v>
      </c>
      <c r="K42">
        <f>INDIRECT(ADDRESS(42,10))+INDIRECT(ADDRESS(40,11))-INDIRECT(ADDRESS(41,11))</f>
        <v>0</v>
      </c>
      <c r="L42">
        <f>INDIRECT(ADDRESS(42,11))+INDIRECT(ADDRESS(40,12))-INDIRECT(ADDRESS(41,12))</f>
        <v>0</v>
      </c>
      <c r="M42">
        <f>INDIRECT(ADDRESS(42,12))+INDIRECT(ADDRESS(40,13))-INDIRECT(ADDRESS(41,13))</f>
        <v>0</v>
      </c>
      <c r="N42">
        <f>INDIRECT(ADDRESS(42,13))+INDIRECT(ADDRESS(40,14))-INDIRECT(ADDRESS(41,14))</f>
        <v>0</v>
      </c>
      <c r="O42">
        <f>INDIRECT(ADDRESS(42,14))+INDIRECT(ADDRESS(40,15))-INDIRECT(ADDRESS(41,15))</f>
        <v>0</v>
      </c>
      <c r="P42">
        <f>INDIRECT(ADDRESS(42,15))+INDIRECT(ADDRESS(40,16))-INDIRECT(ADDRESS(41,16))</f>
        <v>0</v>
      </c>
      <c r="Q42">
        <f>INDIRECT(ADDRESS(42,16))+INDIRECT(ADDRESS(40,17))-INDIRECT(ADDRESS(41,17))</f>
        <v>0</v>
      </c>
      <c r="R42">
        <f>INDIRECT(ADDRESS(42,17))+INDIRECT(ADDRESS(40,18))-INDIRECT(ADDRESS(41,18))</f>
        <v>0</v>
      </c>
      <c r="S42">
        <f>INDIRECT(ADDRESS(42,18))+INDIRECT(ADDRESS(40,19))-INDIRECT(ADDRESS(41,19))</f>
        <v>0</v>
      </c>
      <c r="T42">
        <f>INDIRECT(ADDRESS(42,19))+INDIRECT(ADDRESS(40,20))-INDIRECT(ADDRESS(41,20))</f>
        <v>0</v>
      </c>
      <c r="U42">
        <f>INDIRECT(ADDRESS(42,20))+INDIRECT(ADDRESS(40,21))-INDIRECT(ADDRESS(41,21))</f>
        <v>0</v>
      </c>
      <c r="V42">
        <f>INDIRECT(ADDRESS(42,21))+INDIRECT(ADDRESS(40,22))-INDIRECT(ADDRESS(41,22))</f>
        <v>0</v>
      </c>
      <c r="W42">
        <f>INDIRECT(ADDRESS(42,22))+INDIRECT(ADDRESS(40,23))-INDIRECT(ADDRESS(41,23))</f>
        <v>0</v>
      </c>
      <c r="X42">
        <f>INDIRECT(ADDRESS(42,23))+INDIRECT(ADDRESS(40,24))-INDIRECT(ADDRESS(41,24))</f>
        <v>0</v>
      </c>
      <c r="Y42">
        <f>INDIRECT(ADDRESS(42,24))+INDIRECT(ADDRESS(40,25))-INDIRECT(ADDRESS(41,25))</f>
        <v>0</v>
      </c>
      <c r="Z42">
        <f>INDIRECT(ADDRESS(42,25))+INDIRECT(ADDRESS(40,26))-INDIRECT(ADDRESS(41,26))</f>
        <v>0</v>
      </c>
      <c r="AA42">
        <f>INDIRECT(ADDRESS(42,26))+INDIRECT(ADDRESS(40,27))-INDIRECT(ADDRESS(41,27))</f>
        <v>0</v>
      </c>
      <c r="AB42">
        <f>INDIRECT(ADDRESS(42,27))+INDIRECT(ADDRESS(40,28))-INDIRECT(ADDRESS(41,28))</f>
        <v>0</v>
      </c>
      <c r="AC42">
        <f>INDIRECT(ADDRESS(42,28))+INDIRECT(ADDRESS(40,29))-INDIRECT(ADDRESS(41,29))</f>
        <v>0</v>
      </c>
      <c r="AD42">
        <f>INDIRECT(ADDRESS(42,29))+INDIRECT(ADDRESS(40,30))-INDIRECT(ADDRESS(41,30))</f>
        <v>0</v>
      </c>
      <c r="AE42">
        <f>INDIRECT(ADDRESS(42,30))+INDIRECT(ADDRESS(40,31))-INDIRECT(ADDRESS(41,31))</f>
        <v>0</v>
      </c>
      <c r="AF42">
        <f>INDIRECT(ADDRESS(42,31))+INDIRECT(ADDRESS(40,32))-INDIRECT(ADDRESS(41,32))</f>
        <v>0</v>
      </c>
      <c r="AG42">
        <f>INDIRECT(ADDRESS(42,32))+INDIRECT(ADDRESS(40,33))-INDIRECT(ADDRESS(41,33))</f>
        <v>0</v>
      </c>
      <c r="AH42">
        <f>INDIRECT(ADDRESS(42,33))+INDIRECT(ADDRESS(40,34))-INDIRECT(ADDRESS(41,34))</f>
        <v>0</v>
      </c>
      <c r="AI42">
        <f>INDIRECT(ADDRESS(42,34))+INDIRECT(ADDRESS(40,35))-INDIRECT(ADDRESS(41,35))</f>
        <v>0</v>
      </c>
      <c r="AJ42">
        <f>INDIRECT(ADDRESS(42,35))+INDIRECT(ADDRESS(40,36))-INDIRECT(ADDRESS(41,36))</f>
        <v>0</v>
      </c>
      <c r="AK42">
        <f>INDIRECT(ADDRESS(42,36))+INDIRECT(ADDRESS(40,37))-INDIRECT(ADDRESS(41,37))</f>
        <v>0</v>
      </c>
      <c r="AL42">
        <f>INDIRECT(ADDRESS(42,37))+INDIRECT(ADDRESS(40,38))-INDIRECT(ADDRESS(41,38))</f>
        <v>0</v>
      </c>
      <c r="AM42">
        <f>INDIRECT(ADDRESS(42,38))+INDIRECT(ADDRESS(40,39))-INDIRECT(ADDRESS(41,39))</f>
        <v>0</v>
      </c>
      <c r="AN42">
        <f>INDIRECT(ADDRESS(42,39))+INDIRECT(ADDRESS(40,40))-INDIRECT(ADDRESS(41,40))</f>
        <v>0</v>
      </c>
      <c r="AO42">
        <f>SUM(INDIRECT(ADDRESS(41,8)):INDIRECT(ADDRESS(41,39)))</f>
        <v>0</v>
      </c>
    </row>
    <row r="43" spans="1:41">
      <c r="A43" t="s">
        <v>206</v>
      </c>
      <c r="B43" t="s">
        <v>202</v>
      </c>
      <c r="C43" t="s">
        <v>203</v>
      </c>
      <c r="E43">
        <v>0.17</v>
      </c>
      <c r="F43" t="s">
        <v>11</v>
      </c>
      <c r="I43" t="s">
        <v>177</v>
      </c>
    </row>
    <row r="44" spans="1:41">
      <c r="I44" t="s">
        <v>178</v>
      </c>
      <c r="J44">
        <f>IFERROR(VLOOKUP("927-050000-200",B:AB,1+8,0),0)</f>
        <v>0</v>
      </c>
      <c r="K44">
        <f>IFERROR(VLOOKUP("927-050000-200",B:AB,2+8,0),0)</f>
        <v>0</v>
      </c>
      <c r="L44">
        <f>IFERROR(VLOOKUP("927-050000-200",B:AB,3+8,0),0)</f>
        <v>0</v>
      </c>
      <c r="M44">
        <f>IFERROR(VLOOKUP("927-050000-200",B:AB,4+8,0),0)</f>
        <v>0</v>
      </c>
      <c r="N44">
        <f>IFERROR(VLOOKUP("927-050000-200",B:AB,5+8,0),0)</f>
        <v>0</v>
      </c>
      <c r="O44">
        <f>IFERROR(VLOOKUP("927-050000-200",B:AB,6+8,0),0)</f>
        <v>0</v>
      </c>
      <c r="P44">
        <f>IFERROR(VLOOKUP("927-050000-200",B:AB,7+8,0),0)</f>
        <v>0</v>
      </c>
      <c r="Q44">
        <f>IFERROR(VLOOKUP("927-050000-200",B:AB,8+8,0),0)</f>
        <v>0</v>
      </c>
      <c r="R44">
        <f>IFERROR(VLOOKUP("927-050000-200",B:AB,9+8,0),0)</f>
        <v>0</v>
      </c>
      <c r="S44">
        <f>IFERROR(VLOOKUP("927-050000-200",B:AB,10+8,0),0)</f>
        <v>0</v>
      </c>
      <c r="T44">
        <f>IFERROR(VLOOKUP("927-050000-200",B:AB,11+8,0),0)</f>
        <v>0</v>
      </c>
      <c r="U44">
        <f>IFERROR(VLOOKUP("927-050000-200",B:AB,12+8,0),0)</f>
        <v>0</v>
      </c>
      <c r="V44">
        <f>IFERROR(VLOOKUP("927-050000-200",B:AB,13+8,0),0)</f>
        <v>0</v>
      </c>
      <c r="W44">
        <f>IFERROR(VLOOKUP("927-050000-200",B:AB,14+8,0),0)</f>
        <v>0</v>
      </c>
      <c r="X44">
        <f>IFERROR(VLOOKUP("927-050000-200",B:AB,15+8,0),0)</f>
        <v>0</v>
      </c>
      <c r="Y44">
        <f>IFERROR(VLOOKUP("927-050000-200",B:AB,16+8,0),0)</f>
        <v>0</v>
      </c>
      <c r="Z44">
        <f>IFERROR(VLOOKUP("927-050000-200",B:AB,17+8,0),0)</f>
        <v>0</v>
      </c>
      <c r="AA44">
        <f>IFERROR(VLOOKUP("927-050000-200",B:AB,18+8,0),0)</f>
        <v>0</v>
      </c>
      <c r="AB44">
        <f>IFERROR(VLOOKUP("927-050000-200",B:AB,19+8,0),0)</f>
        <v>0</v>
      </c>
      <c r="AC44">
        <f>IFERROR(VLOOKUP("927-050000-200",B:AB,20+8,0),0)</f>
        <v>0</v>
      </c>
      <c r="AD44">
        <f>IFERROR(VLOOKUP("927-050000-200",B:AB,21+8,0),0)</f>
        <v>0</v>
      </c>
      <c r="AE44">
        <f>IFERROR(VLOOKUP("927-050000-200",B:AB,22+8,0),0)</f>
        <v>0</v>
      </c>
      <c r="AF44">
        <f>IFERROR(VLOOKUP("927-050000-200",B:AB,23+8,0),0)</f>
        <v>0</v>
      </c>
      <c r="AG44">
        <f>IFERROR(VLOOKUP("927-050000-200",B:AB,24+8,0),0)</f>
        <v>0</v>
      </c>
      <c r="AH44">
        <f>IFERROR(VLOOKUP("927-050000-200",B:AB,25+8,0),0)</f>
        <v>0</v>
      </c>
      <c r="AI44">
        <f>IFERROR(VLOOKUP("927-050000-200",B:AB,26+8,0),0)</f>
        <v>0</v>
      </c>
      <c r="AJ44">
        <f>IFERROR(VLOOKUP("927-050000-200",B:AB,27+8,0),0)</f>
        <v>0</v>
      </c>
      <c r="AK44">
        <f>IFERROR(VLOOKUP("927-050000-200",B:AB,28+8,0),0)</f>
        <v>0</v>
      </c>
      <c r="AL44">
        <f>IFERROR(VLOOKUP("927-050000-200",B:AB,29+8,0),0)</f>
        <v>0</v>
      </c>
      <c r="AM44">
        <f>IFERROR(VLOOKUP("927-050000-200",B:AB,30+8,0),0)</f>
        <v>0</v>
      </c>
      <c r="AN44">
        <f>IFERROR(VLOOKUP("927-050000-200",B:AB,31+8,0),0)</f>
        <v>0</v>
      </c>
      <c r="AO44">
        <f>SUN(INDIRECT(ADDRESS(43,8)):INDIRECT(ADDRESS(43,39)))</f>
        <v>0</v>
      </c>
    </row>
    <row r="45" spans="1:41">
      <c r="H45" t="s">
        <v>179</v>
      </c>
      <c r="J45">
        <f>INDIRECT(ADDRESS(45,9))+INDIRECT(ADDRESS(43,10))-INDIRECT(ADDRESS(44,10))</f>
        <v>0</v>
      </c>
      <c r="K45">
        <f>INDIRECT(ADDRESS(45,10))+INDIRECT(ADDRESS(43,11))-INDIRECT(ADDRESS(44,11))</f>
        <v>0</v>
      </c>
      <c r="L45">
        <f>INDIRECT(ADDRESS(45,11))+INDIRECT(ADDRESS(43,12))-INDIRECT(ADDRESS(44,12))</f>
        <v>0</v>
      </c>
      <c r="M45">
        <f>INDIRECT(ADDRESS(45,12))+INDIRECT(ADDRESS(43,13))-INDIRECT(ADDRESS(44,13))</f>
        <v>0</v>
      </c>
      <c r="N45">
        <f>INDIRECT(ADDRESS(45,13))+INDIRECT(ADDRESS(43,14))-INDIRECT(ADDRESS(44,14))</f>
        <v>0</v>
      </c>
      <c r="O45">
        <f>INDIRECT(ADDRESS(45,14))+INDIRECT(ADDRESS(43,15))-INDIRECT(ADDRESS(44,15))</f>
        <v>0</v>
      </c>
      <c r="P45">
        <f>INDIRECT(ADDRESS(45,15))+INDIRECT(ADDRESS(43,16))-INDIRECT(ADDRESS(44,16))</f>
        <v>0</v>
      </c>
      <c r="Q45">
        <f>INDIRECT(ADDRESS(45,16))+INDIRECT(ADDRESS(43,17))-INDIRECT(ADDRESS(44,17))</f>
        <v>0</v>
      </c>
      <c r="R45">
        <f>INDIRECT(ADDRESS(45,17))+INDIRECT(ADDRESS(43,18))-INDIRECT(ADDRESS(44,18))</f>
        <v>0</v>
      </c>
      <c r="S45">
        <f>INDIRECT(ADDRESS(45,18))+INDIRECT(ADDRESS(43,19))-INDIRECT(ADDRESS(44,19))</f>
        <v>0</v>
      </c>
      <c r="T45">
        <f>INDIRECT(ADDRESS(45,19))+INDIRECT(ADDRESS(43,20))-INDIRECT(ADDRESS(44,20))</f>
        <v>0</v>
      </c>
      <c r="U45">
        <f>INDIRECT(ADDRESS(45,20))+INDIRECT(ADDRESS(43,21))-INDIRECT(ADDRESS(44,21))</f>
        <v>0</v>
      </c>
      <c r="V45">
        <f>INDIRECT(ADDRESS(45,21))+INDIRECT(ADDRESS(43,22))-INDIRECT(ADDRESS(44,22))</f>
        <v>0</v>
      </c>
      <c r="W45">
        <f>INDIRECT(ADDRESS(45,22))+INDIRECT(ADDRESS(43,23))-INDIRECT(ADDRESS(44,23))</f>
        <v>0</v>
      </c>
      <c r="X45">
        <f>INDIRECT(ADDRESS(45,23))+INDIRECT(ADDRESS(43,24))-INDIRECT(ADDRESS(44,24))</f>
        <v>0</v>
      </c>
      <c r="Y45">
        <f>INDIRECT(ADDRESS(45,24))+INDIRECT(ADDRESS(43,25))-INDIRECT(ADDRESS(44,25))</f>
        <v>0</v>
      </c>
      <c r="Z45">
        <f>INDIRECT(ADDRESS(45,25))+INDIRECT(ADDRESS(43,26))-INDIRECT(ADDRESS(44,26))</f>
        <v>0</v>
      </c>
      <c r="AA45">
        <f>INDIRECT(ADDRESS(45,26))+INDIRECT(ADDRESS(43,27))-INDIRECT(ADDRESS(44,27))</f>
        <v>0</v>
      </c>
      <c r="AB45">
        <f>INDIRECT(ADDRESS(45,27))+INDIRECT(ADDRESS(43,28))-INDIRECT(ADDRESS(44,28))</f>
        <v>0</v>
      </c>
      <c r="AC45">
        <f>INDIRECT(ADDRESS(45,28))+INDIRECT(ADDRESS(43,29))-INDIRECT(ADDRESS(44,29))</f>
        <v>0</v>
      </c>
      <c r="AD45">
        <f>INDIRECT(ADDRESS(45,29))+INDIRECT(ADDRESS(43,30))-INDIRECT(ADDRESS(44,30))</f>
        <v>0</v>
      </c>
      <c r="AE45">
        <f>INDIRECT(ADDRESS(45,30))+INDIRECT(ADDRESS(43,31))-INDIRECT(ADDRESS(44,31))</f>
        <v>0</v>
      </c>
      <c r="AF45">
        <f>INDIRECT(ADDRESS(45,31))+INDIRECT(ADDRESS(43,32))-INDIRECT(ADDRESS(44,32))</f>
        <v>0</v>
      </c>
      <c r="AG45">
        <f>INDIRECT(ADDRESS(45,32))+INDIRECT(ADDRESS(43,33))-INDIRECT(ADDRESS(44,33))</f>
        <v>0</v>
      </c>
      <c r="AH45">
        <f>INDIRECT(ADDRESS(45,33))+INDIRECT(ADDRESS(43,34))-INDIRECT(ADDRESS(44,34))</f>
        <v>0</v>
      </c>
      <c r="AI45">
        <f>INDIRECT(ADDRESS(45,34))+INDIRECT(ADDRESS(43,35))-INDIRECT(ADDRESS(44,35))</f>
        <v>0</v>
      </c>
      <c r="AJ45">
        <f>INDIRECT(ADDRESS(45,35))+INDIRECT(ADDRESS(43,36))-INDIRECT(ADDRESS(44,36))</f>
        <v>0</v>
      </c>
      <c r="AK45">
        <f>INDIRECT(ADDRESS(45,36))+INDIRECT(ADDRESS(43,37))-INDIRECT(ADDRESS(44,37))</f>
        <v>0</v>
      </c>
      <c r="AL45">
        <f>INDIRECT(ADDRESS(45,37))+INDIRECT(ADDRESS(43,38))-INDIRECT(ADDRESS(44,38))</f>
        <v>0</v>
      </c>
      <c r="AM45">
        <f>INDIRECT(ADDRESS(45,38))+INDIRECT(ADDRESS(43,39))-INDIRECT(ADDRESS(44,39))</f>
        <v>0</v>
      </c>
      <c r="AN45">
        <f>INDIRECT(ADDRESS(45,39))+INDIRECT(ADDRESS(43,40))-INDIRECT(ADDRESS(44,40))</f>
        <v>0</v>
      </c>
      <c r="AO45">
        <f>SUM(INDIRECT(ADDRESS(44,8)):INDIRECT(ADDRESS(44,39)))</f>
        <v>0</v>
      </c>
    </row>
    <row r="46" spans="1:41">
      <c r="A46" t="s">
        <v>8</v>
      </c>
      <c r="B46" t="s">
        <v>12</v>
      </c>
      <c r="C46" t="s">
        <v>10</v>
      </c>
      <c r="E46">
        <v>1</v>
      </c>
      <c r="F46" t="s">
        <v>11</v>
      </c>
      <c r="I46" t="s">
        <v>177</v>
      </c>
    </row>
    <row r="47" spans="1:41">
      <c r="I47" t="s">
        <v>178</v>
      </c>
      <c r="J47">
        <f>IFERROR(VLOOKUP("927-050000-100",Out!B:AB,1+8,0),0)</f>
        <v>0</v>
      </c>
      <c r="K47">
        <f>IFERROR(VLOOKUP("927-050000-100",Out!B:AB,2+8,0),0)</f>
        <v>0</v>
      </c>
      <c r="L47">
        <f>IFERROR(VLOOKUP("927-050000-100",Out!B:AB,3+8,0),0)</f>
        <v>0</v>
      </c>
      <c r="M47">
        <f>IFERROR(VLOOKUP("927-050000-100",Out!B:AB,4+8,0),0)</f>
        <v>0</v>
      </c>
      <c r="N47">
        <f>IFERROR(VLOOKUP("927-050000-100",Out!B:AB,5+8,0),0)</f>
        <v>0</v>
      </c>
      <c r="O47">
        <f>IFERROR(VLOOKUP("927-050000-100",Out!B:AB,6+8,0),0)</f>
        <v>0</v>
      </c>
      <c r="P47">
        <f>IFERROR(VLOOKUP("927-050000-100",Out!B:AB,7+8,0),0)</f>
        <v>0</v>
      </c>
      <c r="Q47">
        <f>IFERROR(VLOOKUP("927-050000-100",Out!B:AB,8+8,0),0)</f>
        <v>0</v>
      </c>
      <c r="R47">
        <f>IFERROR(VLOOKUP("927-050000-100",Out!B:AB,9+8,0),0)</f>
        <v>0</v>
      </c>
      <c r="S47">
        <f>IFERROR(VLOOKUP("927-050000-100",Out!B:AB,10+8,0),0)</f>
        <v>0</v>
      </c>
      <c r="T47">
        <f>IFERROR(VLOOKUP("927-050000-100",Out!B:AB,11+8,0),0)</f>
        <v>0</v>
      </c>
      <c r="U47">
        <f>IFERROR(VLOOKUP("927-050000-100",Out!B:AB,12+8,0),0)</f>
        <v>0</v>
      </c>
      <c r="V47">
        <f>IFERROR(VLOOKUP("927-050000-100",Out!B:AB,13+8,0),0)</f>
        <v>0</v>
      </c>
      <c r="W47">
        <f>IFERROR(VLOOKUP("927-050000-100",Out!B:AB,14+8,0),0)</f>
        <v>0</v>
      </c>
      <c r="X47">
        <f>IFERROR(VLOOKUP("927-050000-100",Out!B:AB,15+8,0),0)</f>
        <v>0</v>
      </c>
      <c r="Y47">
        <f>IFERROR(VLOOKUP("927-050000-100",Out!B:AB,16+8,0),0)</f>
        <v>0</v>
      </c>
      <c r="Z47">
        <f>IFERROR(VLOOKUP("927-050000-100",Out!B:AB,17+8,0),0)</f>
        <v>0</v>
      </c>
      <c r="AA47">
        <f>IFERROR(VLOOKUP("927-050000-100",Out!B:AB,18+8,0),0)</f>
        <v>0</v>
      </c>
      <c r="AB47">
        <f>IFERROR(VLOOKUP("927-050000-100",Out!B:AB,19+8,0),0)</f>
        <v>0</v>
      </c>
      <c r="AC47">
        <f>IFERROR(VLOOKUP("927-050000-100",Out!B:AB,20+8,0),0)</f>
        <v>0</v>
      </c>
      <c r="AD47">
        <f>IFERROR(VLOOKUP("927-050000-100",Out!B:AB,21+8,0),0)</f>
        <v>0</v>
      </c>
      <c r="AE47">
        <f>IFERROR(VLOOKUP("927-050000-100",Out!B:AB,22+8,0),0)</f>
        <v>0</v>
      </c>
      <c r="AF47">
        <f>IFERROR(VLOOKUP("927-050000-100",Out!B:AB,23+8,0),0)</f>
        <v>0</v>
      </c>
      <c r="AG47">
        <f>IFERROR(VLOOKUP("927-050000-100",Out!B:AB,24+8,0),0)</f>
        <v>0</v>
      </c>
      <c r="AH47">
        <f>IFERROR(VLOOKUP("927-050000-100",Out!B:AB,25+8,0),0)</f>
        <v>0</v>
      </c>
      <c r="AI47">
        <f>IFERROR(VLOOKUP("927-050000-100",Out!B:AB,26+8,0),0)</f>
        <v>0</v>
      </c>
      <c r="AJ47">
        <f>IFERROR(VLOOKUP("927-050000-100",Out!B:AB,27+8,0),0)</f>
        <v>0</v>
      </c>
      <c r="AK47">
        <f>IFERROR(VLOOKUP("927-050000-100",Out!B:AB,28+8,0),0)</f>
        <v>0</v>
      </c>
      <c r="AL47">
        <f>IFERROR(VLOOKUP("927-050000-100",Out!B:AB,29+8,0),0)</f>
        <v>0</v>
      </c>
      <c r="AM47">
        <f>IFERROR(VLOOKUP("927-050000-100",Out!B:AB,30+8,0),0)</f>
        <v>0</v>
      </c>
      <c r="AN47">
        <f>IFERROR(VLOOKUP("927-050000-100",Out!B:AB,31+8,0),0)</f>
        <v>0</v>
      </c>
      <c r="AO47">
        <f>SUN(INDIRECT(ADDRESS(46,8)):INDIRECT(ADDRESS(46,39)))</f>
        <v>0</v>
      </c>
    </row>
    <row r="48" spans="1:41">
      <c r="H48" t="s">
        <v>179</v>
      </c>
      <c r="J48">
        <f>INDIRECT(ADDRESS(48,9))+INDIRECT(ADDRESS(46,10))-INDIRECT(ADDRESS(47,10))</f>
        <v>0</v>
      </c>
      <c r="K48">
        <f>INDIRECT(ADDRESS(48,10))+INDIRECT(ADDRESS(46,11))-INDIRECT(ADDRESS(47,11))</f>
        <v>0</v>
      </c>
      <c r="L48">
        <f>INDIRECT(ADDRESS(48,11))+INDIRECT(ADDRESS(46,12))-INDIRECT(ADDRESS(47,12))</f>
        <v>0</v>
      </c>
      <c r="M48">
        <f>INDIRECT(ADDRESS(48,12))+INDIRECT(ADDRESS(46,13))-INDIRECT(ADDRESS(47,13))</f>
        <v>0</v>
      </c>
      <c r="N48">
        <f>INDIRECT(ADDRESS(48,13))+INDIRECT(ADDRESS(46,14))-INDIRECT(ADDRESS(47,14))</f>
        <v>0</v>
      </c>
      <c r="O48">
        <f>INDIRECT(ADDRESS(48,14))+INDIRECT(ADDRESS(46,15))-INDIRECT(ADDRESS(47,15))</f>
        <v>0</v>
      </c>
      <c r="P48">
        <f>INDIRECT(ADDRESS(48,15))+INDIRECT(ADDRESS(46,16))-INDIRECT(ADDRESS(47,16))</f>
        <v>0</v>
      </c>
      <c r="Q48">
        <f>INDIRECT(ADDRESS(48,16))+INDIRECT(ADDRESS(46,17))-INDIRECT(ADDRESS(47,17))</f>
        <v>0</v>
      </c>
      <c r="R48">
        <f>INDIRECT(ADDRESS(48,17))+INDIRECT(ADDRESS(46,18))-INDIRECT(ADDRESS(47,18))</f>
        <v>0</v>
      </c>
      <c r="S48">
        <f>INDIRECT(ADDRESS(48,18))+INDIRECT(ADDRESS(46,19))-INDIRECT(ADDRESS(47,19))</f>
        <v>0</v>
      </c>
      <c r="T48">
        <f>INDIRECT(ADDRESS(48,19))+INDIRECT(ADDRESS(46,20))-INDIRECT(ADDRESS(47,20))</f>
        <v>0</v>
      </c>
      <c r="U48">
        <f>INDIRECT(ADDRESS(48,20))+INDIRECT(ADDRESS(46,21))-INDIRECT(ADDRESS(47,21))</f>
        <v>0</v>
      </c>
      <c r="V48">
        <f>INDIRECT(ADDRESS(48,21))+INDIRECT(ADDRESS(46,22))-INDIRECT(ADDRESS(47,22))</f>
        <v>0</v>
      </c>
      <c r="W48">
        <f>INDIRECT(ADDRESS(48,22))+INDIRECT(ADDRESS(46,23))-INDIRECT(ADDRESS(47,23))</f>
        <v>0</v>
      </c>
      <c r="X48">
        <f>INDIRECT(ADDRESS(48,23))+INDIRECT(ADDRESS(46,24))-INDIRECT(ADDRESS(47,24))</f>
        <v>0</v>
      </c>
      <c r="Y48">
        <f>INDIRECT(ADDRESS(48,24))+INDIRECT(ADDRESS(46,25))-INDIRECT(ADDRESS(47,25))</f>
        <v>0</v>
      </c>
      <c r="Z48">
        <f>INDIRECT(ADDRESS(48,25))+INDIRECT(ADDRESS(46,26))-INDIRECT(ADDRESS(47,26))</f>
        <v>0</v>
      </c>
      <c r="AA48">
        <f>INDIRECT(ADDRESS(48,26))+INDIRECT(ADDRESS(46,27))-INDIRECT(ADDRESS(47,27))</f>
        <v>0</v>
      </c>
      <c r="AB48">
        <f>INDIRECT(ADDRESS(48,27))+INDIRECT(ADDRESS(46,28))-INDIRECT(ADDRESS(47,28))</f>
        <v>0</v>
      </c>
      <c r="AC48">
        <f>INDIRECT(ADDRESS(48,28))+INDIRECT(ADDRESS(46,29))-INDIRECT(ADDRESS(47,29))</f>
        <v>0</v>
      </c>
      <c r="AD48">
        <f>INDIRECT(ADDRESS(48,29))+INDIRECT(ADDRESS(46,30))-INDIRECT(ADDRESS(47,30))</f>
        <v>0</v>
      </c>
      <c r="AE48">
        <f>INDIRECT(ADDRESS(48,30))+INDIRECT(ADDRESS(46,31))-INDIRECT(ADDRESS(47,31))</f>
        <v>0</v>
      </c>
      <c r="AF48">
        <f>INDIRECT(ADDRESS(48,31))+INDIRECT(ADDRESS(46,32))-INDIRECT(ADDRESS(47,32))</f>
        <v>0</v>
      </c>
      <c r="AG48">
        <f>INDIRECT(ADDRESS(48,32))+INDIRECT(ADDRESS(46,33))-INDIRECT(ADDRESS(47,33))</f>
        <v>0</v>
      </c>
      <c r="AH48">
        <f>INDIRECT(ADDRESS(48,33))+INDIRECT(ADDRESS(46,34))-INDIRECT(ADDRESS(47,34))</f>
        <v>0</v>
      </c>
      <c r="AI48">
        <f>INDIRECT(ADDRESS(48,34))+INDIRECT(ADDRESS(46,35))-INDIRECT(ADDRESS(47,35))</f>
        <v>0</v>
      </c>
      <c r="AJ48">
        <f>INDIRECT(ADDRESS(48,35))+INDIRECT(ADDRESS(46,36))-INDIRECT(ADDRESS(47,36))</f>
        <v>0</v>
      </c>
      <c r="AK48">
        <f>INDIRECT(ADDRESS(48,36))+INDIRECT(ADDRESS(46,37))-INDIRECT(ADDRESS(47,37))</f>
        <v>0</v>
      </c>
      <c r="AL48">
        <f>INDIRECT(ADDRESS(48,37))+INDIRECT(ADDRESS(46,38))-INDIRECT(ADDRESS(47,38))</f>
        <v>0</v>
      </c>
      <c r="AM48">
        <f>INDIRECT(ADDRESS(48,38))+INDIRECT(ADDRESS(46,39))-INDIRECT(ADDRESS(47,39))</f>
        <v>0</v>
      </c>
      <c r="AN48">
        <f>INDIRECT(ADDRESS(48,39))+INDIRECT(ADDRESS(46,40))-INDIRECT(ADDRESS(47,40))</f>
        <v>0</v>
      </c>
      <c r="AO48">
        <f>SUM(INDIRECT(ADDRESS(47,8)):INDIRECT(ADDRESS(47,39)))</f>
        <v>0</v>
      </c>
    </row>
    <row r="49" spans="1:41">
      <c r="A49" t="s">
        <v>180</v>
      </c>
      <c r="B49" t="s">
        <v>207</v>
      </c>
      <c r="C49" t="s">
        <v>208</v>
      </c>
      <c r="E49">
        <v>1</v>
      </c>
      <c r="F49" t="s">
        <v>11</v>
      </c>
      <c r="I49" t="s">
        <v>177</v>
      </c>
    </row>
    <row r="50" spans="1:41">
      <c r="I50" t="s">
        <v>178</v>
      </c>
      <c r="J50">
        <f>IFERROR(VLOOKUP("927-050000-100",B:AB,1+8,0),0)</f>
        <v>0</v>
      </c>
      <c r="K50">
        <f>IFERROR(VLOOKUP("927-050000-100",B:AB,2+8,0),0)</f>
        <v>0</v>
      </c>
      <c r="L50">
        <f>IFERROR(VLOOKUP("927-050000-100",B:AB,3+8,0),0)</f>
        <v>0</v>
      </c>
      <c r="M50">
        <f>IFERROR(VLOOKUP("927-050000-100",B:AB,4+8,0),0)</f>
        <v>0</v>
      </c>
      <c r="N50">
        <f>IFERROR(VLOOKUP("927-050000-100",B:AB,5+8,0),0)</f>
        <v>0</v>
      </c>
      <c r="O50">
        <f>IFERROR(VLOOKUP("927-050000-100",B:AB,6+8,0),0)</f>
        <v>0</v>
      </c>
      <c r="P50">
        <f>IFERROR(VLOOKUP("927-050000-100",B:AB,7+8,0),0)</f>
        <v>0</v>
      </c>
      <c r="Q50">
        <f>IFERROR(VLOOKUP("927-050000-100",B:AB,8+8,0),0)</f>
        <v>0</v>
      </c>
      <c r="R50">
        <f>IFERROR(VLOOKUP("927-050000-100",B:AB,9+8,0),0)</f>
        <v>0</v>
      </c>
      <c r="S50">
        <f>IFERROR(VLOOKUP("927-050000-100",B:AB,10+8,0),0)</f>
        <v>0</v>
      </c>
      <c r="T50">
        <f>IFERROR(VLOOKUP("927-050000-100",B:AB,11+8,0),0)</f>
        <v>0</v>
      </c>
      <c r="U50">
        <f>IFERROR(VLOOKUP("927-050000-100",B:AB,12+8,0),0)</f>
        <v>0</v>
      </c>
      <c r="V50">
        <f>IFERROR(VLOOKUP("927-050000-100",B:AB,13+8,0),0)</f>
        <v>0</v>
      </c>
      <c r="W50">
        <f>IFERROR(VLOOKUP("927-050000-100",B:AB,14+8,0),0)</f>
        <v>0</v>
      </c>
      <c r="X50">
        <f>IFERROR(VLOOKUP("927-050000-100",B:AB,15+8,0),0)</f>
        <v>0</v>
      </c>
      <c r="Y50">
        <f>IFERROR(VLOOKUP("927-050000-100",B:AB,16+8,0),0)</f>
        <v>0</v>
      </c>
      <c r="Z50">
        <f>IFERROR(VLOOKUP("927-050000-100",B:AB,17+8,0),0)</f>
        <v>0</v>
      </c>
      <c r="AA50">
        <f>IFERROR(VLOOKUP("927-050000-100",B:AB,18+8,0),0)</f>
        <v>0</v>
      </c>
      <c r="AB50">
        <f>IFERROR(VLOOKUP("927-050000-100",B:AB,19+8,0),0)</f>
        <v>0</v>
      </c>
      <c r="AC50">
        <f>IFERROR(VLOOKUP("927-050000-100",B:AB,20+8,0),0)</f>
        <v>0</v>
      </c>
      <c r="AD50">
        <f>IFERROR(VLOOKUP("927-050000-100",B:AB,21+8,0),0)</f>
        <v>0</v>
      </c>
      <c r="AE50">
        <f>IFERROR(VLOOKUP("927-050000-100",B:AB,22+8,0),0)</f>
        <v>0</v>
      </c>
      <c r="AF50">
        <f>IFERROR(VLOOKUP("927-050000-100",B:AB,23+8,0),0)</f>
        <v>0</v>
      </c>
      <c r="AG50">
        <f>IFERROR(VLOOKUP("927-050000-100",B:AB,24+8,0),0)</f>
        <v>0</v>
      </c>
      <c r="AH50">
        <f>IFERROR(VLOOKUP("927-050000-100",B:AB,25+8,0),0)</f>
        <v>0</v>
      </c>
      <c r="AI50">
        <f>IFERROR(VLOOKUP("927-050000-100",B:AB,26+8,0),0)</f>
        <v>0</v>
      </c>
      <c r="AJ50">
        <f>IFERROR(VLOOKUP("927-050000-100",B:AB,27+8,0),0)</f>
        <v>0</v>
      </c>
      <c r="AK50">
        <f>IFERROR(VLOOKUP("927-050000-100",B:AB,28+8,0),0)</f>
        <v>0</v>
      </c>
      <c r="AL50">
        <f>IFERROR(VLOOKUP("927-050000-100",B:AB,29+8,0),0)</f>
        <v>0</v>
      </c>
      <c r="AM50">
        <f>IFERROR(VLOOKUP("927-050000-100",B:AB,30+8,0),0)</f>
        <v>0</v>
      </c>
      <c r="AN50">
        <f>IFERROR(VLOOKUP("927-050000-100",B:AB,31+8,0),0)</f>
        <v>0</v>
      </c>
      <c r="AO50">
        <f>SUN(INDIRECT(ADDRESS(49,8)):INDIRECT(ADDRESS(49,39)))</f>
        <v>0</v>
      </c>
    </row>
    <row r="51" spans="1:41">
      <c r="H51" t="s">
        <v>179</v>
      </c>
      <c r="J51">
        <f>INDIRECT(ADDRESS(51,9))+INDIRECT(ADDRESS(49,10))-INDIRECT(ADDRESS(50,10))</f>
        <v>0</v>
      </c>
      <c r="K51">
        <f>INDIRECT(ADDRESS(51,10))+INDIRECT(ADDRESS(49,11))-INDIRECT(ADDRESS(50,11))</f>
        <v>0</v>
      </c>
      <c r="L51">
        <f>INDIRECT(ADDRESS(51,11))+INDIRECT(ADDRESS(49,12))-INDIRECT(ADDRESS(50,12))</f>
        <v>0</v>
      </c>
      <c r="M51">
        <f>INDIRECT(ADDRESS(51,12))+INDIRECT(ADDRESS(49,13))-INDIRECT(ADDRESS(50,13))</f>
        <v>0</v>
      </c>
      <c r="N51">
        <f>INDIRECT(ADDRESS(51,13))+INDIRECT(ADDRESS(49,14))-INDIRECT(ADDRESS(50,14))</f>
        <v>0</v>
      </c>
      <c r="O51">
        <f>INDIRECT(ADDRESS(51,14))+INDIRECT(ADDRESS(49,15))-INDIRECT(ADDRESS(50,15))</f>
        <v>0</v>
      </c>
      <c r="P51">
        <f>INDIRECT(ADDRESS(51,15))+INDIRECT(ADDRESS(49,16))-INDIRECT(ADDRESS(50,16))</f>
        <v>0</v>
      </c>
      <c r="Q51">
        <f>INDIRECT(ADDRESS(51,16))+INDIRECT(ADDRESS(49,17))-INDIRECT(ADDRESS(50,17))</f>
        <v>0</v>
      </c>
      <c r="R51">
        <f>INDIRECT(ADDRESS(51,17))+INDIRECT(ADDRESS(49,18))-INDIRECT(ADDRESS(50,18))</f>
        <v>0</v>
      </c>
      <c r="S51">
        <f>INDIRECT(ADDRESS(51,18))+INDIRECT(ADDRESS(49,19))-INDIRECT(ADDRESS(50,19))</f>
        <v>0</v>
      </c>
      <c r="T51">
        <f>INDIRECT(ADDRESS(51,19))+INDIRECT(ADDRESS(49,20))-INDIRECT(ADDRESS(50,20))</f>
        <v>0</v>
      </c>
      <c r="U51">
        <f>INDIRECT(ADDRESS(51,20))+INDIRECT(ADDRESS(49,21))-INDIRECT(ADDRESS(50,21))</f>
        <v>0</v>
      </c>
      <c r="V51">
        <f>INDIRECT(ADDRESS(51,21))+INDIRECT(ADDRESS(49,22))-INDIRECT(ADDRESS(50,22))</f>
        <v>0</v>
      </c>
      <c r="W51">
        <f>INDIRECT(ADDRESS(51,22))+INDIRECT(ADDRESS(49,23))-INDIRECT(ADDRESS(50,23))</f>
        <v>0</v>
      </c>
      <c r="X51">
        <f>INDIRECT(ADDRESS(51,23))+INDIRECT(ADDRESS(49,24))-INDIRECT(ADDRESS(50,24))</f>
        <v>0</v>
      </c>
      <c r="Y51">
        <f>INDIRECT(ADDRESS(51,24))+INDIRECT(ADDRESS(49,25))-INDIRECT(ADDRESS(50,25))</f>
        <v>0</v>
      </c>
      <c r="Z51">
        <f>INDIRECT(ADDRESS(51,25))+INDIRECT(ADDRESS(49,26))-INDIRECT(ADDRESS(50,26))</f>
        <v>0</v>
      </c>
      <c r="AA51">
        <f>INDIRECT(ADDRESS(51,26))+INDIRECT(ADDRESS(49,27))-INDIRECT(ADDRESS(50,27))</f>
        <v>0</v>
      </c>
      <c r="AB51">
        <f>INDIRECT(ADDRESS(51,27))+INDIRECT(ADDRESS(49,28))-INDIRECT(ADDRESS(50,28))</f>
        <v>0</v>
      </c>
      <c r="AC51">
        <f>INDIRECT(ADDRESS(51,28))+INDIRECT(ADDRESS(49,29))-INDIRECT(ADDRESS(50,29))</f>
        <v>0</v>
      </c>
      <c r="AD51">
        <f>INDIRECT(ADDRESS(51,29))+INDIRECT(ADDRESS(49,30))-INDIRECT(ADDRESS(50,30))</f>
        <v>0</v>
      </c>
      <c r="AE51">
        <f>INDIRECT(ADDRESS(51,30))+INDIRECT(ADDRESS(49,31))-INDIRECT(ADDRESS(50,31))</f>
        <v>0</v>
      </c>
      <c r="AF51">
        <f>INDIRECT(ADDRESS(51,31))+INDIRECT(ADDRESS(49,32))-INDIRECT(ADDRESS(50,32))</f>
        <v>0</v>
      </c>
      <c r="AG51">
        <f>INDIRECT(ADDRESS(51,32))+INDIRECT(ADDRESS(49,33))-INDIRECT(ADDRESS(50,33))</f>
        <v>0</v>
      </c>
      <c r="AH51">
        <f>INDIRECT(ADDRESS(51,33))+INDIRECT(ADDRESS(49,34))-INDIRECT(ADDRESS(50,34))</f>
        <v>0</v>
      </c>
      <c r="AI51">
        <f>INDIRECT(ADDRESS(51,34))+INDIRECT(ADDRESS(49,35))-INDIRECT(ADDRESS(50,35))</f>
        <v>0</v>
      </c>
      <c r="AJ51">
        <f>INDIRECT(ADDRESS(51,35))+INDIRECT(ADDRESS(49,36))-INDIRECT(ADDRESS(50,36))</f>
        <v>0</v>
      </c>
      <c r="AK51">
        <f>INDIRECT(ADDRESS(51,36))+INDIRECT(ADDRESS(49,37))-INDIRECT(ADDRESS(50,37))</f>
        <v>0</v>
      </c>
      <c r="AL51">
        <f>INDIRECT(ADDRESS(51,37))+INDIRECT(ADDRESS(49,38))-INDIRECT(ADDRESS(50,38))</f>
        <v>0</v>
      </c>
      <c r="AM51">
        <f>INDIRECT(ADDRESS(51,38))+INDIRECT(ADDRESS(49,39))-INDIRECT(ADDRESS(50,39))</f>
        <v>0</v>
      </c>
      <c r="AN51">
        <f>INDIRECT(ADDRESS(51,39))+INDIRECT(ADDRESS(49,40))-INDIRECT(ADDRESS(50,40))</f>
        <v>0</v>
      </c>
      <c r="AO51">
        <f>SUM(INDIRECT(ADDRESS(50,8)):INDIRECT(ADDRESS(50,39)))</f>
        <v>0</v>
      </c>
    </row>
    <row r="52" spans="1:41">
      <c r="A52" t="s">
        <v>180</v>
      </c>
      <c r="B52" t="s">
        <v>209</v>
      </c>
      <c r="C52" t="s">
        <v>210</v>
      </c>
      <c r="E52">
        <v>1</v>
      </c>
      <c r="F52" t="s">
        <v>11</v>
      </c>
      <c r="I52" t="s">
        <v>177</v>
      </c>
    </row>
    <row r="53" spans="1:41">
      <c r="I53" t="s">
        <v>178</v>
      </c>
      <c r="J53">
        <f>IFERROR(VLOOKUP("927-050000-100",B:AB,1+8,0),0)</f>
        <v>0</v>
      </c>
      <c r="K53">
        <f>IFERROR(VLOOKUP("927-050000-100",B:AB,2+8,0),0)</f>
        <v>0</v>
      </c>
      <c r="L53">
        <f>IFERROR(VLOOKUP("927-050000-100",B:AB,3+8,0),0)</f>
        <v>0</v>
      </c>
      <c r="M53">
        <f>IFERROR(VLOOKUP("927-050000-100",B:AB,4+8,0),0)</f>
        <v>0</v>
      </c>
      <c r="N53">
        <f>IFERROR(VLOOKUP("927-050000-100",B:AB,5+8,0),0)</f>
        <v>0</v>
      </c>
      <c r="O53">
        <f>IFERROR(VLOOKUP("927-050000-100",B:AB,6+8,0),0)</f>
        <v>0</v>
      </c>
      <c r="P53">
        <f>IFERROR(VLOOKUP("927-050000-100",B:AB,7+8,0),0)</f>
        <v>0</v>
      </c>
      <c r="Q53">
        <f>IFERROR(VLOOKUP("927-050000-100",B:AB,8+8,0),0)</f>
        <v>0</v>
      </c>
      <c r="R53">
        <f>IFERROR(VLOOKUP("927-050000-100",B:AB,9+8,0),0)</f>
        <v>0</v>
      </c>
      <c r="S53">
        <f>IFERROR(VLOOKUP("927-050000-100",B:AB,10+8,0),0)</f>
        <v>0</v>
      </c>
      <c r="T53">
        <f>IFERROR(VLOOKUP("927-050000-100",B:AB,11+8,0),0)</f>
        <v>0</v>
      </c>
      <c r="U53">
        <f>IFERROR(VLOOKUP("927-050000-100",B:AB,12+8,0),0)</f>
        <v>0</v>
      </c>
      <c r="V53">
        <f>IFERROR(VLOOKUP("927-050000-100",B:AB,13+8,0),0)</f>
        <v>0</v>
      </c>
      <c r="W53">
        <f>IFERROR(VLOOKUP("927-050000-100",B:AB,14+8,0),0)</f>
        <v>0</v>
      </c>
      <c r="X53">
        <f>IFERROR(VLOOKUP("927-050000-100",B:AB,15+8,0),0)</f>
        <v>0</v>
      </c>
      <c r="Y53">
        <f>IFERROR(VLOOKUP("927-050000-100",B:AB,16+8,0),0)</f>
        <v>0</v>
      </c>
      <c r="Z53">
        <f>IFERROR(VLOOKUP("927-050000-100",B:AB,17+8,0),0)</f>
        <v>0</v>
      </c>
      <c r="AA53">
        <f>IFERROR(VLOOKUP("927-050000-100",B:AB,18+8,0),0)</f>
        <v>0</v>
      </c>
      <c r="AB53">
        <f>IFERROR(VLOOKUP("927-050000-100",B:AB,19+8,0),0)</f>
        <v>0</v>
      </c>
      <c r="AC53">
        <f>IFERROR(VLOOKUP("927-050000-100",B:AB,20+8,0),0)</f>
        <v>0</v>
      </c>
      <c r="AD53">
        <f>IFERROR(VLOOKUP("927-050000-100",B:AB,21+8,0),0)</f>
        <v>0</v>
      </c>
      <c r="AE53">
        <f>IFERROR(VLOOKUP("927-050000-100",B:AB,22+8,0),0)</f>
        <v>0</v>
      </c>
      <c r="AF53">
        <f>IFERROR(VLOOKUP("927-050000-100",B:AB,23+8,0),0)</f>
        <v>0</v>
      </c>
      <c r="AG53">
        <f>IFERROR(VLOOKUP("927-050000-100",B:AB,24+8,0),0)</f>
        <v>0</v>
      </c>
      <c r="AH53">
        <f>IFERROR(VLOOKUP("927-050000-100",B:AB,25+8,0),0)</f>
        <v>0</v>
      </c>
      <c r="AI53">
        <f>IFERROR(VLOOKUP("927-050000-100",B:AB,26+8,0),0)</f>
        <v>0</v>
      </c>
      <c r="AJ53">
        <f>IFERROR(VLOOKUP("927-050000-100",B:AB,27+8,0),0)</f>
        <v>0</v>
      </c>
      <c r="AK53">
        <f>IFERROR(VLOOKUP("927-050000-100",B:AB,28+8,0),0)</f>
        <v>0</v>
      </c>
      <c r="AL53">
        <f>IFERROR(VLOOKUP("927-050000-100",B:AB,29+8,0),0)</f>
        <v>0</v>
      </c>
      <c r="AM53">
        <f>IFERROR(VLOOKUP("927-050000-100",B:AB,30+8,0),0)</f>
        <v>0</v>
      </c>
      <c r="AN53">
        <f>IFERROR(VLOOKUP("927-050000-100",B:AB,31+8,0),0)</f>
        <v>0</v>
      </c>
      <c r="AO53">
        <f>SUN(INDIRECT(ADDRESS(52,8)):INDIRECT(ADDRESS(52,39)))</f>
        <v>0</v>
      </c>
    </row>
    <row r="54" spans="1:41">
      <c r="H54" t="s">
        <v>179</v>
      </c>
      <c r="J54">
        <f>INDIRECT(ADDRESS(54,9))+INDIRECT(ADDRESS(52,10))-INDIRECT(ADDRESS(53,10))</f>
        <v>0</v>
      </c>
      <c r="K54">
        <f>INDIRECT(ADDRESS(54,10))+INDIRECT(ADDRESS(52,11))-INDIRECT(ADDRESS(53,11))</f>
        <v>0</v>
      </c>
      <c r="L54">
        <f>INDIRECT(ADDRESS(54,11))+INDIRECT(ADDRESS(52,12))-INDIRECT(ADDRESS(53,12))</f>
        <v>0</v>
      </c>
      <c r="M54">
        <f>INDIRECT(ADDRESS(54,12))+INDIRECT(ADDRESS(52,13))-INDIRECT(ADDRESS(53,13))</f>
        <v>0</v>
      </c>
      <c r="N54">
        <f>INDIRECT(ADDRESS(54,13))+INDIRECT(ADDRESS(52,14))-INDIRECT(ADDRESS(53,14))</f>
        <v>0</v>
      </c>
      <c r="O54">
        <f>INDIRECT(ADDRESS(54,14))+INDIRECT(ADDRESS(52,15))-INDIRECT(ADDRESS(53,15))</f>
        <v>0</v>
      </c>
      <c r="P54">
        <f>INDIRECT(ADDRESS(54,15))+INDIRECT(ADDRESS(52,16))-INDIRECT(ADDRESS(53,16))</f>
        <v>0</v>
      </c>
      <c r="Q54">
        <f>INDIRECT(ADDRESS(54,16))+INDIRECT(ADDRESS(52,17))-INDIRECT(ADDRESS(53,17))</f>
        <v>0</v>
      </c>
      <c r="R54">
        <f>INDIRECT(ADDRESS(54,17))+INDIRECT(ADDRESS(52,18))-INDIRECT(ADDRESS(53,18))</f>
        <v>0</v>
      </c>
      <c r="S54">
        <f>INDIRECT(ADDRESS(54,18))+INDIRECT(ADDRESS(52,19))-INDIRECT(ADDRESS(53,19))</f>
        <v>0</v>
      </c>
      <c r="T54">
        <f>INDIRECT(ADDRESS(54,19))+INDIRECT(ADDRESS(52,20))-INDIRECT(ADDRESS(53,20))</f>
        <v>0</v>
      </c>
      <c r="U54">
        <f>INDIRECT(ADDRESS(54,20))+INDIRECT(ADDRESS(52,21))-INDIRECT(ADDRESS(53,21))</f>
        <v>0</v>
      </c>
      <c r="V54">
        <f>INDIRECT(ADDRESS(54,21))+INDIRECT(ADDRESS(52,22))-INDIRECT(ADDRESS(53,22))</f>
        <v>0</v>
      </c>
      <c r="W54">
        <f>INDIRECT(ADDRESS(54,22))+INDIRECT(ADDRESS(52,23))-INDIRECT(ADDRESS(53,23))</f>
        <v>0</v>
      </c>
      <c r="X54">
        <f>INDIRECT(ADDRESS(54,23))+INDIRECT(ADDRESS(52,24))-INDIRECT(ADDRESS(53,24))</f>
        <v>0</v>
      </c>
      <c r="Y54">
        <f>INDIRECT(ADDRESS(54,24))+INDIRECT(ADDRESS(52,25))-INDIRECT(ADDRESS(53,25))</f>
        <v>0</v>
      </c>
      <c r="Z54">
        <f>INDIRECT(ADDRESS(54,25))+INDIRECT(ADDRESS(52,26))-INDIRECT(ADDRESS(53,26))</f>
        <v>0</v>
      </c>
      <c r="AA54">
        <f>INDIRECT(ADDRESS(54,26))+INDIRECT(ADDRESS(52,27))-INDIRECT(ADDRESS(53,27))</f>
        <v>0</v>
      </c>
      <c r="AB54">
        <f>INDIRECT(ADDRESS(54,27))+INDIRECT(ADDRESS(52,28))-INDIRECT(ADDRESS(53,28))</f>
        <v>0</v>
      </c>
      <c r="AC54">
        <f>INDIRECT(ADDRESS(54,28))+INDIRECT(ADDRESS(52,29))-INDIRECT(ADDRESS(53,29))</f>
        <v>0</v>
      </c>
      <c r="AD54">
        <f>INDIRECT(ADDRESS(54,29))+INDIRECT(ADDRESS(52,30))-INDIRECT(ADDRESS(53,30))</f>
        <v>0</v>
      </c>
      <c r="AE54">
        <f>INDIRECT(ADDRESS(54,30))+INDIRECT(ADDRESS(52,31))-INDIRECT(ADDRESS(53,31))</f>
        <v>0</v>
      </c>
      <c r="AF54">
        <f>INDIRECT(ADDRESS(54,31))+INDIRECT(ADDRESS(52,32))-INDIRECT(ADDRESS(53,32))</f>
        <v>0</v>
      </c>
      <c r="AG54">
        <f>INDIRECT(ADDRESS(54,32))+INDIRECT(ADDRESS(52,33))-INDIRECT(ADDRESS(53,33))</f>
        <v>0</v>
      </c>
      <c r="AH54">
        <f>INDIRECT(ADDRESS(54,33))+INDIRECT(ADDRESS(52,34))-INDIRECT(ADDRESS(53,34))</f>
        <v>0</v>
      </c>
      <c r="AI54">
        <f>INDIRECT(ADDRESS(54,34))+INDIRECT(ADDRESS(52,35))-INDIRECT(ADDRESS(53,35))</f>
        <v>0</v>
      </c>
      <c r="AJ54">
        <f>INDIRECT(ADDRESS(54,35))+INDIRECT(ADDRESS(52,36))-INDIRECT(ADDRESS(53,36))</f>
        <v>0</v>
      </c>
      <c r="AK54">
        <f>INDIRECT(ADDRESS(54,36))+INDIRECT(ADDRESS(52,37))-INDIRECT(ADDRESS(53,37))</f>
        <v>0</v>
      </c>
      <c r="AL54">
        <f>INDIRECT(ADDRESS(54,37))+INDIRECT(ADDRESS(52,38))-INDIRECT(ADDRESS(53,38))</f>
        <v>0</v>
      </c>
      <c r="AM54">
        <f>INDIRECT(ADDRESS(54,38))+INDIRECT(ADDRESS(52,39))-INDIRECT(ADDRESS(53,39))</f>
        <v>0</v>
      </c>
      <c r="AN54">
        <f>INDIRECT(ADDRESS(54,39))+INDIRECT(ADDRESS(52,40))-INDIRECT(ADDRESS(53,40))</f>
        <v>0</v>
      </c>
      <c r="AO54">
        <f>SUM(INDIRECT(ADDRESS(53,8)):INDIRECT(ADDRESS(53,39)))</f>
        <v>0</v>
      </c>
    </row>
    <row r="55" spans="1:41">
      <c r="A55" t="s">
        <v>185</v>
      </c>
      <c r="B55" t="s">
        <v>211</v>
      </c>
      <c r="C55" t="s">
        <v>212</v>
      </c>
      <c r="E55">
        <v>1</v>
      </c>
      <c r="F55" t="s">
        <v>11</v>
      </c>
      <c r="I55" t="s">
        <v>177</v>
      </c>
    </row>
    <row r="56" spans="1:41">
      <c r="I56" t="s">
        <v>178</v>
      </c>
      <c r="J56">
        <f>IFERROR(VLOOKUP("927-050000-100",B:AB,1+8,0),0)</f>
        <v>0</v>
      </c>
      <c r="K56">
        <f>IFERROR(VLOOKUP("927-050000-100",B:AB,2+8,0),0)</f>
        <v>0</v>
      </c>
      <c r="L56">
        <f>IFERROR(VLOOKUP("927-050000-100",B:AB,3+8,0),0)</f>
        <v>0</v>
      </c>
      <c r="M56">
        <f>IFERROR(VLOOKUP("927-050000-100",B:AB,4+8,0),0)</f>
        <v>0</v>
      </c>
      <c r="N56">
        <f>IFERROR(VLOOKUP("927-050000-100",B:AB,5+8,0),0)</f>
        <v>0</v>
      </c>
      <c r="O56">
        <f>IFERROR(VLOOKUP("927-050000-100",B:AB,6+8,0),0)</f>
        <v>0</v>
      </c>
      <c r="P56">
        <f>IFERROR(VLOOKUP("927-050000-100",B:AB,7+8,0),0)</f>
        <v>0</v>
      </c>
      <c r="Q56">
        <f>IFERROR(VLOOKUP("927-050000-100",B:AB,8+8,0),0)</f>
        <v>0</v>
      </c>
      <c r="R56">
        <f>IFERROR(VLOOKUP("927-050000-100",B:AB,9+8,0),0)</f>
        <v>0</v>
      </c>
      <c r="S56">
        <f>IFERROR(VLOOKUP("927-050000-100",B:AB,10+8,0),0)</f>
        <v>0</v>
      </c>
      <c r="T56">
        <f>IFERROR(VLOOKUP("927-050000-100",B:AB,11+8,0),0)</f>
        <v>0</v>
      </c>
      <c r="U56">
        <f>IFERROR(VLOOKUP("927-050000-100",B:AB,12+8,0),0)</f>
        <v>0</v>
      </c>
      <c r="V56">
        <f>IFERROR(VLOOKUP("927-050000-100",B:AB,13+8,0),0)</f>
        <v>0</v>
      </c>
      <c r="W56">
        <f>IFERROR(VLOOKUP("927-050000-100",B:AB,14+8,0),0)</f>
        <v>0</v>
      </c>
      <c r="X56">
        <f>IFERROR(VLOOKUP("927-050000-100",B:AB,15+8,0),0)</f>
        <v>0</v>
      </c>
      <c r="Y56">
        <f>IFERROR(VLOOKUP("927-050000-100",B:AB,16+8,0),0)</f>
        <v>0</v>
      </c>
      <c r="Z56">
        <f>IFERROR(VLOOKUP("927-050000-100",B:AB,17+8,0),0)</f>
        <v>0</v>
      </c>
      <c r="AA56">
        <f>IFERROR(VLOOKUP("927-050000-100",B:AB,18+8,0),0)</f>
        <v>0</v>
      </c>
      <c r="AB56">
        <f>IFERROR(VLOOKUP("927-050000-100",B:AB,19+8,0),0)</f>
        <v>0</v>
      </c>
      <c r="AC56">
        <f>IFERROR(VLOOKUP("927-050000-100",B:AB,20+8,0),0)</f>
        <v>0</v>
      </c>
      <c r="AD56">
        <f>IFERROR(VLOOKUP("927-050000-100",B:AB,21+8,0),0)</f>
        <v>0</v>
      </c>
      <c r="AE56">
        <f>IFERROR(VLOOKUP("927-050000-100",B:AB,22+8,0),0)</f>
        <v>0</v>
      </c>
      <c r="AF56">
        <f>IFERROR(VLOOKUP("927-050000-100",B:AB,23+8,0),0)</f>
        <v>0</v>
      </c>
      <c r="AG56">
        <f>IFERROR(VLOOKUP("927-050000-100",B:AB,24+8,0),0)</f>
        <v>0</v>
      </c>
      <c r="AH56">
        <f>IFERROR(VLOOKUP("927-050000-100",B:AB,25+8,0),0)</f>
        <v>0</v>
      </c>
      <c r="AI56">
        <f>IFERROR(VLOOKUP("927-050000-100",B:AB,26+8,0),0)</f>
        <v>0</v>
      </c>
      <c r="AJ56">
        <f>IFERROR(VLOOKUP("927-050000-100",B:AB,27+8,0),0)</f>
        <v>0</v>
      </c>
      <c r="AK56">
        <f>IFERROR(VLOOKUP("927-050000-100",B:AB,28+8,0),0)</f>
        <v>0</v>
      </c>
      <c r="AL56">
        <f>IFERROR(VLOOKUP("927-050000-100",B:AB,29+8,0),0)</f>
        <v>0</v>
      </c>
      <c r="AM56">
        <f>IFERROR(VLOOKUP("927-050000-100",B:AB,30+8,0),0)</f>
        <v>0</v>
      </c>
      <c r="AN56">
        <f>IFERROR(VLOOKUP("927-050000-100",B:AB,31+8,0),0)</f>
        <v>0</v>
      </c>
      <c r="AO56">
        <f>SUN(INDIRECT(ADDRESS(55,8)):INDIRECT(ADDRESS(55,39)))</f>
        <v>0</v>
      </c>
    </row>
    <row r="57" spans="1:41">
      <c r="H57" t="s">
        <v>179</v>
      </c>
      <c r="J57">
        <f>INDIRECT(ADDRESS(57,9))+INDIRECT(ADDRESS(55,10))-INDIRECT(ADDRESS(56,10))</f>
        <v>0</v>
      </c>
      <c r="K57">
        <f>INDIRECT(ADDRESS(57,10))+INDIRECT(ADDRESS(55,11))-INDIRECT(ADDRESS(56,11))</f>
        <v>0</v>
      </c>
      <c r="L57">
        <f>INDIRECT(ADDRESS(57,11))+INDIRECT(ADDRESS(55,12))-INDIRECT(ADDRESS(56,12))</f>
        <v>0</v>
      </c>
      <c r="M57">
        <f>INDIRECT(ADDRESS(57,12))+INDIRECT(ADDRESS(55,13))-INDIRECT(ADDRESS(56,13))</f>
        <v>0</v>
      </c>
      <c r="N57">
        <f>INDIRECT(ADDRESS(57,13))+INDIRECT(ADDRESS(55,14))-INDIRECT(ADDRESS(56,14))</f>
        <v>0</v>
      </c>
      <c r="O57">
        <f>INDIRECT(ADDRESS(57,14))+INDIRECT(ADDRESS(55,15))-INDIRECT(ADDRESS(56,15))</f>
        <v>0</v>
      </c>
      <c r="P57">
        <f>INDIRECT(ADDRESS(57,15))+INDIRECT(ADDRESS(55,16))-INDIRECT(ADDRESS(56,16))</f>
        <v>0</v>
      </c>
      <c r="Q57">
        <f>INDIRECT(ADDRESS(57,16))+INDIRECT(ADDRESS(55,17))-INDIRECT(ADDRESS(56,17))</f>
        <v>0</v>
      </c>
      <c r="R57">
        <f>INDIRECT(ADDRESS(57,17))+INDIRECT(ADDRESS(55,18))-INDIRECT(ADDRESS(56,18))</f>
        <v>0</v>
      </c>
      <c r="S57">
        <f>INDIRECT(ADDRESS(57,18))+INDIRECT(ADDRESS(55,19))-INDIRECT(ADDRESS(56,19))</f>
        <v>0</v>
      </c>
      <c r="T57">
        <f>INDIRECT(ADDRESS(57,19))+INDIRECT(ADDRESS(55,20))-INDIRECT(ADDRESS(56,20))</f>
        <v>0</v>
      </c>
      <c r="U57">
        <f>INDIRECT(ADDRESS(57,20))+INDIRECT(ADDRESS(55,21))-INDIRECT(ADDRESS(56,21))</f>
        <v>0</v>
      </c>
      <c r="V57">
        <f>INDIRECT(ADDRESS(57,21))+INDIRECT(ADDRESS(55,22))-INDIRECT(ADDRESS(56,22))</f>
        <v>0</v>
      </c>
      <c r="W57">
        <f>INDIRECT(ADDRESS(57,22))+INDIRECT(ADDRESS(55,23))-INDIRECT(ADDRESS(56,23))</f>
        <v>0</v>
      </c>
      <c r="X57">
        <f>INDIRECT(ADDRESS(57,23))+INDIRECT(ADDRESS(55,24))-INDIRECT(ADDRESS(56,24))</f>
        <v>0</v>
      </c>
      <c r="Y57">
        <f>INDIRECT(ADDRESS(57,24))+INDIRECT(ADDRESS(55,25))-INDIRECT(ADDRESS(56,25))</f>
        <v>0</v>
      </c>
      <c r="Z57">
        <f>INDIRECT(ADDRESS(57,25))+INDIRECT(ADDRESS(55,26))-INDIRECT(ADDRESS(56,26))</f>
        <v>0</v>
      </c>
      <c r="AA57">
        <f>INDIRECT(ADDRESS(57,26))+INDIRECT(ADDRESS(55,27))-INDIRECT(ADDRESS(56,27))</f>
        <v>0</v>
      </c>
      <c r="AB57">
        <f>INDIRECT(ADDRESS(57,27))+INDIRECT(ADDRESS(55,28))-INDIRECT(ADDRESS(56,28))</f>
        <v>0</v>
      </c>
      <c r="AC57">
        <f>INDIRECT(ADDRESS(57,28))+INDIRECT(ADDRESS(55,29))-INDIRECT(ADDRESS(56,29))</f>
        <v>0</v>
      </c>
      <c r="AD57">
        <f>INDIRECT(ADDRESS(57,29))+INDIRECT(ADDRESS(55,30))-INDIRECT(ADDRESS(56,30))</f>
        <v>0</v>
      </c>
      <c r="AE57">
        <f>INDIRECT(ADDRESS(57,30))+INDIRECT(ADDRESS(55,31))-INDIRECT(ADDRESS(56,31))</f>
        <v>0</v>
      </c>
      <c r="AF57">
        <f>INDIRECT(ADDRESS(57,31))+INDIRECT(ADDRESS(55,32))-INDIRECT(ADDRESS(56,32))</f>
        <v>0</v>
      </c>
      <c r="AG57">
        <f>INDIRECT(ADDRESS(57,32))+INDIRECT(ADDRESS(55,33))-INDIRECT(ADDRESS(56,33))</f>
        <v>0</v>
      </c>
      <c r="AH57">
        <f>INDIRECT(ADDRESS(57,33))+INDIRECT(ADDRESS(55,34))-INDIRECT(ADDRESS(56,34))</f>
        <v>0</v>
      </c>
      <c r="AI57">
        <f>INDIRECT(ADDRESS(57,34))+INDIRECT(ADDRESS(55,35))-INDIRECT(ADDRESS(56,35))</f>
        <v>0</v>
      </c>
      <c r="AJ57">
        <f>INDIRECT(ADDRESS(57,35))+INDIRECT(ADDRESS(55,36))-INDIRECT(ADDRESS(56,36))</f>
        <v>0</v>
      </c>
      <c r="AK57">
        <f>INDIRECT(ADDRESS(57,36))+INDIRECT(ADDRESS(55,37))-INDIRECT(ADDRESS(56,37))</f>
        <v>0</v>
      </c>
      <c r="AL57">
        <f>INDIRECT(ADDRESS(57,37))+INDIRECT(ADDRESS(55,38))-INDIRECT(ADDRESS(56,38))</f>
        <v>0</v>
      </c>
      <c r="AM57">
        <f>INDIRECT(ADDRESS(57,38))+INDIRECT(ADDRESS(55,39))-INDIRECT(ADDRESS(56,39))</f>
        <v>0</v>
      </c>
      <c r="AN57">
        <f>INDIRECT(ADDRESS(57,39))+INDIRECT(ADDRESS(55,40))-INDIRECT(ADDRESS(56,40))</f>
        <v>0</v>
      </c>
      <c r="AO57">
        <f>SUM(INDIRECT(ADDRESS(56,8)):INDIRECT(ADDRESS(56,39)))</f>
        <v>0</v>
      </c>
    </row>
    <row r="58" spans="1:41">
      <c r="A58" t="s">
        <v>180</v>
      </c>
      <c r="B58" t="s">
        <v>188</v>
      </c>
      <c r="C58" t="s">
        <v>189</v>
      </c>
      <c r="E58">
        <v>1</v>
      </c>
      <c r="F58" t="s">
        <v>11</v>
      </c>
      <c r="I58" t="s">
        <v>177</v>
      </c>
    </row>
    <row r="59" spans="1:41">
      <c r="I59" t="s">
        <v>178</v>
      </c>
      <c r="J59">
        <f>IFERROR(VLOOKUP("927-050000-100",B:AB,1+8,0),0)</f>
        <v>0</v>
      </c>
      <c r="K59">
        <f>IFERROR(VLOOKUP("927-050000-100",B:AB,2+8,0),0)</f>
        <v>0</v>
      </c>
      <c r="L59">
        <f>IFERROR(VLOOKUP("927-050000-100",B:AB,3+8,0),0)</f>
        <v>0</v>
      </c>
      <c r="M59">
        <f>IFERROR(VLOOKUP("927-050000-100",B:AB,4+8,0),0)</f>
        <v>0</v>
      </c>
      <c r="N59">
        <f>IFERROR(VLOOKUP("927-050000-100",B:AB,5+8,0),0)</f>
        <v>0</v>
      </c>
      <c r="O59">
        <f>IFERROR(VLOOKUP("927-050000-100",B:AB,6+8,0),0)</f>
        <v>0</v>
      </c>
      <c r="P59">
        <f>IFERROR(VLOOKUP("927-050000-100",B:AB,7+8,0),0)</f>
        <v>0</v>
      </c>
      <c r="Q59">
        <f>IFERROR(VLOOKUP("927-050000-100",B:AB,8+8,0),0)</f>
        <v>0</v>
      </c>
      <c r="R59">
        <f>IFERROR(VLOOKUP("927-050000-100",B:AB,9+8,0),0)</f>
        <v>0</v>
      </c>
      <c r="S59">
        <f>IFERROR(VLOOKUP("927-050000-100",B:AB,10+8,0),0)</f>
        <v>0</v>
      </c>
      <c r="T59">
        <f>IFERROR(VLOOKUP("927-050000-100",B:AB,11+8,0),0)</f>
        <v>0</v>
      </c>
      <c r="U59">
        <f>IFERROR(VLOOKUP("927-050000-100",B:AB,12+8,0),0)</f>
        <v>0</v>
      </c>
      <c r="V59">
        <f>IFERROR(VLOOKUP("927-050000-100",B:AB,13+8,0),0)</f>
        <v>0</v>
      </c>
      <c r="W59">
        <f>IFERROR(VLOOKUP("927-050000-100",B:AB,14+8,0),0)</f>
        <v>0</v>
      </c>
      <c r="X59">
        <f>IFERROR(VLOOKUP("927-050000-100",B:AB,15+8,0),0)</f>
        <v>0</v>
      </c>
      <c r="Y59">
        <f>IFERROR(VLOOKUP("927-050000-100",B:AB,16+8,0),0)</f>
        <v>0</v>
      </c>
      <c r="Z59">
        <f>IFERROR(VLOOKUP("927-050000-100",B:AB,17+8,0),0)</f>
        <v>0</v>
      </c>
      <c r="AA59">
        <f>IFERROR(VLOOKUP("927-050000-100",B:AB,18+8,0),0)</f>
        <v>0</v>
      </c>
      <c r="AB59">
        <f>IFERROR(VLOOKUP("927-050000-100",B:AB,19+8,0),0)</f>
        <v>0</v>
      </c>
      <c r="AC59">
        <f>IFERROR(VLOOKUP("927-050000-100",B:AB,20+8,0),0)</f>
        <v>0</v>
      </c>
      <c r="AD59">
        <f>IFERROR(VLOOKUP("927-050000-100",B:AB,21+8,0),0)</f>
        <v>0</v>
      </c>
      <c r="AE59">
        <f>IFERROR(VLOOKUP("927-050000-100",B:AB,22+8,0),0)</f>
        <v>0</v>
      </c>
      <c r="AF59">
        <f>IFERROR(VLOOKUP("927-050000-100",B:AB,23+8,0),0)</f>
        <v>0</v>
      </c>
      <c r="AG59">
        <f>IFERROR(VLOOKUP("927-050000-100",B:AB,24+8,0),0)</f>
        <v>0</v>
      </c>
      <c r="AH59">
        <f>IFERROR(VLOOKUP("927-050000-100",B:AB,25+8,0),0)</f>
        <v>0</v>
      </c>
      <c r="AI59">
        <f>IFERROR(VLOOKUP("927-050000-100",B:AB,26+8,0),0)</f>
        <v>0</v>
      </c>
      <c r="AJ59">
        <f>IFERROR(VLOOKUP("927-050000-100",B:AB,27+8,0),0)</f>
        <v>0</v>
      </c>
      <c r="AK59">
        <f>IFERROR(VLOOKUP("927-050000-100",B:AB,28+8,0),0)</f>
        <v>0</v>
      </c>
      <c r="AL59">
        <f>IFERROR(VLOOKUP("927-050000-100",B:AB,29+8,0),0)</f>
        <v>0</v>
      </c>
      <c r="AM59">
        <f>IFERROR(VLOOKUP("927-050000-100",B:AB,30+8,0),0)</f>
        <v>0</v>
      </c>
      <c r="AN59">
        <f>IFERROR(VLOOKUP("927-050000-100",B:AB,31+8,0),0)</f>
        <v>0</v>
      </c>
      <c r="AO59">
        <f>SUN(INDIRECT(ADDRESS(58,8)):INDIRECT(ADDRESS(58,39)))</f>
        <v>0</v>
      </c>
    </row>
    <row r="60" spans="1:41">
      <c r="H60" t="s">
        <v>179</v>
      </c>
      <c r="J60">
        <f>INDIRECT(ADDRESS(60,9))+INDIRECT(ADDRESS(58,10))-INDIRECT(ADDRESS(59,10))</f>
        <v>0</v>
      </c>
      <c r="K60">
        <f>INDIRECT(ADDRESS(60,10))+INDIRECT(ADDRESS(58,11))-INDIRECT(ADDRESS(59,11))</f>
        <v>0</v>
      </c>
      <c r="L60">
        <f>INDIRECT(ADDRESS(60,11))+INDIRECT(ADDRESS(58,12))-INDIRECT(ADDRESS(59,12))</f>
        <v>0</v>
      </c>
      <c r="M60">
        <f>INDIRECT(ADDRESS(60,12))+INDIRECT(ADDRESS(58,13))-INDIRECT(ADDRESS(59,13))</f>
        <v>0</v>
      </c>
      <c r="N60">
        <f>INDIRECT(ADDRESS(60,13))+INDIRECT(ADDRESS(58,14))-INDIRECT(ADDRESS(59,14))</f>
        <v>0</v>
      </c>
      <c r="O60">
        <f>INDIRECT(ADDRESS(60,14))+INDIRECT(ADDRESS(58,15))-INDIRECT(ADDRESS(59,15))</f>
        <v>0</v>
      </c>
      <c r="P60">
        <f>INDIRECT(ADDRESS(60,15))+INDIRECT(ADDRESS(58,16))-INDIRECT(ADDRESS(59,16))</f>
        <v>0</v>
      </c>
      <c r="Q60">
        <f>INDIRECT(ADDRESS(60,16))+INDIRECT(ADDRESS(58,17))-INDIRECT(ADDRESS(59,17))</f>
        <v>0</v>
      </c>
      <c r="R60">
        <f>INDIRECT(ADDRESS(60,17))+INDIRECT(ADDRESS(58,18))-INDIRECT(ADDRESS(59,18))</f>
        <v>0</v>
      </c>
      <c r="S60">
        <f>INDIRECT(ADDRESS(60,18))+INDIRECT(ADDRESS(58,19))-INDIRECT(ADDRESS(59,19))</f>
        <v>0</v>
      </c>
      <c r="T60">
        <f>INDIRECT(ADDRESS(60,19))+INDIRECT(ADDRESS(58,20))-INDIRECT(ADDRESS(59,20))</f>
        <v>0</v>
      </c>
      <c r="U60">
        <f>INDIRECT(ADDRESS(60,20))+INDIRECT(ADDRESS(58,21))-INDIRECT(ADDRESS(59,21))</f>
        <v>0</v>
      </c>
      <c r="V60">
        <f>INDIRECT(ADDRESS(60,21))+INDIRECT(ADDRESS(58,22))-INDIRECT(ADDRESS(59,22))</f>
        <v>0</v>
      </c>
      <c r="W60">
        <f>INDIRECT(ADDRESS(60,22))+INDIRECT(ADDRESS(58,23))-INDIRECT(ADDRESS(59,23))</f>
        <v>0</v>
      </c>
      <c r="X60">
        <f>INDIRECT(ADDRESS(60,23))+INDIRECT(ADDRESS(58,24))-INDIRECT(ADDRESS(59,24))</f>
        <v>0</v>
      </c>
      <c r="Y60">
        <f>INDIRECT(ADDRESS(60,24))+INDIRECT(ADDRESS(58,25))-INDIRECT(ADDRESS(59,25))</f>
        <v>0</v>
      </c>
      <c r="Z60">
        <f>INDIRECT(ADDRESS(60,25))+INDIRECT(ADDRESS(58,26))-INDIRECT(ADDRESS(59,26))</f>
        <v>0</v>
      </c>
      <c r="AA60">
        <f>INDIRECT(ADDRESS(60,26))+INDIRECT(ADDRESS(58,27))-INDIRECT(ADDRESS(59,27))</f>
        <v>0</v>
      </c>
      <c r="AB60">
        <f>INDIRECT(ADDRESS(60,27))+INDIRECT(ADDRESS(58,28))-INDIRECT(ADDRESS(59,28))</f>
        <v>0</v>
      </c>
      <c r="AC60">
        <f>INDIRECT(ADDRESS(60,28))+INDIRECT(ADDRESS(58,29))-INDIRECT(ADDRESS(59,29))</f>
        <v>0</v>
      </c>
      <c r="AD60">
        <f>INDIRECT(ADDRESS(60,29))+INDIRECT(ADDRESS(58,30))-INDIRECT(ADDRESS(59,30))</f>
        <v>0</v>
      </c>
      <c r="AE60">
        <f>INDIRECT(ADDRESS(60,30))+INDIRECT(ADDRESS(58,31))-INDIRECT(ADDRESS(59,31))</f>
        <v>0</v>
      </c>
      <c r="AF60">
        <f>INDIRECT(ADDRESS(60,31))+INDIRECT(ADDRESS(58,32))-INDIRECT(ADDRESS(59,32))</f>
        <v>0</v>
      </c>
      <c r="AG60">
        <f>INDIRECT(ADDRESS(60,32))+INDIRECT(ADDRESS(58,33))-INDIRECT(ADDRESS(59,33))</f>
        <v>0</v>
      </c>
      <c r="AH60">
        <f>INDIRECT(ADDRESS(60,33))+INDIRECT(ADDRESS(58,34))-INDIRECT(ADDRESS(59,34))</f>
        <v>0</v>
      </c>
      <c r="AI60">
        <f>INDIRECT(ADDRESS(60,34))+INDIRECT(ADDRESS(58,35))-INDIRECT(ADDRESS(59,35))</f>
        <v>0</v>
      </c>
      <c r="AJ60">
        <f>INDIRECT(ADDRESS(60,35))+INDIRECT(ADDRESS(58,36))-INDIRECT(ADDRESS(59,36))</f>
        <v>0</v>
      </c>
      <c r="AK60">
        <f>INDIRECT(ADDRESS(60,36))+INDIRECT(ADDRESS(58,37))-INDIRECT(ADDRESS(59,37))</f>
        <v>0</v>
      </c>
      <c r="AL60">
        <f>INDIRECT(ADDRESS(60,37))+INDIRECT(ADDRESS(58,38))-INDIRECT(ADDRESS(59,38))</f>
        <v>0</v>
      </c>
      <c r="AM60">
        <f>INDIRECT(ADDRESS(60,38))+INDIRECT(ADDRESS(58,39))-INDIRECT(ADDRESS(59,39))</f>
        <v>0</v>
      </c>
      <c r="AN60">
        <f>INDIRECT(ADDRESS(60,39))+INDIRECT(ADDRESS(58,40))-INDIRECT(ADDRESS(59,40))</f>
        <v>0</v>
      </c>
      <c r="AO60">
        <f>SUM(INDIRECT(ADDRESS(59,8)):INDIRECT(ADDRESS(59,39)))</f>
        <v>0</v>
      </c>
    </row>
    <row r="61" spans="1:41">
      <c r="A61" t="s">
        <v>180</v>
      </c>
      <c r="B61" t="s">
        <v>190</v>
      </c>
      <c r="C61" t="s">
        <v>191</v>
      </c>
      <c r="E61">
        <v>1</v>
      </c>
      <c r="F61" t="s">
        <v>11</v>
      </c>
      <c r="I61" t="s">
        <v>177</v>
      </c>
    </row>
    <row r="62" spans="1:41">
      <c r="I62" t="s">
        <v>178</v>
      </c>
      <c r="J62">
        <f>IFERROR(VLOOKUP("927-050000-100",B:AB,1+8,0),0)</f>
        <v>0</v>
      </c>
      <c r="K62">
        <f>IFERROR(VLOOKUP("927-050000-100",B:AB,2+8,0),0)</f>
        <v>0</v>
      </c>
      <c r="L62">
        <f>IFERROR(VLOOKUP("927-050000-100",B:AB,3+8,0),0)</f>
        <v>0</v>
      </c>
      <c r="M62">
        <f>IFERROR(VLOOKUP("927-050000-100",B:AB,4+8,0),0)</f>
        <v>0</v>
      </c>
      <c r="N62">
        <f>IFERROR(VLOOKUP("927-050000-100",B:AB,5+8,0),0)</f>
        <v>0</v>
      </c>
      <c r="O62">
        <f>IFERROR(VLOOKUP("927-050000-100",B:AB,6+8,0),0)</f>
        <v>0</v>
      </c>
      <c r="P62">
        <f>IFERROR(VLOOKUP("927-050000-100",B:AB,7+8,0),0)</f>
        <v>0</v>
      </c>
      <c r="Q62">
        <f>IFERROR(VLOOKUP("927-050000-100",B:AB,8+8,0),0)</f>
        <v>0</v>
      </c>
      <c r="R62">
        <f>IFERROR(VLOOKUP("927-050000-100",B:AB,9+8,0),0)</f>
        <v>0</v>
      </c>
      <c r="S62">
        <f>IFERROR(VLOOKUP("927-050000-100",B:AB,10+8,0),0)</f>
        <v>0</v>
      </c>
      <c r="T62">
        <f>IFERROR(VLOOKUP("927-050000-100",B:AB,11+8,0),0)</f>
        <v>0</v>
      </c>
      <c r="U62">
        <f>IFERROR(VLOOKUP("927-050000-100",B:AB,12+8,0),0)</f>
        <v>0</v>
      </c>
      <c r="V62">
        <f>IFERROR(VLOOKUP("927-050000-100",B:AB,13+8,0),0)</f>
        <v>0</v>
      </c>
      <c r="W62">
        <f>IFERROR(VLOOKUP("927-050000-100",B:AB,14+8,0),0)</f>
        <v>0</v>
      </c>
      <c r="X62">
        <f>IFERROR(VLOOKUP("927-050000-100",B:AB,15+8,0),0)</f>
        <v>0</v>
      </c>
      <c r="Y62">
        <f>IFERROR(VLOOKUP("927-050000-100",B:AB,16+8,0),0)</f>
        <v>0</v>
      </c>
      <c r="Z62">
        <f>IFERROR(VLOOKUP("927-050000-100",B:AB,17+8,0),0)</f>
        <v>0</v>
      </c>
      <c r="AA62">
        <f>IFERROR(VLOOKUP("927-050000-100",B:AB,18+8,0),0)</f>
        <v>0</v>
      </c>
      <c r="AB62">
        <f>IFERROR(VLOOKUP("927-050000-100",B:AB,19+8,0),0)</f>
        <v>0</v>
      </c>
      <c r="AC62">
        <f>IFERROR(VLOOKUP("927-050000-100",B:AB,20+8,0),0)</f>
        <v>0</v>
      </c>
      <c r="AD62">
        <f>IFERROR(VLOOKUP("927-050000-100",B:AB,21+8,0),0)</f>
        <v>0</v>
      </c>
      <c r="AE62">
        <f>IFERROR(VLOOKUP("927-050000-100",B:AB,22+8,0),0)</f>
        <v>0</v>
      </c>
      <c r="AF62">
        <f>IFERROR(VLOOKUP("927-050000-100",B:AB,23+8,0),0)</f>
        <v>0</v>
      </c>
      <c r="AG62">
        <f>IFERROR(VLOOKUP("927-050000-100",B:AB,24+8,0),0)</f>
        <v>0</v>
      </c>
      <c r="AH62">
        <f>IFERROR(VLOOKUP("927-050000-100",B:AB,25+8,0),0)</f>
        <v>0</v>
      </c>
      <c r="AI62">
        <f>IFERROR(VLOOKUP("927-050000-100",B:AB,26+8,0),0)</f>
        <v>0</v>
      </c>
      <c r="AJ62">
        <f>IFERROR(VLOOKUP("927-050000-100",B:AB,27+8,0),0)</f>
        <v>0</v>
      </c>
      <c r="AK62">
        <f>IFERROR(VLOOKUP("927-050000-100",B:AB,28+8,0),0)</f>
        <v>0</v>
      </c>
      <c r="AL62">
        <f>IFERROR(VLOOKUP("927-050000-100",B:AB,29+8,0),0)</f>
        <v>0</v>
      </c>
      <c r="AM62">
        <f>IFERROR(VLOOKUP("927-050000-100",B:AB,30+8,0),0)</f>
        <v>0</v>
      </c>
      <c r="AN62">
        <f>IFERROR(VLOOKUP("927-050000-100",B:AB,31+8,0),0)</f>
        <v>0</v>
      </c>
      <c r="AO62">
        <f>SUN(INDIRECT(ADDRESS(61,8)):INDIRECT(ADDRESS(61,39)))</f>
        <v>0</v>
      </c>
    </row>
    <row r="63" spans="1:41">
      <c r="H63" t="s">
        <v>179</v>
      </c>
      <c r="J63">
        <f>INDIRECT(ADDRESS(63,9))+INDIRECT(ADDRESS(61,10))-INDIRECT(ADDRESS(62,10))</f>
        <v>0</v>
      </c>
      <c r="K63">
        <f>INDIRECT(ADDRESS(63,10))+INDIRECT(ADDRESS(61,11))-INDIRECT(ADDRESS(62,11))</f>
        <v>0</v>
      </c>
      <c r="L63">
        <f>INDIRECT(ADDRESS(63,11))+INDIRECT(ADDRESS(61,12))-INDIRECT(ADDRESS(62,12))</f>
        <v>0</v>
      </c>
      <c r="M63">
        <f>INDIRECT(ADDRESS(63,12))+INDIRECT(ADDRESS(61,13))-INDIRECT(ADDRESS(62,13))</f>
        <v>0</v>
      </c>
      <c r="N63">
        <f>INDIRECT(ADDRESS(63,13))+INDIRECT(ADDRESS(61,14))-INDIRECT(ADDRESS(62,14))</f>
        <v>0</v>
      </c>
      <c r="O63">
        <f>INDIRECT(ADDRESS(63,14))+INDIRECT(ADDRESS(61,15))-INDIRECT(ADDRESS(62,15))</f>
        <v>0</v>
      </c>
      <c r="P63">
        <f>INDIRECT(ADDRESS(63,15))+INDIRECT(ADDRESS(61,16))-INDIRECT(ADDRESS(62,16))</f>
        <v>0</v>
      </c>
      <c r="Q63">
        <f>INDIRECT(ADDRESS(63,16))+INDIRECT(ADDRESS(61,17))-INDIRECT(ADDRESS(62,17))</f>
        <v>0</v>
      </c>
      <c r="R63">
        <f>INDIRECT(ADDRESS(63,17))+INDIRECT(ADDRESS(61,18))-INDIRECT(ADDRESS(62,18))</f>
        <v>0</v>
      </c>
      <c r="S63">
        <f>INDIRECT(ADDRESS(63,18))+INDIRECT(ADDRESS(61,19))-INDIRECT(ADDRESS(62,19))</f>
        <v>0</v>
      </c>
      <c r="T63">
        <f>INDIRECT(ADDRESS(63,19))+INDIRECT(ADDRESS(61,20))-INDIRECT(ADDRESS(62,20))</f>
        <v>0</v>
      </c>
      <c r="U63">
        <f>INDIRECT(ADDRESS(63,20))+INDIRECT(ADDRESS(61,21))-INDIRECT(ADDRESS(62,21))</f>
        <v>0</v>
      </c>
      <c r="V63">
        <f>INDIRECT(ADDRESS(63,21))+INDIRECT(ADDRESS(61,22))-INDIRECT(ADDRESS(62,22))</f>
        <v>0</v>
      </c>
      <c r="W63">
        <f>INDIRECT(ADDRESS(63,22))+INDIRECT(ADDRESS(61,23))-INDIRECT(ADDRESS(62,23))</f>
        <v>0</v>
      </c>
      <c r="X63">
        <f>INDIRECT(ADDRESS(63,23))+INDIRECT(ADDRESS(61,24))-INDIRECT(ADDRESS(62,24))</f>
        <v>0</v>
      </c>
      <c r="Y63">
        <f>INDIRECT(ADDRESS(63,24))+INDIRECT(ADDRESS(61,25))-INDIRECT(ADDRESS(62,25))</f>
        <v>0</v>
      </c>
      <c r="Z63">
        <f>INDIRECT(ADDRESS(63,25))+INDIRECT(ADDRESS(61,26))-INDIRECT(ADDRESS(62,26))</f>
        <v>0</v>
      </c>
      <c r="AA63">
        <f>INDIRECT(ADDRESS(63,26))+INDIRECT(ADDRESS(61,27))-INDIRECT(ADDRESS(62,27))</f>
        <v>0</v>
      </c>
      <c r="AB63">
        <f>INDIRECT(ADDRESS(63,27))+INDIRECT(ADDRESS(61,28))-INDIRECT(ADDRESS(62,28))</f>
        <v>0</v>
      </c>
      <c r="AC63">
        <f>INDIRECT(ADDRESS(63,28))+INDIRECT(ADDRESS(61,29))-INDIRECT(ADDRESS(62,29))</f>
        <v>0</v>
      </c>
      <c r="AD63">
        <f>INDIRECT(ADDRESS(63,29))+INDIRECT(ADDRESS(61,30))-INDIRECT(ADDRESS(62,30))</f>
        <v>0</v>
      </c>
      <c r="AE63">
        <f>INDIRECT(ADDRESS(63,30))+INDIRECT(ADDRESS(61,31))-INDIRECT(ADDRESS(62,31))</f>
        <v>0</v>
      </c>
      <c r="AF63">
        <f>INDIRECT(ADDRESS(63,31))+INDIRECT(ADDRESS(61,32))-INDIRECT(ADDRESS(62,32))</f>
        <v>0</v>
      </c>
      <c r="AG63">
        <f>INDIRECT(ADDRESS(63,32))+INDIRECT(ADDRESS(61,33))-INDIRECT(ADDRESS(62,33))</f>
        <v>0</v>
      </c>
      <c r="AH63">
        <f>INDIRECT(ADDRESS(63,33))+INDIRECT(ADDRESS(61,34))-INDIRECT(ADDRESS(62,34))</f>
        <v>0</v>
      </c>
      <c r="AI63">
        <f>INDIRECT(ADDRESS(63,34))+INDIRECT(ADDRESS(61,35))-INDIRECT(ADDRESS(62,35))</f>
        <v>0</v>
      </c>
      <c r="AJ63">
        <f>INDIRECT(ADDRESS(63,35))+INDIRECT(ADDRESS(61,36))-INDIRECT(ADDRESS(62,36))</f>
        <v>0</v>
      </c>
      <c r="AK63">
        <f>INDIRECT(ADDRESS(63,36))+INDIRECT(ADDRESS(61,37))-INDIRECT(ADDRESS(62,37))</f>
        <v>0</v>
      </c>
      <c r="AL63">
        <f>INDIRECT(ADDRESS(63,37))+INDIRECT(ADDRESS(61,38))-INDIRECT(ADDRESS(62,38))</f>
        <v>0</v>
      </c>
      <c r="AM63">
        <f>INDIRECT(ADDRESS(63,38))+INDIRECT(ADDRESS(61,39))-INDIRECT(ADDRESS(62,39))</f>
        <v>0</v>
      </c>
      <c r="AN63">
        <f>INDIRECT(ADDRESS(63,39))+INDIRECT(ADDRESS(61,40))-INDIRECT(ADDRESS(62,40))</f>
        <v>0</v>
      </c>
      <c r="AO63">
        <f>SUM(INDIRECT(ADDRESS(62,8)):INDIRECT(ADDRESS(62,39)))</f>
        <v>0</v>
      </c>
    </row>
    <row r="64" spans="1:41">
      <c r="A64" t="s">
        <v>185</v>
      </c>
      <c r="B64" t="s">
        <v>192</v>
      </c>
      <c r="C64" t="s">
        <v>193</v>
      </c>
      <c r="E64">
        <v>1</v>
      </c>
      <c r="F64" t="s">
        <v>11</v>
      </c>
      <c r="I64" t="s">
        <v>177</v>
      </c>
    </row>
    <row r="65" spans="1:41">
      <c r="I65" t="s">
        <v>178</v>
      </c>
      <c r="J65">
        <f>IFERROR(VLOOKUP("927-050000-100",B:AB,1+8,0),0)</f>
        <v>0</v>
      </c>
      <c r="K65">
        <f>IFERROR(VLOOKUP("927-050000-100",B:AB,2+8,0),0)</f>
        <v>0</v>
      </c>
      <c r="L65">
        <f>IFERROR(VLOOKUP("927-050000-100",B:AB,3+8,0),0)</f>
        <v>0</v>
      </c>
      <c r="M65">
        <f>IFERROR(VLOOKUP("927-050000-100",B:AB,4+8,0),0)</f>
        <v>0</v>
      </c>
      <c r="N65">
        <f>IFERROR(VLOOKUP("927-050000-100",B:AB,5+8,0),0)</f>
        <v>0</v>
      </c>
      <c r="O65">
        <f>IFERROR(VLOOKUP("927-050000-100",B:AB,6+8,0),0)</f>
        <v>0</v>
      </c>
      <c r="P65">
        <f>IFERROR(VLOOKUP("927-050000-100",B:AB,7+8,0),0)</f>
        <v>0</v>
      </c>
      <c r="Q65">
        <f>IFERROR(VLOOKUP("927-050000-100",B:AB,8+8,0),0)</f>
        <v>0</v>
      </c>
      <c r="R65">
        <f>IFERROR(VLOOKUP("927-050000-100",B:AB,9+8,0),0)</f>
        <v>0</v>
      </c>
      <c r="S65">
        <f>IFERROR(VLOOKUP("927-050000-100",B:AB,10+8,0),0)</f>
        <v>0</v>
      </c>
      <c r="T65">
        <f>IFERROR(VLOOKUP("927-050000-100",B:AB,11+8,0),0)</f>
        <v>0</v>
      </c>
      <c r="U65">
        <f>IFERROR(VLOOKUP("927-050000-100",B:AB,12+8,0),0)</f>
        <v>0</v>
      </c>
      <c r="V65">
        <f>IFERROR(VLOOKUP("927-050000-100",B:AB,13+8,0),0)</f>
        <v>0</v>
      </c>
      <c r="W65">
        <f>IFERROR(VLOOKUP("927-050000-100",B:AB,14+8,0),0)</f>
        <v>0</v>
      </c>
      <c r="X65">
        <f>IFERROR(VLOOKUP("927-050000-100",B:AB,15+8,0),0)</f>
        <v>0</v>
      </c>
      <c r="Y65">
        <f>IFERROR(VLOOKUP("927-050000-100",B:AB,16+8,0),0)</f>
        <v>0</v>
      </c>
      <c r="Z65">
        <f>IFERROR(VLOOKUP("927-050000-100",B:AB,17+8,0),0)</f>
        <v>0</v>
      </c>
      <c r="AA65">
        <f>IFERROR(VLOOKUP("927-050000-100",B:AB,18+8,0),0)</f>
        <v>0</v>
      </c>
      <c r="AB65">
        <f>IFERROR(VLOOKUP("927-050000-100",B:AB,19+8,0),0)</f>
        <v>0</v>
      </c>
      <c r="AC65">
        <f>IFERROR(VLOOKUP("927-050000-100",B:AB,20+8,0),0)</f>
        <v>0</v>
      </c>
      <c r="AD65">
        <f>IFERROR(VLOOKUP("927-050000-100",B:AB,21+8,0),0)</f>
        <v>0</v>
      </c>
      <c r="AE65">
        <f>IFERROR(VLOOKUP("927-050000-100",B:AB,22+8,0),0)</f>
        <v>0</v>
      </c>
      <c r="AF65">
        <f>IFERROR(VLOOKUP("927-050000-100",B:AB,23+8,0),0)</f>
        <v>0</v>
      </c>
      <c r="AG65">
        <f>IFERROR(VLOOKUP("927-050000-100",B:AB,24+8,0),0)</f>
        <v>0</v>
      </c>
      <c r="AH65">
        <f>IFERROR(VLOOKUP("927-050000-100",B:AB,25+8,0),0)</f>
        <v>0</v>
      </c>
      <c r="AI65">
        <f>IFERROR(VLOOKUP("927-050000-100",B:AB,26+8,0),0)</f>
        <v>0</v>
      </c>
      <c r="AJ65">
        <f>IFERROR(VLOOKUP("927-050000-100",B:AB,27+8,0),0)</f>
        <v>0</v>
      </c>
      <c r="AK65">
        <f>IFERROR(VLOOKUP("927-050000-100",B:AB,28+8,0),0)</f>
        <v>0</v>
      </c>
      <c r="AL65">
        <f>IFERROR(VLOOKUP("927-050000-100",B:AB,29+8,0),0)</f>
        <v>0</v>
      </c>
      <c r="AM65">
        <f>IFERROR(VLOOKUP("927-050000-100",B:AB,30+8,0),0)</f>
        <v>0</v>
      </c>
      <c r="AN65">
        <f>IFERROR(VLOOKUP("927-050000-100",B:AB,31+8,0),0)</f>
        <v>0</v>
      </c>
      <c r="AO65">
        <f>SUN(INDIRECT(ADDRESS(64,8)):INDIRECT(ADDRESS(64,39)))</f>
        <v>0</v>
      </c>
    </row>
    <row r="66" spans="1:41">
      <c r="H66" t="s">
        <v>179</v>
      </c>
      <c r="J66">
        <f>INDIRECT(ADDRESS(66,9))+INDIRECT(ADDRESS(64,10))-INDIRECT(ADDRESS(65,10))</f>
        <v>0</v>
      </c>
      <c r="K66">
        <f>INDIRECT(ADDRESS(66,10))+INDIRECT(ADDRESS(64,11))-INDIRECT(ADDRESS(65,11))</f>
        <v>0</v>
      </c>
      <c r="L66">
        <f>INDIRECT(ADDRESS(66,11))+INDIRECT(ADDRESS(64,12))-INDIRECT(ADDRESS(65,12))</f>
        <v>0</v>
      </c>
      <c r="M66">
        <f>INDIRECT(ADDRESS(66,12))+INDIRECT(ADDRESS(64,13))-INDIRECT(ADDRESS(65,13))</f>
        <v>0</v>
      </c>
      <c r="N66">
        <f>INDIRECT(ADDRESS(66,13))+INDIRECT(ADDRESS(64,14))-INDIRECT(ADDRESS(65,14))</f>
        <v>0</v>
      </c>
      <c r="O66">
        <f>INDIRECT(ADDRESS(66,14))+INDIRECT(ADDRESS(64,15))-INDIRECT(ADDRESS(65,15))</f>
        <v>0</v>
      </c>
      <c r="P66">
        <f>INDIRECT(ADDRESS(66,15))+INDIRECT(ADDRESS(64,16))-INDIRECT(ADDRESS(65,16))</f>
        <v>0</v>
      </c>
      <c r="Q66">
        <f>INDIRECT(ADDRESS(66,16))+INDIRECT(ADDRESS(64,17))-INDIRECT(ADDRESS(65,17))</f>
        <v>0</v>
      </c>
      <c r="R66">
        <f>INDIRECT(ADDRESS(66,17))+INDIRECT(ADDRESS(64,18))-INDIRECT(ADDRESS(65,18))</f>
        <v>0</v>
      </c>
      <c r="S66">
        <f>INDIRECT(ADDRESS(66,18))+INDIRECT(ADDRESS(64,19))-INDIRECT(ADDRESS(65,19))</f>
        <v>0</v>
      </c>
      <c r="T66">
        <f>INDIRECT(ADDRESS(66,19))+INDIRECT(ADDRESS(64,20))-INDIRECT(ADDRESS(65,20))</f>
        <v>0</v>
      </c>
      <c r="U66">
        <f>INDIRECT(ADDRESS(66,20))+INDIRECT(ADDRESS(64,21))-INDIRECT(ADDRESS(65,21))</f>
        <v>0</v>
      </c>
      <c r="V66">
        <f>INDIRECT(ADDRESS(66,21))+INDIRECT(ADDRESS(64,22))-INDIRECT(ADDRESS(65,22))</f>
        <v>0</v>
      </c>
      <c r="W66">
        <f>INDIRECT(ADDRESS(66,22))+INDIRECT(ADDRESS(64,23))-INDIRECT(ADDRESS(65,23))</f>
        <v>0</v>
      </c>
      <c r="X66">
        <f>INDIRECT(ADDRESS(66,23))+INDIRECT(ADDRESS(64,24))-INDIRECT(ADDRESS(65,24))</f>
        <v>0</v>
      </c>
      <c r="Y66">
        <f>INDIRECT(ADDRESS(66,24))+INDIRECT(ADDRESS(64,25))-INDIRECT(ADDRESS(65,25))</f>
        <v>0</v>
      </c>
      <c r="Z66">
        <f>INDIRECT(ADDRESS(66,25))+INDIRECT(ADDRESS(64,26))-INDIRECT(ADDRESS(65,26))</f>
        <v>0</v>
      </c>
      <c r="AA66">
        <f>INDIRECT(ADDRESS(66,26))+INDIRECT(ADDRESS(64,27))-INDIRECT(ADDRESS(65,27))</f>
        <v>0</v>
      </c>
      <c r="AB66">
        <f>INDIRECT(ADDRESS(66,27))+INDIRECT(ADDRESS(64,28))-INDIRECT(ADDRESS(65,28))</f>
        <v>0</v>
      </c>
      <c r="AC66">
        <f>INDIRECT(ADDRESS(66,28))+INDIRECT(ADDRESS(64,29))-INDIRECT(ADDRESS(65,29))</f>
        <v>0</v>
      </c>
      <c r="AD66">
        <f>INDIRECT(ADDRESS(66,29))+INDIRECT(ADDRESS(64,30))-INDIRECT(ADDRESS(65,30))</f>
        <v>0</v>
      </c>
      <c r="AE66">
        <f>INDIRECT(ADDRESS(66,30))+INDIRECT(ADDRESS(64,31))-INDIRECT(ADDRESS(65,31))</f>
        <v>0</v>
      </c>
      <c r="AF66">
        <f>INDIRECT(ADDRESS(66,31))+INDIRECT(ADDRESS(64,32))-INDIRECT(ADDRESS(65,32))</f>
        <v>0</v>
      </c>
      <c r="AG66">
        <f>INDIRECT(ADDRESS(66,32))+INDIRECT(ADDRESS(64,33))-INDIRECT(ADDRESS(65,33))</f>
        <v>0</v>
      </c>
      <c r="AH66">
        <f>INDIRECT(ADDRESS(66,33))+INDIRECT(ADDRESS(64,34))-INDIRECT(ADDRESS(65,34))</f>
        <v>0</v>
      </c>
      <c r="AI66">
        <f>INDIRECT(ADDRESS(66,34))+INDIRECT(ADDRESS(64,35))-INDIRECT(ADDRESS(65,35))</f>
        <v>0</v>
      </c>
      <c r="AJ66">
        <f>INDIRECT(ADDRESS(66,35))+INDIRECT(ADDRESS(64,36))-INDIRECT(ADDRESS(65,36))</f>
        <v>0</v>
      </c>
      <c r="AK66">
        <f>INDIRECT(ADDRESS(66,36))+INDIRECT(ADDRESS(64,37))-INDIRECT(ADDRESS(65,37))</f>
        <v>0</v>
      </c>
      <c r="AL66">
        <f>INDIRECT(ADDRESS(66,37))+INDIRECT(ADDRESS(64,38))-INDIRECT(ADDRESS(65,38))</f>
        <v>0</v>
      </c>
      <c r="AM66">
        <f>INDIRECT(ADDRESS(66,38))+INDIRECT(ADDRESS(64,39))-INDIRECT(ADDRESS(65,39))</f>
        <v>0</v>
      </c>
      <c r="AN66">
        <f>INDIRECT(ADDRESS(66,39))+INDIRECT(ADDRESS(64,40))-INDIRECT(ADDRESS(65,40))</f>
        <v>0</v>
      </c>
      <c r="AO66">
        <f>SUM(INDIRECT(ADDRESS(65,8)):INDIRECT(ADDRESS(65,39)))</f>
        <v>0</v>
      </c>
    </row>
    <row r="67" spans="1:41">
      <c r="A67" t="s">
        <v>180</v>
      </c>
      <c r="B67" t="s">
        <v>194</v>
      </c>
      <c r="C67" t="s">
        <v>195</v>
      </c>
      <c r="E67">
        <v>2</v>
      </c>
      <c r="F67" t="s">
        <v>11</v>
      </c>
      <c r="I67" t="s">
        <v>177</v>
      </c>
    </row>
    <row r="68" spans="1:41">
      <c r="I68" t="s">
        <v>178</v>
      </c>
      <c r="J68">
        <f>IFERROR(VLOOKUP("927-050000-100",B:AB,1+8,0),0)</f>
        <v>0</v>
      </c>
      <c r="K68">
        <f>IFERROR(VLOOKUP("927-050000-100",B:AB,2+8,0),0)</f>
        <v>0</v>
      </c>
      <c r="L68">
        <f>IFERROR(VLOOKUP("927-050000-100",B:AB,3+8,0),0)</f>
        <v>0</v>
      </c>
      <c r="M68">
        <f>IFERROR(VLOOKUP("927-050000-100",B:AB,4+8,0),0)</f>
        <v>0</v>
      </c>
      <c r="N68">
        <f>IFERROR(VLOOKUP("927-050000-100",B:AB,5+8,0),0)</f>
        <v>0</v>
      </c>
      <c r="O68">
        <f>IFERROR(VLOOKUP("927-050000-100",B:AB,6+8,0),0)</f>
        <v>0</v>
      </c>
      <c r="P68">
        <f>IFERROR(VLOOKUP("927-050000-100",B:AB,7+8,0),0)</f>
        <v>0</v>
      </c>
      <c r="Q68">
        <f>IFERROR(VLOOKUP("927-050000-100",B:AB,8+8,0),0)</f>
        <v>0</v>
      </c>
      <c r="R68">
        <f>IFERROR(VLOOKUP("927-050000-100",B:AB,9+8,0),0)</f>
        <v>0</v>
      </c>
      <c r="S68">
        <f>IFERROR(VLOOKUP("927-050000-100",B:AB,10+8,0),0)</f>
        <v>0</v>
      </c>
      <c r="T68">
        <f>IFERROR(VLOOKUP("927-050000-100",B:AB,11+8,0),0)</f>
        <v>0</v>
      </c>
      <c r="U68">
        <f>IFERROR(VLOOKUP("927-050000-100",B:AB,12+8,0),0)</f>
        <v>0</v>
      </c>
      <c r="V68">
        <f>IFERROR(VLOOKUP("927-050000-100",B:AB,13+8,0),0)</f>
        <v>0</v>
      </c>
      <c r="W68">
        <f>IFERROR(VLOOKUP("927-050000-100",B:AB,14+8,0),0)</f>
        <v>0</v>
      </c>
      <c r="X68">
        <f>IFERROR(VLOOKUP("927-050000-100",B:AB,15+8,0),0)</f>
        <v>0</v>
      </c>
      <c r="Y68">
        <f>IFERROR(VLOOKUP("927-050000-100",B:AB,16+8,0),0)</f>
        <v>0</v>
      </c>
      <c r="Z68">
        <f>IFERROR(VLOOKUP("927-050000-100",B:AB,17+8,0),0)</f>
        <v>0</v>
      </c>
      <c r="AA68">
        <f>IFERROR(VLOOKUP("927-050000-100",B:AB,18+8,0),0)</f>
        <v>0</v>
      </c>
      <c r="AB68">
        <f>IFERROR(VLOOKUP("927-050000-100",B:AB,19+8,0),0)</f>
        <v>0</v>
      </c>
      <c r="AC68">
        <f>IFERROR(VLOOKUP("927-050000-100",B:AB,20+8,0),0)</f>
        <v>0</v>
      </c>
      <c r="AD68">
        <f>IFERROR(VLOOKUP("927-050000-100",B:AB,21+8,0),0)</f>
        <v>0</v>
      </c>
      <c r="AE68">
        <f>IFERROR(VLOOKUP("927-050000-100",B:AB,22+8,0),0)</f>
        <v>0</v>
      </c>
      <c r="AF68">
        <f>IFERROR(VLOOKUP("927-050000-100",B:AB,23+8,0),0)</f>
        <v>0</v>
      </c>
      <c r="AG68">
        <f>IFERROR(VLOOKUP("927-050000-100",B:AB,24+8,0),0)</f>
        <v>0</v>
      </c>
      <c r="AH68">
        <f>IFERROR(VLOOKUP("927-050000-100",B:AB,25+8,0),0)</f>
        <v>0</v>
      </c>
      <c r="AI68">
        <f>IFERROR(VLOOKUP("927-050000-100",B:AB,26+8,0),0)</f>
        <v>0</v>
      </c>
      <c r="AJ68">
        <f>IFERROR(VLOOKUP("927-050000-100",B:AB,27+8,0),0)</f>
        <v>0</v>
      </c>
      <c r="AK68">
        <f>IFERROR(VLOOKUP("927-050000-100",B:AB,28+8,0),0)</f>
        <v>0</v>
      </c>
      <c r="AL68">
        <f>IFERROR(VLOOKUP("927-050000-100",B:AB,29+8,0),0)</f>
        <v>0</v>
      </c>
      <c r="AM68">
        <f>IFERROR(VLOOKUP("927-050000-100",B:AB,30+8,0),0)</f>
        <v>0</v>
      </c>
      <c r="AN68">
        <f>IFERROR(VLOOKUP("927-050000-100",B:AB,31+8,0),0)</f>
        <v>0</v>
      </c>
      <c r="AO68">
        <f>SUN(INDIRECT(ADDRESS(67,8)):INDIRECT(ADDRESS(67,39)))</f>
        <v>0</v>
      </c>
    </row>
    <row r="69" spans="1:41">
      <c r="H69" t="s">
        <v>179</v>
      </c>
      <c r="J69">
        <f>INDIRECT(ADDRESS(69,9))+INDIRECT(ADDRESS(67,10))-INDIRECT(ADDRESS(68,10))</f>
        <v>0</v>
      </c>
      <c r="K69">
        <f>INDIRECT(ADDRESS(69,10))+INDIRECT(ADDRESS(67,11))-INDIRECT(ADDRESS(68,11))</f>
        <v>0</v>
      </c>
      <c r="L69">
        <f>INDIRECT(ADDRESS(69,11))+INDIRECT(ADDRESS(67,12))-INDIRECT(ADDRESS(68,12))</f>
        <v>0</v>
      </c>
      <c r="M69">
        <f>INDIRECT(ADDRESS(69,12))+INDIRECT(ADDRESS(67,13))-INDIRECT(ADDRESS(68,13))</f>
        <v>0</v>
      </c>
      <c r="N69">
        <f>INDIRECT(ADDRESS(69,13))+INDIRECT(ADDRESS(67,14))-INDIRECT(ADDRESS(68,14))</f>
        <v>0</v>
      </c>
      <c r="O69">
        <f>INDIRECT(ADDRESS(69,14))+INDIRECT(ADDRESS(67,15))-INDIRECT(ADDRESS(68,15))</f>
        <v>0</v>
      </c>
      <c r="P69">
        <f>INDIRECT(ADDRESS(69,15))+INDIRECT(ADDRESS(67,16))-INDIRECT(ADDRESS(68,16))</f>
        <v>0</v>
      </c>
      <c r="Q69">
        <f>INDIRECT(ADDRESS(69,16))+INDIRECT(ADDRESS(67,17))-INDIRECT(ADDRESS(68,17))</f>
        <v>0</v>
      </c>
      <c r="R69">
        <f>INDIRECT(ADDRESS(69,17))+INDIRECT(ADDRESS(67,18))-INDIRECT(ADDRESS(68,18))</f>
        <v>0</v>
      </c>
      <c r="S69">
        <f>INDIRECT(ADDRESS(69,18))+INDIRECT(ADDRESS(67,19))-INDIRECT(ADDRESS(68,19))</f>
        <v>0</v>
      </c>
      <c r="T69">
        <f>INDIRECT(ADDRESS(69,19))+INDIRECT(ADDRESS(67,20))-INDIRECT(ADDRESS(68,20))</f>
        <v>0</v>
      </c>
      <c r="U69">
        <f>INDIRECT(ADDRESS(69,20))+INDIRECT(ADDRESS(67,21))-INDIRECT(ADDRESS(68,21))</f>
        <v>0</v>
      </c>
      <c r="V69">
        <f>INDIRECT(ADDRESS(69,21))+INDIRECT(ADDRESS(67,22))-INDIRECT(ADDRESS(68,22))</f>
        <v>0</v>
      </c>
      <c r="W69">
        <f>INDIRECT(ADDRESS(69,22))+INDIRECT(ADDRESS(67,23))-INDIRECT(ADDRESS(68,23))</f>
        <v>0</v>
      </c>
      <c r="X69">
        <f>INDIRECT(ADDRESS(69,23))+INDIRECT(ADDRESS(67,24))-INDIRECT(ADDRESS(68,24))</f>
        <v>0</v>
      </c>
      <c r="Y69">
        <f>INDIRECT(ADDRESS(69,24))+INDIRECT(ADDRESS(67,25))-INDIRECT(ADDRESS(68,25))</f>
        <v>0</v>
      </c>
      <c r="Z69">
        <f>INDIRECT(ADDRESS(69,25))+INDIRECT(ADDRESS(67,26))-INDIRECT(ADDRESS(68,26))</f>
        <v>0</v>
      </c>
      <c r="AA69">
        <f>INDIRECT(ADDRESS(69,26))+INDIRECT(ADDRESS(67,27))-INDIRECT(ADDRESS(68,27))</f>
        <v>0</v>
      </c>
      <c r="AB69">
        <f>INDIRECT(ADDRESS(69,27))+INDIRECT(ADDRESS(67,28))-INDIRECT(ADDRESS(68,28))</f>
        <v>0</v>
      </c>
      <c r="AC69">
        <f>INDIRECT(ADDRESS(69,28))+INDIRECT(ADDRESS(67,29))-INDIRECT(ADDRESS(68,29))</f>
        <v>0</v>
      </c>
      <c r="AD69">
        <f>INDIRECT(ADDRESS(69,29))+INDIRECT(ADDRESS(67,30))-INDIRECT(ADDRESS(68,30))</f>
        <v>0</v>
      </c>
      <c r="AE69">
        <f>INDIRECT(ADDRESS(69,30))+INDIRECT(ADDRESS(67,31))-INDIRECT(ADDRESS(68,31))</f>
        <v>0</v>
      </c>
      <c r="AF69">
        <f>INDIRECT(ADDRESS(69,31))+INDIRECT(ADDRESS(67,32))-INDIRECT(ADDRESS(68,32))</f>
        <v>0</v>
      </c>
      <c r="AG69">
        <f>INDIRECT(ADDRESS(69,32))+INDIRECT(ADDRESS(67,33))-INDIRECT(ADDRESS(68,33))</f>
        <v>0</v>
      </c>
      <c r="AH69">
        <f>INDIRECT(ADDRESS(69,33))+INDIRECT(ADDRESS(67,34))-INDIRECT(ADDRESS(68,34))</f>
        <v>0</v>
      </c>
      <c r="AI69">
        <f>INDIRECT(ADDRESS(69,34))+INDIRECT(ADDRESS(67,35))-INDIRECT(ADDRESS(68,35))</f>
        <v>0</v>
      </c>
      <c r="AJ69">
        <f>INDIRECT(ADDRESS(69,35))+INDIRECT(ADDRESS(67,36))-INDIRECT(ADDRESS(68,36))</f>
        <v>0</v>
      </c>
      <c r="AK69">
        <f>INDIRECT(ADDRESS(69,36))+INDIRECT(ADDRESS(67,37))-INDIRECT(ADDRESS(68,37))</f>
        <v>0</v>
      </c>
      <c r="AL69">
        <f>INDIRECT(ADDRESS(69,37))+INDIRECT(ADDRESS(67,38))-INDIRECT(ADDRESS(68,38))</f>
        <v>0</v>
      </c>
      <c r="AM69">
        <f>INDIRECT(ADDRESS(69,38))+INDIRECT(ADDRESS(67,39))-INDIRECT(ADDRESS(68,39))</f>
        <v>0</v>
      </c>
      <c r="AN69">
        <f>INDIRECT(ADDRESS(69,39))+INDIRECT(ADDRESS(67,40))-INDIRECT(ADDRESS(68,40))</f>
        <v>0</v>
      </c>
      <c r="AO69">
        <f>SUM(INDIRECT(ADDRESS(68,8)):INDIRECT(ADDRESS(68,39)))</f>
        <v>0</v>
      </c>
    </row>
    <row r="70" spans="1:41">
      <c r="A70" t="s">
        <v>185</v>
      </c>
      <c r="B70" t="s">
        <v>196</v>
      </c>
      <c r="C70" t="s">
        <v>197</v>
      </c>
      <c r="E70">
        <v>2</v>
      </c>
      <c r="F70" t="s">
        <v>11</v>
      </c>
      <c r="I70" t="s">
        <v>177</v>
      </c>
    </row>
    <row r="71" spans="1:41">
      <c r="I71" t="s">
        <v>178</v>
      </c>
      <c r="J71">
        <f>IFERROR(VLOOKUP("927-050000-100",B:AB,1+8,0),0)</f>
        <v>0</v>
      </c>
      <c r="K71">
        <f>IFERROR(VLOOKUP("927-050000-100",B:AB,2+8,0),0)</f>
        <v>0</v>
      </c>
      <c r="L71">
        <f>IFERROR(VLOOKUP("927-050000-100",B:AB,3+8,0),0)</f>
        <v>0</v>
      </c>
      <c r="M71">
        <f>IFERROR(VLOOKUP("927-050000-100",B:AB,4+8,0),0)</f>
        <v>0</v>
      </c>
      <c r="N71">
        <f>IFERROR(VLOOKUP("927-050000-100",B:AB,5+8,0),0)</f>
        <v>0</v>
      </c>
      <c r="O71">
        <f>IFERROR(VLOOKUP("927-050000-100",B:AB,6+8,0),0)</f>
        <v>0</v>
      </c>
      <c r="P71">
        <f>IFERROR(VLOOKUP("927-050000-100",B:AB,7+8,0),0)</f>
        <v>0</v>
      </c>
      <c r="Q71">
        <f>IFERROR(VLOOKUP("927-050000-100",B:AB,8+8,0),0)</f>
        <v>0</v>
      </c>
      <c r="R71">
        <f>IFERROR(VLOOKUP("927-050000-100",B:AB,9+8,0),0)</f>
        <v>0</v>
      </c>
      <c r="S71">
        <f>IFERROR(VLOOKUP("927-050000-100",B:AB,10+8,0),0)</f>
        <v>0</v>
      </c>
      <c r="T71">
        <f>IFERROR(VLOOKUP("927-050000-100",B:AB,11+8,0),0)</f>
        <v>0</v>
      </c>
      <c r="U71">
        <f>IFERROR(VLOOKUP("927-050000-100",B:AB,12+8,0),0)</f>
        <v>0</v>
      </c>
      <c r="V71">
        <f>IFERROR(VLOOKUP("927-050000-100",B:AB,13+8,0),0)</f>
        <v>0</v>
      </c>
      <c r="W71">
        <f>IFERROR(VLOOKUP("927-050000-100",B:AB,14+8,0),0)</f>
        <v>0</v>
      </c>
      <c r="X71">
        <f>IFERROR(VLOOKUP("927-050000-100",B:AB,15+8,0),0)</f>
        <v>0</v>
      </c>
      <c r="Y71">
        <f>IFERROR(VLOOKUP("927-050000-100",B:AB,16+8,0),0)</f>
        <v>0</v>
      </c>
      <c r="Z71">
        <f>IFERROR(VLOOKUP("927-050000-100",B:AB,17+8,0),0)</f>
        <v>0</v>
      </c>
      <c r="AA71">
        <f>IFERROR(VLOOKUP("927-050000-100",B:AB,18+8,0),0)</f>
        <v>0</v>
      </c>
      <c r="AB71">
        <f>IFERROR(VLOOKUP("927-050000-100",B:AB,19+8,0),0)</f>
        <v>0</v>
      </c>
      <c r="AC71">
        <f>IFERROR(VLOOKUP("927-050000-100",B:AB,20+8,0),0)</f>
        <v>0</v>
      </c>
      <c r="AD71">
        <f>IFERROR(VLOOKUP("927-050000-100",B:AB,21+8,0),0)</f>
        <v>0</v>
      </c>
      <c r="AE71">
        <f>IFERROR(VLOOKUP("927-050000-100",B:AB,22+8,0),0)</f>
        <v>0</v>
      </c>
      <c r="AF71">
        <f>IFERROR(VLOOKUP("927-050000-100",B:AB,23+8,0),0)</f>
        <v>0</v>
      </c>
      <c r="AG71">
        <f>IFERROR(VLOOKUP("927-050000-100",B:AB,24+8,0),0)</f>
        <v>0</v>
      </c>
      <c r="AH71">
        <f>IFERROR(VLOOKUP("927-050000-100",B:AB,25+8,0),0)</f>
        <v>0</v>
      </c>
      <c r="AI71">
        <f>IFERROR(VLOOKUP("927-050000-100",B:AB,26+8,0),0)</f>
        <v>0</v>
      </c>
      <c r="AJ71">
        <f>IFERROR(VLOOKUP("927-050000-100",B:AB,27+8,0),0)</f>
        <v>0</v>
      </c>
      <c r="AK71">
        <f>IFERROR(VLOOKUP("927-050000-100",B:AB,28+8,0),0)</f>
        <v>0</v>
      </c>
      <c r="AL71">
        <f>IFERROR(VLOOKUP("927-050000-100",B:AB,29+8,0),0)</f>
        <v>0</v>
      </c>
      <c r="AM71">
        <f>IFERROR(VLOOKUP("927-050000-100",B:AB,30+8,0),0)</f>
        <v>0</v>
      </c>
      <c r="AN71">
        <f>IFERROR(VLOOKUP("927-050000-100",B:AB,31+8,0),0)</f>
        <v>0</v>
      </c>
      <c r="AO71">
        <f>SUN(INDIRECT(ADDRESS(70,8)):INDIRECT(ADDRESS(70,39)))</f>
        <v>0</v>
      </c>
    </row>
    <row r="72" spans="1:41">
      <c r="H72" t="s">
        <v>179</v>
      </c>
      <c r="J72">
        <f>INDIRECT(ADDRESS(72,9))+INDIRECT(ADDRESS(70,10))-INDIRECT(ADDRESS(71,10))</f>
        <v>0</v>
      </c>
      <c r="K72">
        <f>INDIRECT(ADDRESS(72,10))+INDIRECT(ADDRESS(70,11))-INDIRECT(ADDRESS(71,11))</f>
        <v>0</v>
      </c>
      <c r="L72">
        <f>INDIRECT(ADDRESS(72,11))+INDIRECT(ADDRESS(70,12))-INDIRECT(ADDRESS(71,12))</f>
        <v>0</v>
      </c>
      <c r="M72">
        <f>INDIRECT(ADDRESS(72,12))+INDIRECT(ADDRESS(70,13))-INDIRECT(ADDRESS(71,13))</f>
        <v>0</v>
      </c>
      <c r="N72">
        <f>INDIRECT(ADDRESS(72,13))+INDIRECT(ADDRESS(70,14))-INDIRECT(ADDRESS(71,14))</f>
        <v>0</v>
      </c>
      <c r="O72">
        <f>INDIRECT(ADDRESS(72,14))+INDIRECT(ADDRESS(70,15))-INDIRECT(ADDRESS(71,15))</f>
        <v>0</v>
      </c>
      <c r="P72">
        <f>INDIRECT(ADDRESS(72,15))+INDIRECT(ADDRESS(70,16))-INDIRECT(ADDRESS(71,16))</f>
        <v>0</v>
      </c>
      <c r="Q72">
        <f>INDIRECT(ADDRESS(72,16))+INDIRECT(ADDRESS(70,17))-INDIRECT(ADDRESS(71,17))</f>
        <v>0</v>
      </c>
      <c r="R72">
        <f>INDIRECT(ADDRESS(72,17))+INDIRECT(ADDRESS(70,18))-INDIRECT(ADDRESS(71,18))</f>
        <v>0</v>
      </c>
      <c r="S72">
        <f>INDIRECT(ADDRESS(72,18))+INDIRECT(ADDRESS(70,19))-INDIRECT(ADDRESS(71,19))</f>
        <v>0</v>
      </c>
      <c r="T72">
        <f>INDIRECT(ADDRESS(72,19))+INDIRECT(ADDRESS(70,20))-INDIRECT(ADDRESS(71,20))</f>
        <v>0</v>
      </c>
      <c r="U72">
        <f>INDIRECT(ADDRESS(72,20))+INDIRECT(ADDRESS(70,21))-INDIRECT(ADDRESS(71,21))</f>
        <v>0</v>
      </c>
      <c r="V72">
        <f>INDIRECT(ADDRESS(72,21))+INDIRECT(ADDRESS(70,22))-INDIRECT(ADDRESS(71,22))</f>
        <v>0</v>
      </c>
      <c r="W72">
        <f>INDIRECT(ADDRESS(72,22))+INDIRECT(ADDRESS(70,23))-INDIRECT(ADDRESS(71,23))</f>
        <v>0</v>
      </c>
      <c r="X72">
        <f>INDIRECT(ADDRESS(72,23))+INDIRECT(ADDRESS(70,24))-INDIRECT(ADDRESS(71,24))</f>
        <v>0</v>
      </c>
      <c r="Y72">
        <f>INDIRECT(ADDRESS(72,24))+INDIRECT(ADDRESS(70,25))-INDIRECT(ADDRESS(71,25))</f>
        <v>0</v>
      </c>
      <c r="Z72">
        <f>INDIRECT(ADDRESS(72,25))+INDIRECT(ADDRESS(70,26))-INDIRECT(ADDRESS(71,26))</f>
        <v>0</v>
      </c>
      <c r="AA72">
        <f>INDIRECT(ADDRESS(72,26))+INDIRECT(ADDRESS(70,27))-INDIRECT(ADDRESS(71,27))</f>
        <v>0</v>
      </c>
      <c r="AB72">
        <f>INDIRECT(ADDRESS(72,27))+INDIRECT(ADDRESS(70,28))-INDIRECT(ADDRESS(71,28))</f>
        <v>0</v>
      </c>
      <c r="AC72">
        <f>INDIRECT(ADDRESS(72,28))+INDIRECT(ADDRESS(70,29))-INDIRECT(ADDRESS(71,29))</f>
        <v>0</v>
      </c>
      <c r="AD72">
        <f>INDIRECT(ADDRESS(72,29))+INDIRECT(ADDRESS(70,30))-INDIRECT(ADDRESS(71,30))</f>
        <v>0</v>
      </c>
      <c r="AE72">
        <f>INDIRECT(ADDRESS(72,30))+INDIRECT(ADDRESS(70,31))-INDIRECT(ADDRESS(71,31))</f>
        <v>0</v>
      </c>
      <c r="AF72">
        <f>INDIRECT(ADDRESS(72,31))+INDIRECT(ADDRESS(70,32))-INDIRECT(ADDRESS(71,32))</f>
        <v>0</v>
      </c>
      <c r="AG72">
        <f>INDIRECT(ADDRESS(72,32))+INDIRECT(ADDRESS(70,33))-INDIRECT(ADDRESS(71,33))</f>
        <v>0</v>
      </c>
      <c r="AH72">
        <f>INDIRECT(ADDRESS(72,33))+INDIRECT(ADDRESS(70,34))-INDIRECT(ADDRESS(71,34))</f>
        <v>0</v>
      </c>
      <c r="AI72">
        <f>INDIRECT(ADDRESS(72,34))+INDIRECT(ADDRESS(70,35))-INDIRECT(ADDRESS(71,35))</f>
        <v>0</v>
      </c>
      <c r="AJ72">
        <f>INDIRECT(ADDRESS(72,35))+INDIRECT(ADDRESS(70,36))-INDIRECT(ADDRESS(71,36))</f>
        <v>0</v>
      </c>
      <c r="AK72">
        <f>INDIRECT(ADDRESS(72,36))+INDIRECT(ADDRESS(70,37))-INDIRECT(ADDRESS(71,37))</f>
        <v>0</v>
      </c>
      <c r="AL72">
        <f>INDIRECT(ADDRESS(72,37))+INDIRECT(ADDRESS(70,38))-INDIRECT(ADDRESS(71,38))</f>
        <v>0</v>
      </c>
      <c r="AM72">
        <f>INDIRECT(ADDRESS(72,38))+INDIRECT(ADDRESS(70,39))-INDIRECT(ADDRESS(71,39))</f>
        <v>0</v>
      </c>
      <c r="AN72">
        <f>INDIRECT(ADDRESS(72,39))+INDIRECT(ADDRESS(70,40))-INDIRECT(ADDRESS(71,40))</f>
        <v>0</v>
      </c>
      <c r="AO72">
        <f>SUM(INDIRECT(ADDRESS(71,8)):INDIRECT(ADDRESS(71,39)))</f>
        <v>0</v>
      </c>
    </row>
    <row r="73" spans="1:41">
      <c r="A73" t="s">
        <v>185</v>
      </c>
      <c r="B73" t="s">
        <v>198</v>
      </c>
      <c r="C73" t="s">
        <v>199</v>
      </c>
      <c r="E73">
        <v>2</v>
      </c>
      <c r="F73" t="s">
        <v>11</v>
      </c>
      <c r="I73" t="s">
        <v>177</v>
      </c>
    </row>
    <row r="74" spans="1:41">
      <c r="I74" t="s">
        <v>178</v>
      </c>
      <c r="J74">
        <f>IFERROR(VLOOKUP("927-050000-100",B:AB,1+8,0),0)</f>
        <v>0</v>
      </c>
      <c r="K74">
        <f>IFERROR(VLOOKUP("927-050000-100",B:AB,2+8,0),0)</f>
        <v>0</v>
      </c>
      <c r="L74">
        <f>IFERROR(VLOOKUP("927-050000-100",B:AB,3+8,0),0)</f>
        <v>0</v>
      </c>
      <c r="M74">
        <f>IFERROR(VLOOKUP("927-050000-100",B:AB,4+8,0),0)</f>
        <v>0</v>
      </c>
      <c r="N74">
        <f>IFERROR(VLOOKUP("927-050000-100",B:AB,5+8,0),0)</f>
        <v>0</v>
      </c>
      <c r="O74">
        <f>IFERROR(VLOOKUP("927-050000-100",B:AB,6+8,0),0)</f>
        <v>0</v>
      </c>
      <c r="P74">
        <f>IFERROR(VLOOKUP("927-050000-100",B:AB,7+8,0),0)</f>
        <v>0</v>
      </c>
      <c r="Q74">
        <f>IFERROR(VLOOKUP("927-050000-100",B:AB,8+8,0),0)</f>
        <v>0</v>
      </c>
      <c r="R74">
        <f>IFERROR(VLOOKUP("927-050000-100",B:AB,9+8,0),0)</f>
        <v>0</v>
      </c>
      <c r="S74">
        <f>IFERROR(VLOOKUP("927-050000-100",B:AB,10+8,0),0)</f>
        <v>0</v>
      </c>
      <c r="T74">
        <f>IFERROR(VLOOKUP("927-050000-100",B:AB,11+8,0),0)</f>
        <v>0</v>
      </c>
      <c r="U74">
        <f>IFERROR(VLOOKUP("927-050000-100",B:AB,12+8,0),0)</f>
        <v>0</v>
      </c>
      <c r="V74">
        <f>IFERROR(VLOOKUP("927-050000-100",B:AB,13+8,0),0)</f>
        <v>0</v>
      </c>
      <c r="W74">
        <f>IFERROR(VLOOKUP("927-050000-100",B:AB,14+8,0),0)</f>
        <v>0</v>
      </c>
      <c r="X74">
        <f>IFERROR(VLOOKUP("927-050000-100",B:AB,15+8,0),0)</f>
        <v>0</v>
      </c>
      <c r="Y74">
        <f>IFERROR(VLOOKUP("927-050000-100",B:AB,16+8,0),0)</f>
        <v>0</v>
      </c>
      <c r="Z74">
        <f>IFERROR(VLOOKUP("927-050000-100",B:AB,17+8,0),0)</f>
        <v>0</v>
      </c>
      <c r="AA74">
        <f>IFERROR(VLOOKUP("927-050000-100",B:AB,18+8,0),0)</f>
        <v>0</v>
      </c>
      <c r="AB74">
        <f>IFERROR(VLOOKUP("927-050000-100",B:AB,19+8,0),0)</f>
        <v>0</v>
      </c>
      <c r="AC74">
        <f>IFERROR(VLOOKUP("927-050000-100",B:AB,20+8,0),0)</f>
        <v>0</v>
      </c>
      <c r="AD74">
        <f>IFERROR(VLOOKUP("927-050000-100",B:AB,21+8,0),0)</f>
        <v>0</v>
      </c>
      <c r="AE74">
        <f>IFERROR(VLOOKUP("927-050000-100",B:AB,22+8,0),0)</f>
        <v>0</v>
      </c>
      <c r="AF74">
        <f>IFERROR(VLOOKUP("927-050000-100",B:AB,23+8,0),0)</f>
        <v>0</v>
      </c>
      <c r="AG74">
        <f>IFERROR(VLOOKUP("927-050000-100",B:AB,24+8,0),0)</f>
        <v>0</v>
      </c>
      <c r="AH74">
        <f>IFERROR(VLOOKUP("927-050000-100",B:AB,25+8,0),0)</f>
        <v>0</v>
      </c>
      <c r="AI74">
        <f>IFERROR(VLOOKUP("927-050000-100",B:AB,26+8,0),0)</f>
        <v>0</v>
      </c>
      <c r="AJ74">
        <f>IFERROR(VLOOKUP("927-050000-100",B:AB,27+8,0),0)</f>
        <v>0</v>
      </c>
      <c r="AK74">
        <f>IFERROR(VLOOKUP("927-050000-100",B:AB,28+8,0),0)</f>
        <v>0</v>
      </c>
      <c r="AL74">
        <f>IFERROR(VLOOKUP("927-050000-100",B:AB,29+8,0),0)</f>
        <v>0</v>
      </c>
      <c r="AM74">
        <f>IFERROR(VLOOKUP("927-050000-100",B:AB,30+8,0),0)</f>
        <v>0</v>
      </c>
      <c r="AN74">
        <f>IFERROR(VLOOKUP("927-050000-100",B:AB,31+8,0),0)</f>
        <v>0</v>
      </c>
      <c r="AO74">
        <f>SUN(INDIRECT(ADDRESS(73,8)):INDIRECT(ADDRESS(73,39)))</f>
        <v>0</v>
      </c>
    </row>
    <row r="75" spans="1:41">
      <c r="H75" t="s">
        <v>179</v>
      </c>
      <c r="J75">
        <f>INDIRECT(ADDRESS(75,9))+INDIRECT(ADDRESS(73,10))-INDIRECT(ADDRESS(74,10))</f>
        <v>0</v>
      </c>
      <c r="K75">
        <f>INDIRECT(ADDRESS(75,10))+INDIRECT(ADDRESS(73,11))-INDIRECT(ADDRESS(74,11))</f>
        <v>0</v>
      </c>
      <c r="L75">
        <f>INDIRECT(ADDRESS(75,11))+INDIRECT(ADDRESS(73,12))-INDIRECT(ADDRESS(74,12))</f>
        <v>0</v>
      </c>
      <c r="M75">
        <f>INDIRECT(ADDRESS(75,12))+INDIRECT(ADDRESS(73,13))-INDIRECT(ADDRESS(74,13))</f>
        <v>0</v>
      </c>
      <c r="N75">
        <f>INDIRECT(ADDRESS(75,13))+INDIRECT(ADDRESS(73,14))-INDIRECT(ADDRESS(74,14))</f>
        <v>0</v>
      </c>
      <c r="O75">
        <f>INDIRECT(ADDRESS(75,14))+INDIRECT(ADDRESS(73,15))-INDIRECT(ADDRESS(74,15))</f>
        <v>0</v>
      </c>
      <c r="P75">
        <f>INDIRECT(ADDRESS(75,15))+INDIRECT(ADDRESS(73,16))-INDIRECT(ADDRESS(74,16))</f>
        <v>0</v>
      </c>
      <c r="Q75">
        <f>INDIRECT(ADDRESS(75,16))+INDIRECT(ADDRESS(73,17))-INDIRECT(ADDRESS(74,17))</f>
        <v>0</v>
      </c>
      <c r="R75">
        <f>INDIRECT(ADDRESS(75,17))+INDIRECT(ADDRESS(73,18))-INDIRECT(ADDRESS(74,18))</f>
        <v>0</v>
      </c>
      <c r="S75">
        <f>INDIRECT(ADDRESS(75,18))+INDIRECT(ADDRESS(73,19))-INDIRECT(ADDRESS(74,19))</f>
        <v>0</v>
      </c>
      <c r="T75">
        <f>INDIRECT(ADDRESS(75,19))+INDIRECT(ADDRESS(73,20))-INDIRECT(ADDRESS(74,20))</f>
        <v>0</v>
      </c>
      <c r="U75">
        <f>INDIRECT(ADDRESS(75,20))+INDIRECT(ADDRESS(73,21))-INDIRECT(ADDRESS(74,21))</f>
        <v>0</v>
      </c>
      <c r="V75">
        <f>INDIRECT(ADDRESS(75,21))+INDIRECT(ADDRESS(73,22))-INDIRECT(ADDRESS(74,22))</f>
        <v>0</v>
      </c>
      <c r="W75">
        <f>INDIRECT(ADDRESS(75,22))+INDIRECT(ADDRESS(73,23))-INDIRECT(ADDRESS(74,23))</f>
        <v>0</v>
      </c>
      <c r="X75">
        <f>INDIRECT(ADDRESS(75,23))+INDIRECT(ADDRESS(73,24))-INDIRECT(ADDRESS(74,24))</f>
        <v>0</v>
      </c>
      <c r="Y75">
        <f>INDIRECT(ADDRESS(75,24))+INDIRECT(ADDRESS(73,25))-INDIRECT(ADDRESS(74,25))</f>
        <v>0</v>
      </c>
      <c r="Z75">
        <f>INDIRECT(ADDRESS(75,25))+INDIRECT(ADDRESS(73,26))-INDIRECT(ADDRESS(74,26))</f>
        <v>0</v>
      </c>
      <c r="AA75">
        <f>INDIRECT(ADDRESS(75,26))+INDIRECT(ADDRESS(73,27))-INDIRECT(ADDRESS(74,27))</f>
        <v>0</v>
      </c>
      <c r="AB75">
        <f>INDIRECT(ADDRESS(75,27))+INDIRECT(ADDRESS(73,28))-INDIRECT(ADDRESS(74,28))</f>
        <v>0</v>
      </c>
      <c r="AC75">
        <f>INDIRECT(ADDRESS(75,28))+INDIRECT(ADDRESS(73,29))-INDIRECT(ADDRESS(74,29))</f>
        <v>0</v>
      </c>
      <c r="AD75">
        <f>INDIRECT(ADDRESS(75,29))+INDIRECT(ADDRESS(73,30))-INDIRECT(ADDRESS(74,30))</f>
        <v>0</v>
      </c>
      <c r="AE75">
        <f>INDIRECT(ADDRESS(75,30))+INDIRECT(ADDRESS(73,31))-INDIRECT(ADDRESS(74,31))</f>
        <v>0</v>
      </c>
      <c r="AF75">
        <f>INDIRECT(ADDRESS(75,31))+INDIRECT(ADDRESS(73,32))-INDIRECT(ADDRESS(74,32))</f>
        <v>0</v>
      </c>
      <c r="AG75">
        <f>INDIRECT(ADDRESS(75,32))+INDIRECT(ADDRESS(73,33))-INDIRECT(ADDRESS(74,33))</f>
        <v>0</v>
      </c>
      <c r="AH75">
        <f>INDIRECT(ADDRESS(75,33))+INDIRECT(ADDRESS(73,34))-INDIRECT(ADDRESS(74,34))</f>
        <v>0</v>
      </c>
      <c r="AI75">
        <f>INDIRECT(ADDRESS(75,34))+INDIRECT(ADDRESS(73,35))-INDIRECT(ADDRESS(74,35))</f>
        <v>0</v>
      </c>
      <c r="AJ75">
        <f>INDIRECT(ADDRESS(75,35))+INDIRECT(ADDRESS(73,36))-INDIRECT(ADDRESS(74,36))</f>
        <v>0</v>
      </c>
      <c r="AK75">
        <f>INDIRECT(ADDRESS(75,36))+INDIRECT(ADDRESS(73,37))-INDIRECT(ADDRESS(74,37))</f>
        <v>0</v>
      </c>
      <c r="AL75">
        <f>INDIRECT(ADDRESS(75,37))+INDIRECT(ADDRESS(73,38))-INDIRECT(ADDRESS(74,38))</f>
        <v>0</v>
      </c>
      <c r="AM75">
        <f>INDIRECT(ADDRESS(75,38))+INDIRECT(ADDRESS(73,39))-INDIRECT(ADDRESS(74,39))</f>
        <v>0</v>
      </c>
      <c r="AN75">
        <f>INDIRECT(ADDRESS(75,39))+INDIRECT(ADDRESS(73,40))-INDIRECT(ADDRESS(74,40))</f>
        <v>0</v>
      </c>
      <c r="AO75">
        <f>SUM(INDIRECT(ADDRESS(74,8)):INDIRECT(ADDRESS(74,39)))</f>
        <v>0</v>
      </c>
    </row>
    <row r="76" spans="1:41">
      <c r="A76" t="s">
        <v>185</v>
      </c>
      <c r="B76" t="s">
        <v>200</v>
      </c>
      <c r="C76" t="s">
        <v>201</v>
      </c>
      <c r="E76">
        <v>1</v>
      </c>
      <c r="F76" t="s">
        <v>11</v>
      </c>
      <c r="I76" t="s">
        <v>177</v>
      </c>
    </row>
    <row r="77" spans="1:41">
      <c r="I77" t="s">
        <v>178</v>
      </c>
      <c r="J77">
        <f>IFERROR(VLOOKUP("927-050000-100",B:AB,1+8,0),0)</f>
        <v>0</v>
      </c>
      <c r="K77">
        <f>IFERROR(VLOOKUP("927-050000-100",B:AB,2+8,0),0)</f>
        <v>0</v>
      </c>
      <c r="L77">
        <f>IFERROR(VLOOKUP("927-050000-100",B:AB,3+8,0),0)</f>
        <v>0</v>
      </c>
      <c r="M77">
        <f>IFERROR(VLOOKUP("927-050000-100",B:AB,4+8,0),0)</f>
        <v>0</v>
      </c>
      <c r="N77">
        <f>IFERROR(VLOOKUP("927-050000-100",B:AB,5+8,0),0)</f>
        <v>0</v>
      </c>
      <c r="O77">
        <f>IFERROR(VLOOKUP("927-050000-100",B:AB,6+8,0),0)</f>
        <v>0</v>
      </c>
      <c r="P77">
        <f>IFERROR(VLOOKUP("927-050000-100",B:AB,7+8,0),0)</f>
        <v>0</v>
      </c>
      <c r="Q77">
        <f>IFERROR(VLOOKUP("927-050000-100",B:AB,8+8,0),0)</f>
        <v>0</v>
      </c>
      <c r="R77">
        <f>IFERROR(VLOOKUP("927-050000-100",B:AB,9+8,0),0)</f>
        <v>0</v>
      </c>
      <c r="S77">
        <f>IFERROR(VLOOKUP("927-050000-100",B:AB,10+8,0),0)</f>
        <v>0</v>
      </c>
      <c r="T77">
        <f>IFERROR(VLOOKUP("927-050000-100",B:AB,11+8,0),0)</f>
        <v>0</v>
      </c>
      <c r="U77">
        <f>IFERROR(VLOOKUP("927-050000-100",B:AB,12+8,0),0)</f>
        <v>0</v>
      </c>
      <c r="V77">
        <f>IFERROR(VLOOKUP("927-050000-100",B:AB,13+8,0),0)</f>
        <v>0</v>
      </c>
      <c r="W77">
        <f>IFERROR(VLOOKUP("927-050000-100",B:AB,14+8,0),0)</f>
        <v>0</v>
      </c>
      <c r="X77">
        <f>IFERROR(VLOOKUP("927-050000-100",B:AB,15+8,0),0)</f>
        <v>0</v>
      </c>
      <c r="Y77">
        <f>IFERROR(VLOOKUP("927-050000-100",B:AB,16+8,0),0)</f>
        <v>0</v>
      </c>
      <c r="Z77">
        <f>IFERROR(VLOOKUP("927-050000-100",B:AB,17+8,0),0)</f>
        <v>0</v>
      </c>
      <c r="AA77">
        <f>IFERROR(VLOOKUP("927-050000-100",B:AB,18+8,0),0)</f>
        <v>0</v>
      </c>
      <c r="AB77">
        <f>IFERROR(VLOOKUP("927-050000-100",B:AB,19+8,0),0)</f>
        <v>0</v>
      </c>
      <c r="AC77">
        <f>IFERROR(VLOOKUP("927-050000-100",B:AB,20+8,0),0)</f>
        <v>0</v>
      </c>
      <c r="AD77">
        <f>IFERROR(VLOOKUP("927-050000-100",B:AB,21+8,0),0)</f>
        <v>0</v>
      </c>
      <c r="AE77">
        <f>IFERROR(VLOOKUP("927-050000-100",B:AB,22+8,0),0)</f>
        <v>0</v>
      </c>
      <c r="AF77">
        <f>IFERROR(VLOOKUP("927-050000-100",B:AB,23+8,0),0)</f>
        <v>0</v>
      </c>
      <c r="AG77">
        <f>IFERROR(VLOOKUP("927-050000-100",B:AB,24+8,0),0)</f>
        <v>0</v>
      </c>
      <c r="AH77">
        <f>IFERROR(VLOOKUP("927-050000-100",B:AB,25+8,0),0)</f>
        <v>0</v>
      </c>
      <c r="AI77">
        <f>IFERROR(VLOOKUP("927-050000-100",B:AB,26+8,0),0)</f>
        <v>0</v>
      </c>
      <c r="AJ77">
        <f>IFERROR(VLOOKUP("927-050000-100",B:AB,27+8,0),0)</f>
        <v>0</v>
      </c>
      <c r="AK77">
        <f>IFERROR(VLOOKUP("927-050000-100",B:AB,28+8,0),0)</f>
        <v>0</v>
      </c>
      <c r="AL77">
        <f>IFERROR(VLOOKUP("927-050000-100",B:AB,29+8,0),0)</f>
        <v>0</v>
      </c>
      <c r="AM77">
        <f>IFERROR(VLOOKUP("927-050000-100",B:AB,30+8,0),0)</f>
        <v>0</v>
      </c>
      <c r="AN77">
        <f>IFERROR(VLOOKUP("927-050000-100",B:AB,31+8,0),0)</f>
        <v>0</v>
      </c>
      <c r="AO77">
        <f>SUN(INDIRECT(ADDRESS(76,8)):INDIRECT(ADDRESS(76,39)))</f>
        <v>0</v>
      </c>
    </row>
    <row r="78" spans="1:41">
      <c r="H78" t="s">
        <v>179</v>
      </c>
      <c r="J78">
        <f>INDIRECT(ADDRESS(78,9))+INDIRECT(ADDRESS(76,10))-INDIRECT(ADDRESS(77,10))</f>
        <v>0</v>
      </c>
      <c r="K78">
        <f>INDIRECT(ADDRESS(78,10))+INDIRECT(ADDRESS(76,11))-INDIRECT(ADDRESS(77,11))</f>
        <v>0</v>
      </c>
      <c r="L78">
        <f>INDIRECT(ADDRESS(78,11))+INDIRECT(ADDRESS(76,12))-INDIRECT(ADDRESS(77,12))</f>
        <v>0</v>
      </c>
      <c r="M78">
        <f>INDIRECT(ADDRESS(78,12))+INDIRECT(ADDRESS(76,13))-INDIRECT(ADDRESS(77,13))</f>
        <v>0</v>
      </c>
      <c r="N78">
        <f>INDIRECT(ADDRESS(78,13))+INDIRECT(ADDRESS(76,14))-INDIRECT(ADDRESS(77,14))</f>
        <v>0</v>
      </c>
      <c r="O78">
        <f>INDIRECT(ADDRESS(78,14))+INDIRECT(ADDRESS(76,15))-INDIRECT(ADDRESS(77,15))</f>
        <v>0</v>
      </c>
      <c r="P78">
        <f>INDIRECT(ADDRESS(78,15))+INDIRECT(ADDRESS(76,16))-INDIRECT(ADDRESS(77,16))</f>
        <v>0</v>
      </c>
      <c r="Q78">
        <f>INDIRECT(ADDRESS(78,16))+INDIRECT(ADDRESS(76,17))-INDIRECT(ADDRESS(77,17))</f>
        <v>0</v>
      </c>
      <c r="R78">
        <f>INDIRECT(ADDRESS(78,17))+INDIRECT(ADDRESS(76,18))-INDIRECT(ADDRESS(77,18))</f>
        <v>0</v>
      </c>
      <c r="S78">
        <f>INDIRECT(ADDRESS(78,18))+INDIRECT(ADDRESS(76,19))-INDIRECT(ADDRESS(77,19))</f>
        <v>0</v>
      </c>
      <c r="T78">
        <f>INDIRECT(ADDRESS(78,19))+INDIRECT(ADDRESS(76,20))-INDIRECT(ADDRESS(77,20))</f>
        <v>0</v>
      </c>
      <c r="U78">
        <f>INDIRECT(ADDRESS(78,20))+INDIRECT(ADDRESS(76,21))-INDIRECT(ADDRESS(77,21))</f>
        <v>0</v>
      </c>
      <c r="V78">
        <f>INDIRECT(ADDRESS(78,21))+INDIRECT(ADDRESS(76,22))-INDIRECT(ADDRESS(77,22))</f>
        <v>0</v>
      </c>
      <c r="W78">
        <f>INDIRECT(ADDRESS(78,22))+INDIRECT(ADDRESS(76,23))-INDIRECT(ADDRESS(77,23))</f>
        <v>0</v>
      </c>
      <c r="X78">
        <f>INDIRECT(ADDRESS(78,23))+INDIRECT(ADDRESS(76,24))-INDIRECT(ADDRESS(77,24))</f>
        <v>0</v>
      </c>
      <c r="Y78">
        <f>INDIRECT(ADDRESS(78,24))+INDIRECT(ADDRESS(76,25))-INDIRECT(ADDRESS(77,25))</f>
        <v>0</v>
      </c>
      <c r="Z78">
        <f>INDIRECT(ADDRESS(78,25))+INDIRECT(ADDRESS(76,26))-INDIRECT(ADDRESS(77,26))</f>
        <v>0</v>
      </c>
      <c r="AA78">
        <f>INDIRECT(ADDRESS(78,26))+INDIRECT(ADDRESS(76,27))-INDIRECT(ADDRESS(77,27))</f>
        <v>0</v>
      </c>
      <c r="AB78">
        <f>INDIRECT(ADDRESS(78,27))+INDIRECT(ADDRESS(76,28))-INDIRECT(ADDRESS(77,28))</f>
        <v>0</v>
      </c>
      <c r="AC78">
        <f>INDIRECT(ADDRESS(78,28))+INDIRECT(ADDRESS(76,29))-INDIRECT(ADDRESS(77,29))</f>
        <v>0</v>
      </c>
      <c r="AD78">
        <f>INDIRECT(ADDRESS(78,29))+INDIRECT(ADDRESS(76,30))-INDIRECT(ADDRESS(77,30))</f>
        <v>0</v>
      </c>
      <c r="AE78">
        <f>INDIRECT(ADDRESS(78,30))+INDIRECT(ADDRESS(76,31))-INDIRECT(ADDRESS(77,31))</f>
        <v>0</v>
      </c>
      <c r="AF78">
        <f>INDIRECT(ADDRESS(78,31))+INDIRECT(ADDRESS(76,32))-INDIRECT(ADDRESS(77,32))</f>
        <v>0</v>
      </c>
      <c r="AG78">
        <f>INDIRECT(ADDRESS(78,32))+INDIRECT(ADDRESS(76,33))-INDIRECT(ADDRESS(77,33))</f>
        <v>0</v>
      </c>
      <c r="AH78">
        <f>INDIRECT(ADDRESS(78,33))+INDIRECT(ADDRESS(76,34))-INDIRECT(ADDRESS(77,34))</f>
        <v>0</v>
      </c>
      <c r="AI78">
        <f>INDIRECT(ADDRESS(78,34))+INDIRECT(ADDRESS(76,35))-INDIRECT(ADDRESS(77,35))</f>
        <v>0</v>
      </c>
      <c r="AJ78">
        <f>INDIRECT(ADDRESS(78,35))+INDIRECT(ADDRESS(76,36))-INDIRECT(ADDRESS(77,36))</f>
        <v>0</v>
      </c>
      <c r="AK78">
        <f>INDIRECT(ADDRESS(78,36))+INDIRECT(ADDRESS(76,37))-INDIRECT(ADDRESS(77,37))</f>
        <v>0</v>
      </c>
      <c r="AL78">
        <f>INDIRECT(ADDRESS(78,37))+INDIRECT(ADDRESS(76,38))-INDIRECT(ADDRESS(77,38))</f>
        <v>0</v>
      </c>
      <c r="AM78">
        <f>INDIRECT(ADDRESS(78,38))+INDIRECT(ADDRESS(76,39))-INDIRECT(ADDRESS(77,39))</f>
        <v>0</v>
      </c>
      <c r="AN78">
        <f>INDIRECT(ADDRESS(78,39))+INDIRECT(ADDRESS(76,40))-INDIRECT(ADDRESS(77,40))</f>
        <v>0</v>
      </c>
      <c r="AO78">
        <f>SUM(INDIRECT(ADDRESS(77,8)):INDIRECT(ADDRESS(77,39)))</f>
        <v>0</v>
      </c>
    </row>
    <row r="79" spans="1:41">
      <c r="A79" t="s">
        <v>185</v>
      </c>
      <c r="B79" t="s">
        <v>202</v>
      </c>
      <c r="C79" t="s">
        <v>203</v>
      </c>
      <c r="E79">
        <v>1</v>
      </c>
      <c r="F79" t="s">
        <v>11</v>
      </c>
      <c r="I79" t="s">
        <v>177</v>
      </c>
    </row>
    <row r="80" spans="1:41">
      <c r="I80" t="s">
        <v>178</v>
      </c>
      <c r="J80">
        <f>IFERROR(VLOOKUP("927-050000-100",B:AB,1+8,0),0)</f>
        <v>0</v>
      </c>
      <c r="K80">
        <f>IFERROR(VLOOKUP("927-050000-100",B:AB,2+8,0),0)</f>
        <v>0</v>
      </c>
      <c r="L80">
        <f>IFERROR(VLOOKUP("927-050000-100",B:AB,3+8,0),0)</f>
        <v>0</v>
      </c>
      <c r="M80">
        <f>IFERROR(VLOOKUP("927-050000-100",B:AB,4+8,0),0)</f>
        <v>0</v>
      </c>
      <c r="N80">
        <f>IFERROR(VLOOKUP("927-050000-100",B:AB,5+8,0),0)</f>
        <v>0</v>
      </c>
      <c r="O80">
        <f>IFERROR(VLOOKUP("927-050000-100",B:AB,6+8,0),0)</f>
        <v>0</v>
      </c>
      <c r="P80">
        <f>IFERROR(VLOOKUP("927-050000-100",B:AB,7+8,0),0)</f>
        <v>0</v>
      </c>
      <c r="Q80">
        <f>IFERROR(VLOOKUP("927-050000-100",B:AB,8+8,0),0)</f>
        <v>0</v>
      </c>
      <c r="R80">
        <f>IFERROR(VLOOKUP("927-050000-100",B:AB,9+8,0),0)</f>
        <v>0</v>
      </c>
      <c r="S80">
        <f>IFERROR(VLOOKUP("927-050000-100",B:AB,10+8,0),0)</f>
        <v>0</v>
      </c>
      <c r="T80">
        <f>IFERROR(VLOOKUP("927-050000-100",B:AB,11+8,0),0)</f>
        <v>0</v>
      </c>
      <c r="U80">
        <f>IFERROR(VLOOKUP("927-050000-100",B:AB,12+8,0),0)</f>
        <v>0</v>
      </c>
      <c r="V80">
        <f>IFERROR(VLOOKUP("927-050000-100",B:AB,13+8,0),0)</f>
        <v>0</v>
      </c>
      <c r="W80">
        <f>IFERROR(VLOOKUP("927-050000-100",B:AB,14+8,0),0)</f>
        <v>0</v>
      </c>
      <c r="X80">
        <f>IFERROR(VLOOKUP("927-050000-100",B:AB,15+8,0),0)</f>
        <v>0</v>
      </c>
      <c r="Y80">
        <f>IFERROR(VLOOKUP("927-050000-100",B:AB,16+8,0),0)</f>
        <v>0</v>
      </c>
      <c r="Z80">
        <f>IFERROR(VLOOKUP("927-050000-100",B:AB,17+8,0),0)</f>
        <v>0</v>
      </c>
      <c r="AA80">
        <f>IFERROR(VLOOKUP("927-050000-100",B:AB,18+8,0),0)</f>
        <v>0</v>
      </c>
      <c r="AB80">
        <f>IFERROR(VLOOKUP("927-050000-100",B:AB,19+8,0),0)</f>
        <v>0</v>
      </c>
      <c r="AC80">
        <f>IFERROR(VLOOKUP("927-050000-100",B:AB,20+8,0),0)</f>
        <v>0</v>
      </c>
      <c r="AD80">
        <f>IFERROR(VLOOKUP("927-050000-100",B:AB,21+8,0),0)</f>
        <v>0</v>
      </c>
      <c r="AE80">
        <f>IFERROR(VLOOKUP("927-050000-100",B:AB,22+8,0),0)</f>
        <v>0</v>
      </c>
      <c r="AF80">
        <f>IFERROR(VLOOKUP("927-050000-100",B:AB,23+8,0),0)</f>
        <v>0</v>
      </c>
      <c r="AG80">
        <f>IFERROR(VLOOKUP("927-050000-100",B:AB,24+8,0),0)</f>
        <v>0</v>
      </c>
      <c r="AH80">
        <f>IFERROR(VLOOKUP("927-050000-100",B:AB,25+8,0),0)</f>
        <v>0</v>
      </c>
      <c r="AI80">
        <f>IFERROR(VLOOKUP("927-050000-100",B:AB,26+8,0),0)</f>
        <v>0</v>
      </c>
      <c r="AJ80">
        <f>IFERROR(VLOOKUP("927-050000-100",B:AB,27+8,0),0)</f>
        <v>0</v>
      </c>
      <c r="AK80">
        <f>IFERROR(VLOOKUP("927-050000-100",B:AB,28+8,0),0)</f>
        <v>0</v>
      </c>
      <c r="AL80">
        <f>IFERROR(VLOOKUP("927-050000-100",B:AB,29+8,0),0)</f>
        <v>0</v>
      </c>
      <c r="AM80">
        <f>IFERROR(VLOOKUP("927-050000-100",B:AB,30+8,0),0)</f>
        <v>0</v>
      </c>
      <c r="AN80">
        <f>IFERROR(VLOOKUP("927-050000-100",B:AB,31+8,0),0)</f>
        <v>0</v>
      </c>
      <c r="AO80">
        <f>SUN(INDIRECT(ADDRESS(79,8)):INDIRECT(ADDRESS(79,39)))</f>
        <v>0</v>
      </c>
    </row>
    <row r="81" spans="1:41">
      <c r="H81" t="s">
        <v>179</v>
      </c>
      <c r="J81">
        <f>INDIRECT(ADDRESS(81,9))+INDIRECT(ADDRESS(79,10))-INDIRECT(ADDRESS(80,10))</f>
        <v>0</v>
      </c>
      <c r="K81">
        <f>INDIRECT(ADDRESS(81,10))+INDIRECT(ADDRESS(79,11))-INDIRECT(ADDRESS(80,11))</f>
        <v>0</v>
      </c>
      <c r="L81">
        <f>INDIRECT(ADDRESS(81,11))+INDIRECT(ADDRESS(79,12))-INDIRECT(ADDRESS(80,12))</f>
        <v>0</v>
      </c>
      <c r="M81">
        <f>INDIRECT(ADDRESS(81,12))+INDIRECT(ADDRESS(79,13))-INDIRECT(ADDRESS(80,13))</f>
        <v>0</v>
      </c>
      <c r="N81">
        <f>INDIRECT(ADDRESS(81,13))+INDIRECT(ADDRESS(79,14))-INDIRECT(ADDRESS(80,14))</f>
        <v>0</v>
      </c>
      <c r="O81">
        <f>INDIRECT(ADDRESS(81,14))+INDIRECT(ADDRESS(79,15))-INDIRECT(ADDRESS(80,15))</f>
        <v>0</v>
      </c>
      <c r="P81">
        <f>INDIRECT(ADDRESS(81,15))+INDIRECT(ADDRESS(79,16))-INDIRECT(ADDRESS(80,16))</f>
        <v>0</v>
      </c>
      <c r="Q81">
        <f>INDIRECT(ADDRESS(81,16))+INDIRECT(ADDRESS(79,17))-INDIRECT(ADDRESS(80,17))</f>
        <v>0</v>
      </c>
      <c r="R81">
        <f>INDIRECT(ADDRESS(81,17))+INDIRECT(ADDRESS(79,18))-INDIRECT(ADDRESS(80,18))</f>
        <v>0</v>
      </c>
      <c r="S81">
        <f>INDIRECT(ADDRESS(81,18))+INDIRECT(ADDRESS(79,19))-INDIRECT(ADDRESS(80,19))</f>
        <v>0</v>
      </c>
      <c r="T81">
        <f>INDIRECT(ADDRESS(81,19))+INDIRECT(ADDRESS(79,20))-INDIRECT(ADDRESS(80,20))</f>
        <v>0</v>
      </c>
      <c r="U81">
        <f>INDIRECT(ADDRESS(81,20))+INDIRECT(ADDRESS(79,21))-INDIRECT(ADDRESS(80,21))</f>
        <v>0</v>
      </c>
      <c r="V81">
        <f>INDIRECT(ADDRESS(81,21))+INDIRECT(ADDRESS(79,22))-INDIRECT(ADDRESS(80,22))</f>
        <v>0</v>
      </c>
      <c r="W81">
        <f>INDIRECT(ADDRESS(81,22))+INDIRECT(ADDRESS(79,23))-INDIRECT(ADDRESS(80,23))</f>
        <v>0</v>
      </c>
      <c r="X81">
        <f>INDIRECT(ADDRESS(81,23))+INDIRECT(ADDRESS(79,24))-INDIRECT(ADDRESS(80,24))</f>
        <v>0</v>
      </c>
      <c r="Y81">
        <f>INDIRECT(ADDRESS(81,24))+INDIRECT(ADDRESS(79,25))-INDIRECT(ADDRESS(80,25))</f>
        <v>0</v>
      </c>
      <c r="Z81">
        <f>INDIRECT(ADDRESS(81,25))+INDIRECT(ADDRESS(79,26))-INDIRECT(ADDRESS(80,26))</f>
        <v>0</v>
      </c>
      <c r="AA81">
        <f>INDIRECT(ADDRESS(81,26))+INDIRECT(ADDRESS(79,27))-INDIRECT(ADDRESS(80,27))</f>
        <v>0</v>
      </c>
      <c r="AB81">
        <f>INDIRECT(ADDRESS(81,27))+INDIRECT(ADDRESS(79,28))-INDIRECT(ADDRESS(80,28))</f>
        <v>0</v>
      </c>
      <c r="AC81">
        <f>INDIRECT(ADDRESS(81,28))+INDIRECT(ADDRESS(79,29))-INDIRECT(ADDRESS(80,29))</f>
        <v>0</v>
      </c>
      <c r="AD81">
        <f>INDIRECT(ADDRESS(81,29))+INDIRECT(ADDRESS(79,30))-INDIRECT(ADDRESS(80,30))</f>
        <v>0</v>
      </c>
      <c r="AE81">
        <f>INDIRECT(ADDRESS(81,30))+INDIRECT(ADDRESS(79,31))-INDIRECT(ADDRESS(80,31))</f>
        <v>0</v>
      </c>
      <c r="AF81">
        <f>INDIRECT(ADDRESS(81,31))+INDIRECT(ADDRESS(79,32))-INDIRECT(ADDRESS(80,32))</f>
        <v>0</v>
      </c>
      <c r="AG81">
        <f>INDIRECT(ADDRESS(81,32))+INDIRECT(ADDRESS(79,33))-INDIRECT(ADDRESS(80,33))</f>
        <v>0</v>
      </c>
      <c r="AH81">
        <f>INDIRECT(ADDRESS(81,33))+INDIRECT(ADDRESS(79,34))-INDIRECT(ADDRESS(80,34))</f>
        <v>0</v>
      </c>
      <c r="AI81">
        <f>INDIRECT(ADDRESS(81,34))+INDIRECT(ADDRESS(79,35))-INDIRECT(ADDRESS(80,35))</f>
        <v>0</v>
      </c>
      <c r="AJ81">
        <f>INDIRECT(ADDRESS(81,35))+INDIRECT(ADDRESS(79,36))-INDIRECT(ADDRESS(80,36))</f>
        <v>0</v>
      </c>
      <c r="AK81">
        <f>INDIRECT(ADDRESS(81,36))+INDIRECT(ADDRESS(79,37))-INDIRECT(ADDRESS(80,37))</f>
        <v>0</v>
      </c>
      <c r="AL81">
        <f>INDIRECT(ADDRESS(81,37))+INDIRECT(ADDRESS(79,38))-INDIRECT(ADDRESS(80,38))</f>
        <v>0</v>
      </c>
      <c r="AM81">
        <f>INDIRECT(ADDRESS(81,38))+INDIRECT(ADDRESS(79,39))-INDIRECT(ADDRESS(80,39))</f>
        <v>0</v>
      </c>
      <c r="AN81">
        <f>INDIRECT(ADDRESS(81,39))+INDIRECT(ADDRESS(79,40))-INDIRECT(ADDRESS(80,40))</f>
        <v>0</v>
      </c>
      <c r="AO81">
        <f>SUM(INDIRECT(ADDRESS(80,8)):INDIRECT(ADDRESS(80,39)))</f>
        <v>0</v>
      </c>
    </row>
    <row r="82" spans="1:41">
      <c r="A82" t="s">
        <v>204</v>
      </c>
      <c r="B82" t="s">
        <v>213</v>
      </c>
      <c r="C82" t="s">
        <v>214</v>
      </c>
      <c r="E82">
        <v>0.17</v>
      </c>
      <c r="F82" t="s">
        <v>11</v>
      </c>
      <c r="I82" t="s">
        <v>177</v>
      </c>
    </row>
    <row r="83" spans="1:41">
      <c r="I83" t="s">
        <v>178</v>
      </c>
      <c r="J83">
        <f>IFERROR(VLOOKUP("927-050000-100",B:AB,1+8,0),0)</f>
        <v>0</v>
      </c>
      <c r="K83">
        <f>IFERROR(VLOOKUP("927-050000-100",B:AB,2+8,0),0)</f>
        <v>0</v>
      </c>
      <c r="L83">
        <f>IFERROR(VLOOKUP("927-050000-100",B:AB,3+8,0),0)</f>
        <v>0</v>
      </c>
      <c r="M83">
        <f>IFERROR(VLOOKUP("927-050000-100",B:AB,4+8,0),0)</f>
        <v>0</v>
      </c>
      <c r="N83">
        <f>IFERROR(VLOOKUP("927-050000-100",B:AB,5+8,0),0)</f>
        <v>0</v>
      </c>
      <c r="O83">
        <f>IFERROR(VLOOKUP("927-050000-100",B:AB,6+8,0),0)</f>
        <v>0</v>
      </c>
      <c r="P83">
        <f>IFERROR(VLOOKUP("927-050000-100",B:AB,7+8,0),0)</f>
        <v>0</v>
      </c>
      <c r="Q83">
        <f>IFERROR(VLOOKUP("927-050000-100",B:AB,8+8,0),0)</f>
        <v>0</v>
      </c>
      <c r="R83">
        <f>IFERROR(VLOOKUP("927-050000-100",B:AB,9+8,0),0)</f>
        <v>0</v>
      </c>
      <c r="S83">
        <f>IFERROR(VLOOKUP("927-050000-100",B:AB,10+8,0),0)</f>
        <v>0</v>
      </c>
      <c r="T83">
        <f>IFERROR(VLOOKUP("927-050000-100",B:AB,11+8,0),0)</f>
        <v>0</v>
      </c>
      <c r="U83">
        <f>IFERROR(VLOOKUP("927-050000-100",B:AB,12+8,0),0)</f>
        <v>0</v>
      </c>
      <c r="V83">
        <f>IFERROR(VLOOKUP("927-050000-100",B:AB,13+8,0),0)</f>
        <v>0</v>
      </c>
      <c r="W83">
        <f>IFERROR(VLOOKUP("927-050000-100",B:AB,14+8,0),0)</f>
        <v>0</v>
      </c>
      <c r="X83">
        <f>IFERROR(VLOOKUP("927-050000-100",B:AB,15+8,0),0)</f>
        <v>0</v>
      </c>
      <c r="Y83">
        <f>IFERROR(VLOOKUP("927-050000-100",B:AB,16+8,0),0)</f>
        <v>0</v>
      </c>
      <c r="Z83">
        <f>IFERROR(VLOOKUP("927-050000-100",B:AB,17+8,0),0)</f>
        <v>0</v>
      </c>
      <c r="AA83">
        <f>IFERROR(VLOOKUP("927-050000-100",B:AB,18+8,0),0)</f>
        <v>0</v>
      </c>
      <c r="AB83">
        <f>IFERROR(VLOOKUP("927-050000-100",B:AB,19+8,0),0)</f>
        <v>0</v>
      </c>
      <c r="AC83">
        <f>IFERROR(VLOOKUP("927-050000-100",B:AB,20+8,0),0)</f>
        <v>0</v>
      </c>
      <c r="AD83">
        <f>IFERROR(VLOOKUP("927-050000-100",B:AB,21+8,0),0)</f>
        <v>0</v>
      </c>
      <c r="AE83">
        <f>IFERROR(VLOOKUP("927-050000-100",B:AB,22+8,0),0)</f>
        <v>0</v>
      </c>
      <c r="AF83">
        <f>IFERROR(VLOOKUP("927-050000-100",B:AB,23+8,0),0)</f>
        <v>0</v>
      </c>
      <c r="AG83">
        <f>IFERROR(VLOOKUP("927-050000-100",B:AB,24+8,0),0)</f>
        <v>0</v>
      </c>
      <c r="AH83">
        <f>IFERROR(VLOOKUP("927-050000-100",B:AB,25+8,0),0)</f>
        <v>0</v>
      </c>
      <c r="AI83">
        <f>IFERROR(VLOOKUP("927-050000-100",B:AB,26+8,0),0)</f>
        <v>0</v>
      </c>
      <c r="AJ83">
        <f>IFERROR(VLOOKUP("927-050000-100",B:AB,27+8,0),0)</f>
        <v>0</v>
      </c>
      <c r="AK83">
        <f>IFERROR(VLOOKUP("927-050000-100",B:AB,28+8,0),0)</f>
        <v>0</v>
      </c>
      <c r="AL83">
        <f>IFERROR(VLOOKUP("927-050000-100",B:AB,29+8,0),0)</f>
        <v>0</v>
      </c>
      <c r="AM83">
        <f>IFERROR(VLOOKUP("927-050000-100",B:AB,30+8,0),0)</f>
        <v>0</v>
      </c>
      <c r="AN83">
        <f>IFERROR(VLOOKUP("927-050000-100",B:AB,31+8,0),0)</f>
        <v>0</v>
      </c>
      <c r="AO83">
        <f>SUN(INDIRECT(ADDRESS(82,8)):INDIRECT(ADDRESS(82,39)))</f>
        <v>0</v>
      </c>
    </row>
    <row r="84" spans="1:41">
      <c r="H84" t="s">
        <v>179</v>
      </c>
      <c r="J84">
        <f>INDIRECT(ADDRESS(84,9))+INDIRECT(ADDRESS(82,10))-INDIRECT(ADDRESS(83,10))</f>
        <v>0</v>
      </c>
      <c r="K84">
        <f>INDIRECT(ADDRESS(84,10))+INDIRECT(ADDRESS(82,11))-INDIRECT(ADDRESS(83,11))</f>
        <v>0</v>
      </c>
      <c r="L84">
        <f>INDIRECT(ADDRESS(84,11))+INDIRECT(ADDRESS(82,12))-INDIRECT(ADDRESS(83,12))</f>
        <v>0</v>
      </c>
      <c r="M84">
        <f>INDIRECT(ADDRESS(84,12))+INDIRECT(ADDRESS(82,13))-INDIRECT(ADDRESS(83,13))</f>
        <v>0</v>
      </c>
      <c r="N84">
        <f>INDIRECT(ADDRESS(84,13))+INDIRECT(ADDRESS(82,14))-INDIRECT(ADDRESS(83,14))</f>
        <v>0</v>
      </c>
      <c r="O84">
        <f>INDIRECT(ADDRESS(84,14))+INDIRECT(ADDRESS(82,15))-INDIRECT(ADDRESS(83,15))</f>
        <v>0</v>
      </c>
      <c r="P84">
        <f>INDIRECT(ADDRESS(84,15))+INDIRECT(ADDRESS(82,16))-INDIRECT(ADDRESS(83,16))</f>
        <v>0</v>
      </c>
      <c r="Q84">
        <f>INDIRECT(ADDRESS(84,16))+INDIRECT(ADDRESS(82,17))-INDIRECT(ADDRESS(83,17))</f>
        <v>0</v>
      </c>
      <c r="R84">
        <f>INDIRECT(ADDRESS(84,17))+INDIRECT(ADDRESS(82,18))-INDIRECT(ADDRESS(83,18))</f>
        <v>0</v>
      </c>
      <c r="S84">
        <f>INDIRECT(ADDRESS(84,18))+INDIRECT(ADDRESS(82,19))-INDIRECT(ADDRESS(83,19))</f>
        <v>0</v>
      </c>
      <c r="T84">
        <f>INDIRECT(ADDRESS(84,19))+INDIRECT(ADDRESS(82,20))-INDIRECT(ADDRESS(83,20))</f>
        <v>0</v>
      </c>
      <c r="U84">
        <f>INDIRECT(ADDRESS(84,20))+INDIRECT(ADDRESS(82,21))-INDIRECT(ADDRESS(83,21))</f>
        <v>0</v>
      </c>
      <c r="V84">
        <f>INDIRECT(ADDRESS(84,21))+INDIRECT(ADDRESS(82,22))-INDIRECT(ADDRESS(83,22))</f>
        <v>0</v>
      </c>
      <c r="W84">
        <f>INDIRECT(ADDRESS(84,22))+INDIRECT(ADDRESS(82,23))-INDIRECT(ADDRESS(83,23))</f>
        <v>0</v>
      </c>
      <c r="X84">
        <f>INDIRECT(ADDRESS(84,23))+INDIRECT(ADDRESS(82,24))-INDIRECT(ADDRESS(83,24))</f>
        <v>0</v>
      </c>
      <c r="Y84">
        <f>INDIRECT(ADDRESS(84,24))+INDIRECT(ADDRESS(82,25))-INDIRECT(ADDRESS(83,25))</f>
        <v>0</v>
      </c>
      <c r="Z84">
        <f>INDIRECT(ADDRESS(84,25))+INDIRECT(ADDRESS(82,26))-INDIRECT(ADDRESS(83,26))</f>
        <v>0</v>
      </c>
      <c r="AA84">
        <f>INDIRECT(ADDRESS(84,26))+INDIRECT(ADDRESS(82,27))-INDIRECT(ADDRESS(83,27))</f>
        <v>0</v>
      </c>
      <c r="AB84">
        <f>INDIRECT(ADDRESS(84,27))+INDIRECT(ADDRESS(82,28))-INDIRECT(ADDRESS(83,28))</f>
        <v>0</v>
      </c>
      <c r="AC84">
        <f>INDIRECT(ADDRESS(84,28))+INDIRECT(ADDRESS(82,29))-INDIRECT(ADDRESS(83,29))</f>
        <v>0</v>
      </c>
      <c r="AD84">
        <f>INDIRECT(ADDRESS(84,29))+INDIRECT(ADDRESS(82,30))-INDIRECT(ADDRESS(83,30))</f>
        <v>0</v>
      </c>
      <c r="AE84">
        <f>INDIRECT(ADDRESS(84,30))+INDIRECT(ADDRESS(82,31))-INDIRECT(ADDRESS(83,31))</f>
        <v>0</v>
      </c>
      <c r="AF84">
        <f>INDIRECT(ADDRESS(84,31))+INDIRECT(ADDRESS(82,32))-INDIRECT(ADDRESS(83,32))</f>
        <v>0</v>
      </c>
      <c r="AG84">
        <f>INDIRECT(ADDRESS(84,32))+INDIRECT(ADDRESS(82,33))-INDIRECT(ADDRESS(83,33))</f>
        <v>0</v>
      </c>
      <c r="AH84">
        <f>INDIRECT(ADDRESS(84,33))+INDIRECT(ADDRESS(82,34))-INDIRECT(ADDRESS(83,34))</f>
        <v>0</v>
      </c>
      <c r="AI84">
        <f>INDIRECT(ADDRESS(84,34))+INDIRECT(ADDRESS(82,35))-INDIRECT(ADDRESS(83,35))</f>
        <v>0</v>
      </c>
      <c r="AJ84">
        <f>INDIRECT(ADDRESS(84,35))+INDIRECT(ADDRESS(82,36))-INDIRECT(ADDRESS(83,36))</f>
        <v>0</v>
      </c>
      <c r="AK84">
        <f>INDIRECT(ADDRESS(84,36))+INDIRECT(ADDRESS(82,37))-INDIRECT(ADDRESS(83,37))</f>
        <v>0</v>
      </c>
      <c r="AL84">
        <f>INDIRECT(ADDRESS(84,37))+INDIRECT(ADDRESS(82,38))-INDIRECT(ADDRESS(83,38))</f>
        <v>0</v>
      </c>
      <c r="AM84">
        <f>INDIRECT(ADDRESS(84,38))+INDIRECT(ADDRESS(82,39))-INDIRECT(ADDRESS(83,39))</f>
        <v>0</v>
      </c>
      <c r="AN84">
        <f>INDIRECT(ADDRESS(84,39))+INDIRECT(ADDRESS(82,40))-INDIRECT(ADDRESS(83,40))</f>
        <v>0</v>
      </c>
      <c r="AO84">
        <f>SUM(INDIRECT(ADDRESS(83,8)):INDIRECT(ADDRESS(83,39)))</f>
        <v>0</v>
      </c>
    </row>
    <row r="85" spans="1:41">
      <c r="A85" t="s">
        <v>206</v>
      </c>
      <c r="B85" t="s">
        <v>213</v>
      </c>
      <c r="C85" t="s">
        <v>214</v>
      </c>
      <c r="E85">
        <v>0.17</v>
      </c>
      <c r="F85" t="s">
        <v>11</v>
      </c>
      <c r="I85" t="s">
        <v>177</v>
      </c>
    </row>
    <row r="86" spans="1:41">
      <c r="I86" t="s">
        <v>178</v>
      </c>
      <c r="J86">
        <f>IFERROR(VLOOKUP("927-050000-100",B:AB,1+8,0),0)</f>
        <v>0</v>
      </c>
      <c r="K86">
        <f>IFERROR(VLOOKUP("927-050000-100",B:AB,2+8,0),0)</f>
        <v>0</v>
      </c>
      <c r="L86">
        <f>IFERROR(VLOOKUP("927-050000-100",B:AB,3+8,0),0)</f>
        <v>0</v>
      </c>
      <c r="M86">
        <f>IFERROR(VLOOKUP("927-050000-100",B:AB,4+8,0),0)</f>
        <v>0</v>
      </c>
      <c r="N86">
        <f>IFERROR(VLOOKUP("927-050000-100",B:AB,5+8,0),0)</f>
        <v>0</v>
      </c>
      <c r="O86">
        <f>IFERROR(VLOOKUP("927-050000-100",B:AB,6+8,0),0)</f>
        <v>0</v>
      </c>
      <c r="P86">
        <f>IFERROR(VLOOKUP("927-050000-100",B:AB,7+8,0),0)</f>
        <v>0</v>
      </c>
      <c r="Q86">
        <f>IFERROR(VLOOKUP("927-050000-100",B:AB,8+8,0),0)</f>
        <v>0</v>
      </c>
      <c r="R86">
        <f>IFERROR(VLOOKUP("927-050000-100",B:AB,9+8,0),0)</f>
        <v>0</v>
      </c>
      <c r="S86">
        <f>IFERROR(VLOOKUP("927-050000-100",B:AB,10+8,0),0)</f>
        <v>0</v>
      </c>
      <c r="T86">
        <f>IFERROR(VLOOKUP("927-050000-100",B:AB,11+8,0),0)</f>
        <v>0</v>
      </c>
      <c r="U86">
        <f>IFERROR(VLOOKUP("927-050000-100",B:AB,12+8,0),0)</f>
        <v>0</v>
      </c>
      <c r="V86">
        <f>IFERROR(VLOOKUP("927-050000-100",B:AB,13+8,0),0)</f>
        <v>0</v>
      </c>
      <c r="W86">
        <f>IFERROR(VLOOKUP("927-050000-100",B:AB,14+8,0),0)</f>
        <v>0</v>
      </c>
      <c r="X86">
        <f>IFERROR(VLOOKUP("927-050000-100",B:AB,15+8,0),0)</f>
        <v>0</v>
      </c>
      <c r="Y86">
        <f>IFERROR(VLOOKUP("927-050000-100",B:AB,16+8,0),0)</f>
        <v>0</v>
      </c>
      <c r="Z86">
        <f>IFERROR(VLOOKUP("927-050000-100",B:AB,17+8,0),0)</f>
        <v>0</v>
      </c>
      <c r="AA86">
        <f>IFERROR(VLOOKUP("927-050000-100",B:AB,18+8,0),0)</f>
        <v>0</v>
      </c>
      <c r="AB86">
        <f>IFERROR(VLOOKUP("927-050000-100",B:AB,19+8,0),0)</f>
        <v>0</v>
      </c>
      <c r="AC86">
        <f>IFERROR(VLOOKUP("927-050000-100",B:AB,20+8,0),0)</f>
        <v>0</v>
      </c>
      <c r="AD86">
        <f>IFERROR(VLOOKUP("927-050000-100",B:AB,21+8,0),0)</f>
        <v>0</v>
      </c>
      <c r="AE86">
        <f>IFERROR(VLOOKUP("927-050000-100",B:AB,22+8,0),0)</f>
        <v>0</v>
      </c>
      <c r="AF86">
        <f>IFERROR(VLOOKUP("927-050000-100",B:AB,23+8,0),0)</f>
        <v>0</v>
      </c>
      <c r="AG86">
        <f>IFERROR(VLOOKUP("927-050000-100",B:AB,24+8,0),0)</f>
        <v>0</v>
      </c>
      <c r="AH86">
        <f>IFERROR(VLOOKUP("927-050000-100",B:AB,25+8,0),0)</f>
        <v>0</v>
      </c>
      <c r="AI86">
        <f>IFERROR(VLOOKUP("927-050000-100",B:AB,26+8,0),0)</f>
        <v>0</v>
      </c>
      <c r="AJ86">
        <f>IFERROR(VLOOKUP("927-050000-100",B:AB,27+8,0),0)</f>
        <v>0</v>
      </c>
      <c r="AK86">
        <f>IFERROR(VLOOKUP("927-050000-100",B:AB,28+8,0),0)</f>
        <v>0</v>
      </c>
      <c r="AL86">
        <f>IFERROR(VLOOKUP("927-050000-100",B:AB,29+8,0),0)</f>
        <v>0</v>
      </c>
      <c r="AM86">
        <f>IFERROR(VLOOKUP("927-050000-100",B:AB,30+8,0),0)</f>
        <v>0</v>
      </c>
      <c r="AN86">
        <f>IFERROR(VLOOKUP("927-050000-100",B:AB,31+8,0),0)</f>
        <v>0</v>
      </c>
      <c r="AO86">
        <f>SUN(INDIRECT(ADDRESS(85,8)):INDIRECT(ADDRESS(85,39)))</f>
        <v>0</v>
      </c>
    </row>
    <row r="87" spans="1:41">
      <c r="H87" t="s">
        <v>179</v>
      </c>
      <c r="J87">
        <f>INDIRECT(ADDRESS(87,9))+INDIRECT(ADDRESS(85,10))-INDIRECT(ADDRESS(86,10))</f>
        <v>0</v>
      </c>
      <c r="K87">
        <f>INDIRECT(ADDRESS(87,10))+INDIRECT(ADDRESS(85,11))-INDIRECT(ADDRESS(86,11))</f>
        <v>0</v>
      </c>
      <c r="L87">
        <f>INDIRECT(ADDRESS(87,11))+INDIRECT(ADDRESS(85,12))-INDIRECT(ADDRESS(86,12))</f>
        <v>0</v>
      </c>
      <c r="M87">
        <f>INDIRECT(ADDRESS(87,12))+INDIRECT(ADDRESS(85,13))-INDIRECT(ADDRESS(86,13))</f>
        <v>0</v>
      </c>
      <c r="N87">
        <f>INDIRECT(ADDRESS(87,13))+INDIRECT(ADDRESS(85,14))-INDIRECT(ADDRESS(86,14))</f>
        <v>0</v>
      </c>
      <c r="O87">
        <f>INDIRECT(ADDRESS(87,14))+INDIRECT(ADDRESS(85,15))-INDIRECT(ADDRESS(86,15))</f>
        <v>0</v>
      </c>
      <c r="P87">
        <f>INDIRECT(ADDRESS(87,15))+INDIRECT(ADDRESS(85,16))-INDIRECT(ADDRESS(86,16))</f>
        <v>0</v>
      </c>
      <c r="Q87">
        <f>INDIRECT(ADDRESS(87,16))+INDIRECT(ADDRESS(85,17))-INDIRECT(ADDRESS(86,17))</f>
        <v>0</v>
      </c>
      <c r="R87">
        <f>INDIRECT(ADDRESS(87,17))+INDIRECT(ADDRESS(85,18))-INDIRECT(ADDRESS(86,18))</f>
        <v>0</v>
      </c>
      <c r="S87">
        <f>INDIRECT(ADDRESS(87,18))+INDIRECT(ADDRESS(85,19))-INDIRECT(ADDRESS(86,19))</f>
        <v>0</v>
      </c>
      <c r="T87">
        <f>INDIRECT(ADDRESS(87,19))+INDIRECT(ADDRESS(85,20))-INDIRECT(ADDRESS(86,20))</f>
        <v>0</v>
      </c>
      <c r="U87">
        <f>INDIRECT(ADDRESS(87,20))+INDIRECT(ADDRESS(85,21))-INDIRECT(ADDRESS(86,21))</f>
        <v>0</v>
      </c>
      <c r="V87">
        <f>INDIRECT(ADDRESS(87,21))+INDIRECT(ADDRESS(85,22))-INDIRECT(ADDRESS(86,22))</f>
        <v>0</v>
      </c>
      <c r="W87">
        <f>INDIRECT(ADDRESS(87,22))+INDIRECT(ADDRESS(85,23))-INDIRECT(ADDRESS(86,23))</f>
        <v>0</v>
      </c>
      <c r="X87">
        <f>INDIRECT(ADDRESS(87,23))+INDIRECT(ADDRESS(85,24))-INDIRECT(ADDRESS(86,24))</f>
        <v>0</v>
      </c>
      <c r="Y87">
        <f>INDIRECT(ADDRESS(87,24))+INDIRECT(ADDRESS(85,25))-INDIRECT(ADDRESS(86,25))</f>
        <v>0</v>
      </c>
      <c r="Z87">
        <f>INDIRECT(ADDRESS(87,25))+INDIRECT(ADDRESS(85,26))-INDIRECT(ADDRESS(86,26))</f>
        <v>0</v>
      </c>
      <c r="AA87">
        <f>INDIRECT(ADDRESS(87,26))+INDIRECT(ADDRESS(85,27))-INDIRECT(ADDRESS(86,27))</f>
        <v>0</v>
      </c>
      <c r="AB87">
        <f>INDIRECT(ADDRESS(87,27))+INDIRECT(ADDRESS(85,28))-INDIRECT(ADDRESS(86,28))</f>
        <v>0</v>
      </c>
      <c r="AC87">
        <f>INDIRECT(ADDRESS(87,28))+INDIRECT(ADDRESS(85,29))-INDIRECT(ADDRESS(86,29))</f>
        <v>0</v>
      </c>
      <c r="AD87">
        <f>INDIRECT(ADDRESS(87,29))+INDIRECT(ADDRESS(85,30))-INDIRECT(ADDRESS(86,30))</f>
        <v>0</v>
      </c>
      <c r="AE87">
        <f>INDIRECT(ADDRESS(87,30))+INDIRECT(ADDRESS(85,31))-INDIRECT(ADDRESS(86,31))</f>
        <v>0</v>
      </c>
      <c r="AF87">
        <f>INDIRECT(ADDRESS(87,31))+INDIRECT(ADDRESS(85,32))-INDIRECT(ADDRESS(86,32))</f>
        <v>0</v>
      </c>
      <c r="AG87">
        <f>INDIRECT(ADDRESS(87,32))+INDIRECT(ADDRESS(85,33))-INDIRECT(ADDRESS(86,33))</f>
        <v>0</v>
      </c>
      <c r="AH87">
        <f>INDIRECT(ADDRESS(87,33))+INDIRECT(ADDRESS(85,34))-INDIRECT(ADDRESS(86,34))</f>
        <v>0</v>
      </c>
      <c r="AI87">
        <f>INDIRECT(ADDRESS(87,34))+INDIRECT(ADDRESS(85,35))-INDIRECT(ADDRESS(86,35))</f>
        <v>0</v>
      </c>
      <c r="AJ87">
        <f>INDIRECT(ADDRESS(87,35))+INDIRECT(ADDRESS(85,36))-INDIRECT(ADDRESS(86,36))</f>
        <v>0</v>
      </c>
      <c r="AK87">
        <f>INDIRECT(ADDRESS(87,36))+INDIRECT(ADDRESS(85,37))-INDIRECT(ADDRESS(86,37))</f>
        <v>0</v>
      </c>
      <c r="AL87">
        <f>INDIRECT(ADDRESS(87,37))+INDIRECT(ADDRESS(85,38))-INDIRECT(ADDRESS(86,38))</f>
        <v>0</v>
      </c>
      <c r="AM87">
        <f>INDIRECT(ADDRESS(87,38))+INDIRECT(ADDRESS(85,39))-INDIRECT(ADDRESS(86,39))</f>
        <v>0</v>
      </c>
      <c r="AN87">
        <f>INDIRECT(ADDRESS(87,39))+INDIRECT(ADDRESS(85,40))-INDIRECT(ADDRESS(86,40))</f>
        <v>0</v>
      </c>
      <c r="AO87">
        <f>SUM(INDIRECT(ADDRESS(86,8)):INDIRECT(ADDRESS(86,39)))</f>
        <v>0</v>
      </c>
    </row>
    <row r="88" spans="1:41">
      <c r="A88" t="s">
        <v>8</v>
      </c>
      <c r="B88" t="s">
        <v>13</v>
      </c>
      <c r="C88" t="s">
        <v>14</v>
      </c>
      <c r="E88">
        <v>1</v>
      </c>
      <c r="F88" t="s">
        <v>11</v>
      </c>
      <c r="I88" t="s">
        <v>177</v>
      </c>
    </row>
    <row r="89" spans="1:41">
      <c r="I89" t="s">
        <v>178</v>
      </c>
      <c r="J89">
        <f>IFERROR(VLOOKUP("927-054000-200",Out!B:AB,1+8,0),0)</f>
        <v>0</v>
      </c>
      <c r="K89">
        <f>IFERROR(VLOOKUP("927-054000-200",Out!B:AB,2+8,0),0)</f>
        <v>0</v>
      </c>
      <c r="L89">
        <f>IFERROR(VLOOKUP("927-054000-200",Out!B:AB,3+8,0),0)</f>
        <v>0</v>
      </c>
      <c r="M89">
        <f>IFERROR(VLOOKUP("927-054000-200",Out!B:AB,4+8,0),0)</f>
        <v>0</v>
      </c>
      <c r="N89">
        <f>IFERROR(VLOOKUP("927-054000-200",Out!B:AB,5+8,0),0)</f>
        <v>0</v>
      </c>
      <c r="O89">
        <f>IFERROR(VLOOKUP("927-054000-200",Out!B:AB,6+8,0),0)</f>
        <v>0</v>
      </c>
      <c r="P89">
        <f>IFERROR(VLOOKUP("927-054000-200",Out!B:AB,7+8,0),0)</f>
        <v>0</v>
      </c>
      <c r="Q89">
        <f>IFERROR(VLOOKUP("927-054000-200",Out!B:AB,8+8,0),0)</f>
        <v>0</v>
      </c>
      <c r="R89">
        <f>IFERROR(VLOOKUP("927-054000-200",Out!B:AB,9+8,0),0)</f>
        <v>0</v>
      </c>
      <c r="S89">
        <f>IFERROR(VLOOKUP("927-054000-200",Out!B:AB,10+8,0),0)</f>
        <v>0</v>
      </c>
      <c r="T89">
        <f>IFERROR(VLOOKUP("927-054000-200",Out!B:AB,11+8,0),0)</f>
        <v>0</v>
      </c>
      <c r="U89">
        <f>IFERROR(VLOOKUP("927-054000-200",Out!B:AB,12+8,0),0)</f>
        <v>0</v>
      </c>
      <c r="V89">
        <f>IFERROR(VLOOKUP("927-054000-200",Out!B:AB,13+8,0),0)</f>
        <v>0</v>
      </c>
      <c r="W89">
        <f>IFERROR(VLOOKUP("927-054000-200",Out!B:AB,14+8,0),0)</f>
        <v>0</v>
      </c>
      <c r="X89">
        <f>IFERROR(VLOOKUP("927-054000-200",Out!B:AB,15+8,0),0)</f>
        <v>0</v>
      </c>
      <c r="Y89">
        <f>IFERROR(VLOOKUP("927-054000-200",Out!B:AB,16+8,0),0)</f>
        <v>0</v>
      </c>
      <c r="Z89">
        <f>IFERROR(VLOOKUP("927-054000-200",Out!B:AB,17+8,0),0)</f>
        <v>0</v>
      </c>
      <c r="AA89">
        <f>IFERROR(VLOOKUP("927-054000-200",Out!B:AB,18+8,0),0)</f>
        <v>0</v>
      </c>
      <c r="AB89">
        <f>IFERROR(VLOOKUP("927-054000-200",Out!B:AB,19+8,0),0)</f>
        <v>0</v>
      </c>
      <c r="AC89">
        <f>IFERROR(VLOOKUP("927-054000-200",Out!B:AB,20+8,0),0)</f>
        <v>0</v>
      </c>
      <c r="AD89">
        <f>IFERROR(VLOOKUP("927-054000-200",Out!B:AB,21+8,0),0)</f>
        <v>0</v>
      </c>
      <c r="AE89">
        <f>IFERROR(VLOOKUP("927-054000-200",Out!B:AB,22+8,0),0)</f>
        <v>0</v>
      </c>
      <c r="AF89">
        <f>IFERROR(VLOOKUP("927-054000-200",Out!B:AB,23+8,0),0)</f>
        <v>0</v>
      </c>
      <c r="AG89">
        <f>IFERROR(VLOOKUP("927-054000-200",Out!B:AB,24+8,0),0)</f>
        <v>0</v>
      </c>
      <c r="AH89">
        <f>IFERROR(VLOOKUP("927-054000-200",Out!B:AB,25+8,0),0)</f>
        <v>0</v>
      </c>
      <c r="AI89">
        <f>IFERROR(VLOOKUP("927-054000-200",Out!B:AB,26+8,0),0)</f>
        <v>0</v>
      </c>
      <c r="AJ89">
        <f>IFERROR(VLOOKUP("927-054000-200",Out!B:AB,27+8,0),0)</f>
        <v>0</v>
      </c>
      <c r="AK89">
        <f>IFERROR(VLOOKUP("927-054000-200",Out!B:AB,28+8,0),0)</f>
        <v>0</v>
      </c>
      <c r="AL89">
        <f>IFERROR(VLOOKUP("927-054000-200",Out!B:AB,29+8,0),0)</f>
        <v>0</v>
      </c>
      <c r="AM89">
        <f>IFERROR(VLOOKUP("927-054000-200",Out!B:AB,30+8,0),0)</f>
        <v>0</v>
      </c>
      <c r="AN89">
        <f>IFERROR(VLOOKUP("927-054000-200",Out!B:AB,31+8,0),0)</f>
        <v>0</v>
      </c>
      <c r="AO89">
        <f>SUN(INDIRECT(ADDRESS(88,8)):INDIRECT(ADDRESS(88,39)))</f>
        <v>0</v>
      </c>
    </row>
    <row r="90" spans="1:41">
      <c r="H90" t="s">
        <v>179</v>
      </c>
      <c r="J90">
        <f>INDIRECT(ADDRESS(90,9))+INDIRECT(ADDRESS(88,10))-INDIRECT(ADDRESS(89,10))</f>
        <v>0</v>
      </c>
      <c r="K90">
        <f>INDIRECT(ADDRESS(90,10))+INDIRECT(ADDRESS(88,11))-INDIRECT(ADDRESS(89,11))</f>
        <v>0</v>
      </c>
      <c r="L90">
        <f>INDIRECT(ADDRESS(90,11))+INDIRECT(ADDRESS(88,12))-INDIRECT(ADDRESS(89,12))</f>
        <v>0</v>
      </c>
      <c r="M90">
        <f>INDIRECT(ADDRESS(90,12))+INDIRECT(ADDRESS(88,13))-INDIRECT(ADDRESS(89,13))</f>
        <v>0</v>
      </c>
      <c r="N90">
        <f>INDIRECT(ADDRESS(90,13))+INDIRECT(ADDRESS(88,14))-INDIRECT(ADDRESS(89,14))</f>
        <v>0</v>
      </c>
      <c r="O90">
        <f>INDIRECT(ADDRESS(90,14))+INDIRECT(ADDRESS(88,15))-INDIRECT(ADDRESS(89,15))</f>
        <v>0</v>
      </c>
      <c r="P90">
        <f>INDIRECT(ADDRESS(90,15))+INDIRECT(ADDRESS(88,16))-INDIRECT(ADDRESS(89,16))</f>
        <v>0</v>
      </c>
      <c r="Q90">
        <f>INDIRECT(ADDRESS(90,16))+INDIRECT(ADDRESS(88,17))-INDIRECT(ADDRESS(89,17))</f>
        <v>0</v>
      </c>
      <c r="R90">
        <f>INDIRECT(ADDRESS(90,17))+INDIRECT(ADDRESS(88,18))-INDIRECT(ADDRESS(89,18))</f>
        <v>0</v>
      </c>
      <c r="S90">
        <f>INDIRECT(ADDRESS(90,18))+INDIRECT(ADDRESS(88,19))-INDIRECT(ADDRESS(89,19))</f>
        <v>0</v>
      </c>
      <c r="T90">
        <f>INDIRECT(ADDRESS(90,19))+INDIRECT(ADDRESS(88,20))-INDIRECT(ADDRESS(89,20))</f>
        <v>0</v>
      </c>
      <c r="U90">
        <f>INDIRECT(ADDRESS(90,20))+INDIRECT(ADDRESS(88,21))-INDIRECT(ADDRESS(89,21))</f>
        <v>0</v>
      </c>
      <c r="V90">
        <f>INDIRECT(ADDRESS(90,21))+INDIRECT(ADDRESS(88,22))-INDIRECT(ADDRESS(89,22))</f>
        <v>0</v>
      </c>
      <c r="W90">
        <f>INDIRECT(ADDRESS(90,22))+INDIRECT(ADDRESS(88,23))-INDIRECT(ADDRESS(89,23))</f>
        <v>0</v>
      </c>
      <c r="X90">
        <f>INDIRECT(ADDRESS(90,23))+INDIRECT(ADDRESS(88,24))-INDIRECT(ADDRESS(89,24))</f>
        <v>0</v>
      </c>
      <c r="Y90">
        <f>INDIRECT(ADDRESS(90,24))+INDIRECT(ADDRESS(88,25))-INDIRECT(ADDRESS(89,25))</f>
        <v>0</v>
      </c>
      <c r="Z90">
        <f>INDIRECT(ADDRESS(90,25))+INDIRECT(ADDRESS(88,26))-INDIRECT(ADDRESS(89,26))</f>
        <v>0</v>
      </c>
      <c r="AA90">
        <f>INDIRECT(ADDRESS(90,26))+INDIRECT(ADDRESS(88,27))-INDIRECT(ADDRESS(89,27))</f>
        <v>0</v>
      </c>
      <c r="AB90">
        <f>INDIRECT(ADDRESS(90,27))+INDIRECT(ADDRESS(88,28))-INDIRECT(ADDRESS(89,28))</f>
        <v>0</v>
      </c>
      <c r="AC90">
        <f>INDIRECT(ADDRESS(90,28))+INDIRECT(ADDRESS(88,29))-INDIRECT(ADDRESS(89,29))</f>
        <v>0</v>
      </c>
      <c r="AD90">
        <f>INDIRECT(ADDRESS(90,29))+INDIRECT(ADDRESS(88,30))-INDIRECT(ADDRESS(89,30))</f>
        <v>0</v>
      </c>
      <c r="AE90">
        <f>INDIRECT(ADDRESS(90,30))+INDIRECT(ADDRESS(88,31))-INDIRECT(ADDRESS(89,31))</f>
        <v>0</v>
      </c>
      <c r="AF90">
        <f>INDIRECT(ADDRESS(90,31))+INDIRECT(ADDRESS(88,32))-INDIRECT(ADDRESS(89,32))</f>
        <v>0</v>
      </c>
      <c r="AG90">
        <f>INDIRECT(ADDRESS(90,32))+INDIRECT(ADDRESS(88,33))-INDIRECT(ADDRESS(89,33))</f>
        <v>0</v>
      </c>
      <c r="AH90">
        <f>INDIRECT(ADDRESS(90,33))+INDIRECT(ADDRESS(88,34))-INDIRECT(ADDRESS(89,34))</f>
        <v>0</v>
      </c>
      <c r="AI90">
        <f>INDIRECT(ADDRESS(90,34))+INDIRECT(ADDRESS(88,35))-INDIRECT(ADDRESS(89,35))</f>
        <v>0</v>
      </c>
      <c r="AJ90">
        <f>INDIRECT(ADDRESS(90,35))+INDIRECT(ADDRESS(88,36))-INDIRECT(ADDRESS(89,36))</f>
        <v>0</v>
      </c>
      <c r="AK90">
        <f>INDIRECT(ADDRESS(90,36))+INDIRECT(ADDRESS(88,37))-INDIRECT(ADDRESS(89,37))</f>
        <v>0</v>
      </c>
      <c r="AL90">
        <f>INDIRECT(ADDRESS(90,37))+INDIRECT(ADDRESS(88,38))-INDIRECT(ADDRESS(89,38))</f>
        <v>0</v>
      </c>
      <c r="AM90">
        <f>INDIRECT(ADDRESS(90,38))+INDIRECT(ADDRESS(88,39))-INDIRECT(ADDRESS(89,39))</f>
        <v>0</v>
      </c>
      <c r="AN90">
        <f>INDIRECT(ADDRESS(90,39))+INDIRECT(ADDRESS(88,40))-INDIRECT(ADDRESS(89,40))</f>
        <v>0</v>
      </c>
      <c r="AO90">
        <f>SUM(INDIRECT(ADDRESS(89,8)):INDIRECT(ADDRESS(89,39)))</f>
        <v>0</v>
      </c>
    </row>
    <row r="91" spans="1:41">
      <c r="A91" t="s">
        <v>180</v>
      </c>
      <c r="B91" t="s">
        <v>215</v>
      </c>
      <c r="C91" t="s">
        <v>216</v>
      </c>
      <c r="E91">
        <v>1</v>
      </c>
      <c r="F91" t="s">
        <v>11</v>
      </c>
      <c r="I91" t="s">
        <v>177</v>
      </c>
    </row>
    <row r="92" spans="1:41">
      <c r="I92" t="s">
        <v>178</v>
      </c>
      <c r="J92">
        <f>IFERROR(VLOOKUP("927-054000-200",B:AB,1+8,0),0)</f>
        <v>0</v>
      </c>
      <c r="K92">
        <f>IFERROR(VLOOKUP("927-054000-200",B:AB,2+8,0),0)</f>
        <v>0</v>
      </c>
      <c r="L92">
        <f>IFERROR(VLOOKUP("927-054000-200",B:AB,3+8,0),0)</f>
        <v>0</v>
      </c>
      <c r="M92">
        <f>IFERROR(VLOOKUP("927-054000-200",B:AB,4+8,0),0)</f>
        <v>0</v>
      </c>
      <c r="N92">
        <f>IFERROR(VLOOKUP("927-054000-200",B:AB,5+8,0),0)</f>
        <v>0</v>
      </c>
      <c r="O92">
        <f>IFERROR(VLOOKUP("927-054000-200",B:AB,6+8,0),0)</f>
        <v>0</v>
      </c>
      <c r="P92">
        <f>IFERROR(VLOOKUP("927-054000-200",B:AB,7+8,0),0)</f>
        <v>0</v>
      </c>
      <c r="Q92">
        <f>IFERROR(VLOOKUP("927-054000-200",B:AB,8+8,0),0)</f>
        <v>0</v>
      </c>
      <c r="R92">
        <f>IFERROR(VLOOKUP("927-054000-200",B:AB,9+8,0),0)</f>
        <v>0</v>
      </c>
      <c r="S92">
        <f>IFERROR(VLOOKUP("927-054000-200",B:AB,10+8,0),0)</f>
        <v>0</v>
      </c>
      <c r="T92">
        <f>IFERROR(VLOOKUP("927-054000-200",B:AB,11+8,0),0)</f>
        <v>0</v>
      </c>
      <c r="U92">
        <f>IFERROR(VLOOKUP("927-054000-200",B:AB,12+8,0),0)</f>
        <v>0</v>
      </c>
      <c r="V92">
        <f>IFERROR(VLOOKUP("927-054000-200",B:AB,13+8,0),0)</f>
        <v>0</v>
      </c>
      <c r="W92">
        <f>IFERROR(VLOOKUP("927-054000-200",B:AB,14+8,0),0)</f>
        <v>0</v>
      </c>
      <c r="X92">
        <f>IFERROR(VLOOKUP("927-054000-200",B:AB,15+8,0),0)</f>
        <v>0</v>
      </c>
      <c r="Y92">
        <f>IFERROR(VLOOKUP("927-054000-200",B:AB,16+8,0),0)</f>
        <v>0</v>
      </c>
      <c r="Z92">
        <f>IFERROR(VLOOKUP("927-054000-200",B:AB,17+8,0),0)</f>
        <v>0</v>
      </c>
      <c r="AA92">
        <f>IFERROR(VLOOKUP("927-054000-200",B:AB,18+8,0),0)</f>
        <v>0</v>
      </c>
      <c r="AB92">
        <f>IFERROR(VLOOKUP("927-054000-200",B:AB,19+8,0),0)</f>
        <v>0</v>
      </c>
      <c r="AC92">
        <f>IFERROR(VLOOKUP("927-054000-200",B:AB,20+8,0),0)</f>
        <v>0</v>
      </c>
      <c r="AD92">
        <f>IFERROR(VLOOKUP("927-054000-200",B:AB,21+8,0),0)</f>
        <v>0</v>
      </c>
      <c r="AE92">
        <f>IFERROR(VLOOKUP("927-054000-200",B:AB,22+8,0),0)</f>
        <v>0</v>
      </c>
      <c r="AF92">
        <f>IFERROR(VLOOKUP("927-054000-200",B:AB,23+8,0),0)</f>
        <v>0</v>
      </c>
      <c r="AG92">
        <f>IFERROR(VLOOKUP("927-054000-200",B:AB,24+8,0),0)</f>
        <v>0</v>
      </c>
      <c r="AH92">
        <f>IFERROR(VLOOKUP("927-054000-200",B:AB,25+8,0),0)</f>
        <v>0</v>
      </c>
      <c r="AI92">
        <f>IFERROR(VLOOKUP("927-054000-200",B:AB,26+8,0),0)</f>
        <v>0</v>
      </c>
      <c r="AJ92">
        <f>IFERROR(VLOOKUP("927-054000-200",B:AB,27+8,0),0)</f>
        <v>0</v>
      </c>
      <c r="AK92">
        <f>IFERROR(VLOOKUP("927-054000-200",B:AB,28+8,0),0)</f>
        <v>0</v>
      </c>
      <c r="AL92">
        <f>IFERROR(VLOOKUP("927-054000-200",B:AB,29+8,0),0)</f>
        <v>0</v>
      </c>
      <c r="AM92">
        <f>IFERROR(VLOOKUP("927-054000-200",B:AB,30+8,0),0)</f>
        <v>0</v>
      </c>
      <c r="AN92">
        <f>IFERROR(VLOOKUP("927-054000-200",B:AB,31+8,0),0)</f>
        <v>0</v>
      </c>
      <c r="AO92">
        <f>SUN(INDIRECT(ADDRESS(91,8)):INDIRECT(ADDRESS(91,39)))</f>
        <v>0</v>
      </c>
    </row>
    <row r="93" spans="1:41">
      <c r="H93" t="s">
        <v>179</v>
      </c>
      <c r="J93">
        <f>INDIRECT(ADDRESS(93,9))+INDIRECT(ADDRESS(91,10))-INDIRECT(ADDRESS(92,10))</f>
        <v>0</v>
      </c>
      <c r="K93">
        <f>INDIRECT(ADDRESS(93,10))+INDIRECT(ADDRESS(91,11))-INDIRECT(ADDRESS(92,11))</f>
        <v>0</v>
      </c>
      <c r="L93">
        <f>INDIRECT(ADDRESS(93,11))+INDIRECT(ADDRESS(91,12))-INDIRECT(ADDRESS(92,12))</f>
        <v>0</v>
      </c>
      <c r="M93">
        <f>INDIRECT(ADDRESS(93,12))+INDIRECT(ADDRESS(91,13))-INDIRECT(ADDRESS(92,13))</f>
        <v>0</v>
      </c>
      <c r="N93">
        <f>INDIRECT(ADDRESS(93,13))+INDIRECT(ADDRESS(91,14))-INDIRECT(ADDRESS(92,14))</f>
        <v>0</v>
      </c>
      <c r="O93">
        <f>INDIRECT(ADDRESS(93,14))+INDIRECT(ADDRESS(91,15))-INDIRECT(ADDRESS(92,15))</f>
        <v>0</v>
      </c>
      <c r="P93">
        <f>INDIRECT(ADDRESS(93,15))+INDIRECT(ADDRESS(91,16))-INDIRECT(ADDRESS(92,16))</f>
        <v>0</v>
      </c>
      <c r="Q93">
        <f>INDIRECT(ADDRESS(93,16))+INDIRECT(ADDRESS(91,17))-INDIRECT(ADDRESS(92,17))</f>
        <v>0</v>
      </c>
      <c r="R93">
        <f>INDIRECT(ADDRESS(93,17))+INDIRECT(ADDRESS(91,18))-INDIRECT(ADDRESS(92,18))</f>
        <v>0</v>
      </c>
      <c r="S93">
        <f>INDIRECT(ADDRESS(93,18))+INDIRECT(ADDRESS(91,19))-INDIRECT(ADDRESS(92,19))</f>
        <v>0</v>
      </c>
      <c r="T93">
        <f>INDIRECT(ADDRESS(93,19))+INDIRECT(ADDRESS(91,20))-INDIRECT(ADDRESS(92,20))</f>
        <v>0</v>
      </c>
      <c r="U93">
        <f>INDIRECT(ADDRESS(93,20))+INDIRECT(ADDRESS(91,21))-INDIRECT(ADDRESS(92,21))</f>
        <v>0</v>
      </c>
      <c r="V93">
        <f>INDIRECT(ADDRESS(93,21))+INDIRECT(ADDRESS(91,22))-INDIRECT(ADDRESS(92,22))</f>
        <v>0</v>
      </c>
      <c r="W93">
        <f>INDIRECT(ADDRESS(93,22))+INDIRECT(ADDRESS(91,23))-INDIRECT(ADDRESS(92,23))</f>
        <v>0</v>
      </c>
      <c r="X93">
        <f>INDIRECT(ADDRESS(93,23))+INDIRECT(ADDRESS(91,24))-INDIRECT(ADDRESS(92,24))</f>
        <v>0</v>
      </c>
      <c r="Y93">
        <f>INDIRECT(ADDRESS(93,24))+INDIRECT(ADDRESS(91,25))-INDIRECT(ADDRESS(92,25))</f>
        <v>0</v>
      </c>
      <c r="Z93">
        <f>INDIRECT(ADDRESS(93,25))+INDIRECT(ADDRESS(91,26))-INDIRECT(ADDRESS(92,26))</f>
        <v>0</v>
      </c>
      <c r="AA93">
        <f>INDIRECT(ADDRESS(93,26))+INDIRECT(ADDRESS(91,27))-INDIRECT(ADDRESS(92,27))</f>
        <v>0</v>
      </c>
      <c r="AB93">
        <f>INDIRECT(ADDRESS(93,27))+INDIRECT(ADDRESS(91,28))-INDIRECT(ADDRESS(92,28))</f>
        <v>0</v>
      </c>
      <c r="AC93">
        <f>INDIRECT(ADDRESS(93,28))+INDIRECT(ADDRESS(91,29))-INDIRECT(ADDRESS(92,29))</f>
        <v>0</v>
      </c>
      <c r="AD93">
        <f>INDIRECT(ADDRESS(93,29))+INDIRECT(ADDRESS(91,30))-INDIRECT(ADDRESS(92,30))</f>
        <v>0</v>
      </c>
      <c r="AE93">
        <f>INDIRECT(ADDRESS(93,30))+INDIRECT(ADDRESS(91,31))-INDIRECT(ADDRESS(92,31))</f>
        <v>0</v>
      </c>
      <c r="AF93">
        <f>INDIRECT(ADDRESS(93,31))+INDIRECT(ADDRESS(91,32))-INDIRECT(ADDRESS(92,32))</f>
        <v>0</v>
      </c>
      <c r="AG93">
        <f>INDIRECT(ADDRESS(93,32))+INDIRECT(ADDRESS(91,33))-INDIRECT(ADDRESS(92,33))</f>
        <v>0</v>
      </c>
      <c r="AH93">
        <f>INDIRECT(ADDRESS(93,33))+INDIRECT(ADDRESS(91,34))-INDIRECT(ADDRESS(92,34))</f>
        <v>0</v>
      </c>
      <c r="AI93">
        <f>INDIRECT(ADDRESS(93,34))+INDIRECT(ADDRESS(91,35))-INDIRECT(ADDRESS(92,35))</f>
        <v>0</v>
      </c>
      <c r="AJ93">
        <f>INDIRECT(ADDRESS(93,35))+INDIRECT(ADDRESS(91,36))-INDIRECT(ADDRESS(92,36))</f>
        <v>0</v>
      </c>
      <c r="AK93">
        <f>INDIRECT(ADDRESS(93,36))+INDIRECT(ADDRESS(91,37))-INDIRECT(ADDRESS(92,37))</f>
        <v>0</v>
      </c>
      <c r="AL93">
        <f>INDIRECT(ADDRESS(93,37))+INDIRECT(ADDRESS(91,38))-INDIRECT(ADDRESS(92,38))</f>
        <v>0</v>
      </c>
      <c r="AM93">
        <f>INDIRECT(ADDRESS(93,38))+INDIRECT(ADDRESS(91,39))-INDIRECT(ADDRESS(92,39))</f>
        <v>0</v>
      </c>
      <c r="AN93">
        <f>INDIRECT(ADDRESS(93,39))+INDIRECT(ADDRESS(91,40))-INDIRECT(ADDRESS(92,40))</f>
        <v>0</v>
      </c>
      <c r="AO93">
        <f>SUM(INDIRECT(ADDRESS(92,8)):INDIRECT(ADDRESS(92,39)))</f>
        <v>0</v>
      </c>
    </row>
    <row r="94" spans="1:41">
      <c r="A94" t="s">
        <v>180</v>
      </c>
      <c r="B94" t="s">
        <v>217</v>
      </c>
      <c r="C94" t="s">
        <v>218</v>
      </c>
      <c r="E94">
        <v>4</v>
      </c>
      <c r="F94" t="s">
        <v>11</v>
      </c>
      <c r="I94" t="s">
        <v>177</v>
      </c>
    </row>
    <row r="95" spans="1:41">
      <c r="I95" t="s">
        <v>178</v>
      </c>
      <c r="J95">
        <f>IFERROR(VLOOKUP("927-054000-200",B:AB,1+8,0),0)</f>
        <v>0</v>
      </c>
      <c r="K95">
        <f>IFERROR(VLOOKUP("927-054000-200",B:AB,2+8,0),0)</f>
        <v>0</v>
      </c>
      <c r="L95">
        <f>IFERROR(VLOOKUP("927-054000-200",B:AB,3+8,0),0)</f>
        <v>0</v>
      </c>
      <c r="M95">
        <f>IFERROR(VLOOKUP("927-054000-200",B:AB,4+8,0),0)</f>
        <v>0</v>
      </c>
      <c r="N95">
        <f>IFERROR(VLOOKUP("927-054000-200",B:AB,5+8,0),0)</f>
        <v>0</v>
      </c>
      <c r="O95">
        <f>IFERROR(VLOOKUP("927-054000-200",B:AB,6+8,0),0)</f>
        <v>0</v>
      </c>
      <c r="P95">
        <f>IFERROR(VLOOKUP("927-054000-200",B:AB,7+8,0),0)</f>
        <v>0</v>
      </c>
      <c r="Q95">
        <f>IFERROR(VLOOKUP("927-054000-200",B:AB,8+8,0),0)</f>
        <v>0</v>
      </c>
      <c r="R95">
        <f>IFERROR(VLOOKUP("927-054000-200",B:AB,9+8,0),0)</f>
        <v>0</v>
      </c>
      <c r="S95">
        <f>IFERROR(VLOOKUP("927-054000-200",B:AB,10+8,0),0)</f>
        <v>0</v>
      </c>
      <c r="T95">
        <f>IFERROR(VLOOKUP("927-054000-200",B:AB,11+8,0),0)</f>
        <v>0</v>
      </c>
      <c r="U95">
        <f>IFERROR(VLOOKUP("927-054000-200",B:AB,12+8,0),0)</f>
        <v>0</v>
      </c>
      <c r="V95">
        <f>IFERROR(VLOOKUP("927-054000-200",B:AB,13+8,0),0)</f>
        <v>0</v>
      </c>
      <c r="W95">
        <f>IFERROR(VLOOKUP("927-054000-200",B:AB,14+8,0),0)</f>
        <v>0</v>
      </c>
      <c r="X95">
        <f>IFERROR(VLOOKUP("927-054000-200",B:AB,15+8,0),0)</f>
        <v>0</v>
      </c>
      <c r="Y95">
        <f>IFERROR(VLOOKUP("927-054000-200",B:AB,16+8,0),0)</f>
        <v>0</v>
      </c>
      <c r="Z95">
        <f>IFERROR(VLOOKUP("927-054000-200",B:AB,17+8,0),0)</f>
        <v>0</v>
      </c>
      <c r="AA95">
        <f>IFERROR(VLOOKUP("927-054000-200",B:AB,18+8,0),0)</f>
        <v>0</v>
      </c>
      <c r="AB95">
        <f>IFERROR(VLOOKUP("927-054000-200",B:AB,19+8,0),0)</f>
        <v>0</v>
      </c>
      <c r="AC95">
        <f>IFERROR(VLOOKUP("927-054000-200",B:AB,20+8,0),0)</f>
        <v>0</v>
      </c>
      <c r="AD95">
        <f>IFERROR(VLOOKUP("927-054000-200",B:AB,21+8,0),0)</f>
        <v>0</v>
      </c>
      <c r="AE95">
        <f>IFERROR(VLOOKUP("927-054000-200",B:AB,22+8,0),0)</f>
        <v>0</v>
      </c>
      <c r="AF95">
        <f>IFERROR(VLOOKUP("927-054000-200",B:AB,23+8,0),0)</f>
        <v>0</v>
      </c>
      <c r="AG95">
        <f>IFERROR(VLOOKUP("927-054000-200",B:AB,24+8,0),0)</f>
        <v>0</v>
      </c>
      <c r="AH95">
        <f>IFERROR(VLOOKUP("927-054000-200",B:AB,25+8,0),0)</f>
        <v>0</v>
      </c>
      <c r="AI95">
        <f>IFERROR(VLOOKUP("927-054000-200",B:AB,26+8,0),0)</f>
        <v>0</v>
      </c>
      <c r="AJ95">
        <f>IFERROR(VLOOKUP("927-054000-200",B:AB,27+8,0),0)</f>
        <v>0</v>
      </c>
      <c r="AK95">
        <f>IFERROR(VLOOKUP("927-054000-200",B:AB,28+8,0),0)</f>
        <v>0</v>
      </c>
      <c r="AL95">
        <f>IFERROR(VLOOKUP("927-054000-200",B:AB,29+8,0),0)</f>
        <v>0</v>
      </c>
      <c r="AM95">
        <f>IFERROR(VLOOKUP("927-054000-200",B:AB,30+8,0),0)</f>
        <v>0</v>
      </c>
      <c r="AN95">
        <f>IFERROR(VLOOKUP("927-054000-200",B:AB,31+8,0),0)</f>
        <v>0</v>
      </c>
      <c r="AO95">
        <f>SUN(INDIRECT(ADDRESS(94,8)):INDIRECT(ADDRESS(94,39)))</f>
        <v>0</v>
      </c>
    </row>
    <row r="96" spans="1:41">
      <c r="H96" t="s">
        <v>179</v>
      </c>
      <c r="J96">
        <f>INDIRECT(ADDRESS(96,9))+INDIRECT(ADDRESS(94,10))-INDIRECT(ADDRESS(95,10))</f>
        <v>0</v>
      </c>
      <c r="K96">
        <f>INDIRECT(ADDRESS(96,10))+INDIRECT(ADDRESS(94,11))-INDIRECT(ADDRESS(95,11))</f>
        <v>0</v>
      </c>
      <c r="L96">
        <f>INDIRECT(ADDRESS(96,11))+INDIRECT(ADDRESS(94,12))-INDIRECT(ADDRESS(95,12))</f>
        <v>0</v>
      </c>
      <c r="M96">
        <f>INDIRECT(ADDRESS(96,12))+INDIRECT(ADDRESS(94,13))-INDIRECT(ADDRESS(95,13))</f>
        <v>0</v>
      </c>
      <c r="N96">
        <f>INDIRECT(ADDRESS(96,13))+INDIRECT(ADDRESS(94,14))-INDIRECT(ADDRESS(95,14))</f>
        <v>0</v>
      </c>
      <c r="O96">
        <f>INDIRECT(ADDRESS(96,14))+INDIRECT(ADDRESS(94,15))-INDIRECT(ADDRESS(95,15))</f>
        <v>0</v>
      </c>
      <c r="P96">
        <f>INDIRECT(ADDRESS(96,15))+INDIRECT(ADDRESS(94,16))-INDIRECT(ADDRESS(95,16))</f>
        <v>0</v>
      </c>
      <c r="Q96">
        <f>INDIRECT(ADDRESS(96,16))+INDIRECT(ADDRESS(94,17))-INDIRECT(ADDRESS(95,17))</f>
        <v>0</v>
      </c>
      <c r="R96">
        <f>INDIRECT(ADDRESS(96,17))+INDIRECT(ADDRESS(94,18))-INDIRECT(ADDRESS(95,18))</f>
        <v>0</v>
      </c>
      <c r="S96">
        <f>INDIRECT(ADDRESS(96,18))+INDIRECT(ADDRESS(94,19))-INDIRECT(ADDRESS(95,19))</f>
        <v>0</v>
      </c>
      <c r="T96">
        <f>INDIRECT(ADDRESS(96,19))+INDIRECT(ADDRESS(94,20))-INDIRECT(ADDRESS(95,20))</f>
        <v>0</v>
      </c>
      <c r="U96">
        <f>INDIRECT(ADDRESS(96,20))+INDIRECT(ADDRESS(94,21))-INDIRECT(ADDRESS(95,21))</f>
        <v>0</v>
      </c>
      <c r="V96">
        <f>INDIRECT(ADDRESS(96,21))+INDIRECT(ADDRESS(94,22))-INDIRECT(ADDRESS(95,22))</f>
        <v>0</v>
      </c>
      <c r="W96">
        <f>INDIRECT(ADDRESS(96,22))+INDIRECT(ADDRESS(94,23))-INDIRECT(ADDRESS(95,23))</f>
        <v>0</v>
      </c>
      <c r="X96">
        <f>INDIRECT(ADDRESS(96,23))+INDIRECT(ADDRESS(94,24))-INDIRECT(ADDRESS(95,24))</f>
        <v>0</v>
      </c>
      <c r="Y96">
        <f>INDIRECT(ADDRESS(96,24))+INDIRECT(ADDRESS(94,25))-INDIRECT(ADDRESS(95,25))</f>
        <v>0</v>
      </c>
      <c r="Z96">
        <f>INDIRECT(ADDRESS(96,25))+INDIRECT(ADDRESS(94,26))-INDIRECT(ADDRESS(95,26))</f>
        <v>0</v>
      </c>
      <c r="AA96">
        <f>INDIRECT(ADDRESS(96,26))+INDIRECT(ADDRESS(94,27))-INDIRECT(ADDRESS(95,27))</f>
        <v>0</v>
      </c>
      <c r="AB96">
        <f>INDIRECT(ADDRESS(96,27))+INDIRECT(ADDRESS(94,28))-INDIRECT(ADDRESS(95,28))</f>
        <v>0</v>
      </c>
      <c r="AC96">
        <f>INDIRECT(ADDRESS(96,28))+INDIRECT(ADDRESS(94,29))-INDIRECT(ADDRESS(95,29))</f>
        <v>0</v>
      </c>
      <c r="AD96">
        <f>INDIRECT(ADDRESS(96,29))+INDIRECT(ADDRESS(94,30))-INDIRECT(ADDRESS(95,30))</f>
        <v>0</v>
      </c>
      <c r="AE96">
        <f>INDIRECT(ADDRESS(96,30))+INDIRECT(ADDRESS(94,31))-INDIRECT(ADDRESS(95,31))</f>
        <v>0</v>
      </c>
      <c r="AF96">
        <f>INDIRECT(ADDRESS(96,31))+INDIRECT(ADDRESS(94,32))-INDIRECT(ADDRESS(95,32))</f>
        <v>0</v>
      </c>
      <c r="AG96">
        <f>INDIRECT(ADDRESS(96,32))+INDIRECT(ADDRESS(94,33))-INDIRECT(ADDRESS(95,33))</f>
        <v>0</v>
      </c>
      <c r="AH96">
        <f>INDIRECT(ADDRESS(96,33))+INDIRECT(ADDRESS(94,34))-INDIRECT(ADDRESS(95,34))</f>
        <v>0</v>
      </c>
      <c r="AI96">
        <f>INDIRECT(ADDRESS(96,34))+INDIRECT(ADDRESS(94,35))-INDIRECT(ADDRESS(95,35))</f>
        <v>0</v>
      </c>
      <c r="AJ96">
        <f>INDIRECT(ADDRESS(96,35))+INDIRECT(ADDRESS(94,36))-INDIRECT(ADDRESS(95,36))</f>
        <v>0</v>
      </c>
      <c r="AK96">
        <f>INDIRECT(ADDRESS(96,36))+INDIRECT(ADDRESS(94,37))-INDIRECT(ADDRESS(95,37))</f>
        <v>0</v>
      </c>
      <c r="AL96">
        <f>INDIRECT(ADDRESS(96,37))+INDIRECT(ADDRESS(94,38))-INDIRECT(ADDRESS(95,38))</f>
        <v>0</v>
      </c>
      <c r="AM96">
        <f>INDIRECT(ADDRESS(96,38))+INDIRECT(ADDRESS(94,39))-INDIRECT(ADDRESS(95,39))</f>
        <v>0</v>
      </c>
      <c r="AN96">
        <f>INDIRECT(ADDRESS(96,39))+INDIRECT(ADDRESS(94,40))-INDIRECT(ADDRESS(95,40))</f>
        <v>0</v>
      </c>
      <c r="AO96">
        <f>SUM(INDIRECT(ADDRESS(95,8)):INDIRECT(ADDRESS(95,39)))</f>
        <v>0</v>
      </c>
    </row>
    <row r="97" spans="1:41">
      <c r="A97" t="s">
        <v>180</v>
      </c>
      <c r="B97" t="s">
        <v>219</v>
      </c>
      <c r="C97" t="s">
        <v>220</v>
      </c>
      <c r="E97">
        <v>1</v>
      </c>
      <c r="F97" t="s">
        <v>11</v>
      </c>
      <c r="I97" t="s">
        <v>177</v>
      </c>
    </row>
    <row r="98" spans="1:41">
      <c r="I98" t="s">
        <v>178</v>
      </c>
      <c r="J98">
        <f>IFERROR(VLOOKUP("927-054000-200",B:AB,1+8,0),0)</f>
        <v>0</v>
      </c>
      <c r="K98">
        <f>IFERROR(VLOOKUP("927-054000-200",B:AB,2+8,0),0)</f>
        <v>0</v>
      </c>
      <c r="L98">
        <f>IFERROR(VLOOKUP("927-054000-200",B:AB,3+8,0),0)</f>
        <v>0</v>
      </c>
      <c r="M98">
        <f>IFERROR(VLOOKUP("927-054000-200",B:AB,4+8,0),0)</f>
        <v>0</v>
      </c>
      <c r="N98">
        <f>IFERROR(VLOOKUP("927-054000-200",B:AB,5+8,0),0)</f>
        <v>0</v>
      </c>
      <c r="O98">
        <f>IFERROR(VLOOKUP("927-054000-200",B:AB,6+8,0),0)</f>
        <v>0</v>
      </c>
      <c r="P98">
        <f>IFERROR(VLOOKUP("927-054000-200",B:AB,7+8,0),0)</f>
        <v>0</v>
      </c>
      <c r="Q98">
        <f>IFERROR(VLOOKUP("927-054000-200",B:AB,8+8,0),0)</f>
        <v>0</v>
      </c>
      <c r="R98">
        <f>IFERROR(VLOOKUP("927-054000-200",B:AB,9+8,0),0)</f>
        <v>0</v>
      </c>
      <c r="S98">
        <f>IFERROR(VLOOKUP("927-054000-200",B:AB,10+8,0),0)</f>
        <v>0</v>
      </c>
      <c r="T98">
        <f>IFERROR(VLOOKUP("927-054000-200",B:AB,11+8,0),0)</f>
        <v>0</v>
      </c>
      <c r="U98">
        <f>IFERROR(VLOOKUP("927-054000-200",B:AB,12+8,0),0)</f>
        <v>0</v>
      </c>
      <c r="V98">
        <f>IFERROR(VLOOKUP("927-054000-200",B:AB,13+8,0),0)</f>
        <v>0</v>
      </c>
      <c r="W98">
        <f>IFERROR(VLOOKUP("927-054000-200",B:AB,14+8,0),0)</f>
        <v>0</v>
      </c>
      <c r="X98">
        <f>IFERROR(VLOOKUP("927-054000-200",B:AB,15+8,0),0)</f>
        <v>0</v>
      </c>
      <c r="Y98">
        <f>IFERROR(VLOOKUP("927-054000-200",B:AB,16+8,0),0)</f>
        <v>0</v>
      </c>
      <c r="Z98">
        <f>IFERROR(VLOOKUP("927-054000-200",B:AB,17+8,0),0)</f>
        <v>0</v>
      </c>
      <c r="AA98">
        <f>IFERROR(VLOOKUP("927-054000-200",B:AB,18+8,0),0)</f>
        <v>0</v>
      </c>
      <c r="AB98">
        <f>IFERROR(VLOOKUP("927-054000-200",B:AB,19+8,0),0)</f>
        <v>0</v>
      </c>
      <c r="AC98">
        <f>IFERROR(VLOOKUP("927-054000-200",B:AB,20+8,0),0)</f>
        <v>0</v>
      </c>
      <c r="AD98">
        <f>IFERROR(VLOOKUP("927-054000-200",B:AB,21+8,0),0)</f>
        <v>0</v>
      </c>
      <c r="AE98">
        <f>IFERROR(VLOOKUP("927-054000-200",B:AB,22+8,0),0)</f>
        <v>0</v>
      </c>
      <c r="AF98">
        <f>IFERROR(VLOOKUP("927-054000-200",B:AB,23+8,0),0)</f>
        <v>0</v>
      </c>
      <c r="AG98">
        <f>IFERROR(VLOOKUP("927-054000-200",B:AB,24+8,0),0)</f>
        <v>0</v>
      </c>
      <c r="AH98">
        <f>IFERROR(VLOOKUP("927-054000-200",B:AB,25+8,0),0)</f>
        <v>0</v>
      </c>
      <c r="AI98">
        <f>IFERROR(VLOOKUP("927-054000-200",B:AB,26+8,0),0)</f>
        <v>0</v>
      </c>
      <c r="AJ98">
        <f>IFERROR(VLOOKUP("927-054000-200",B:AB,27+8,0),0)</f>
        <v>0</v>
      </c>
      <c r="AK98">
        <f>IFERROR(VLOOKUP("927-054000-200",B:AB,28+8,0),0)</f>
        <v>0</v>
      </c>
      <c r="AL98">
        <f>IFERROR(VLOOKUP("927-054000-200",B:AB,29+8,0),0)</f>
        <v>0</v>
      </c>
      <c r="AM98">
        <f>IFERROR(VLOOKUP("927-054000-200",B:AB,30+8,0),0)</f>
        <v>0</v>
      </c>
      <c r="AN98">
        <f>IFERROR(VLOOKUP("927-054000-200",B:AB,31+8,0),0)</f>
        <v>0</v>
      </c>
      <c r="AO98">
        <f>SUN(INDIRECT(ADDRESS(97,8)):INDIRECT(ADDRESS(97,39)))</f>
        <v>0</v>
      </c>
    </row>
    <row r="99" spans="1:41">
      <c r="H99" t="s">
        <v>179</v>
      </c>
      <c r="J99">
        <f>INDIRECT(ADDRESS(99,9))+INDIRECT(ADDRESS(97,10))-INDIRECT(ADDRESS(98,10))</f>
        <v>0</v>
      </c>
      <c r="K99">
        <f>INDIRECT(ADDRESS(99,10))+INDIRECT(ADDRESS(97,11))-INDIRECT(ADDRESS(98,11))</f>
        <v>0</v>
      </c>
      <c r="L99">
        <f>INDIRECT(ADDRESS(99,11))+INDIRECT(ADDRESS(97,12))-INDIRECT(ADDRESS(98,12))</f>
        <v>0</v>
      </c>
      <c r="M99">
        <f>INDIRECT(ADDRESS(99,12))+INDIRECT(ADDRESS(97,13))-INDIRECT(ADDRESS(98,13))</f>
        <v>0</v>
      </c>
      <c r="N99">
        <f>INDIRECT(ADDRESS(99,13))+INDIRECT(ADDRESS(97,14))-INDIRECT(ADDRESS(98,14))</f>
        <v>0</v>
      </c>
      <c r="O99">
        <f>INDIRECT(ADDRESS(99,14))+INDIRECT(ADDRESS(97,15))-INDIRECT(ADDRESS(98,15))</f>
        <v>0</v>
      </c>
      <c r="P99">
        <f>INDIRECT(ADDRESS(99,15))+INDIRECT(ADDRESS(97,16))-INDIRECT(ADDRESS(98,16))</f>
        <v>0</v>
      </c>
      <c r="Q99">
        <f>INDIRECT(ADDRESS(99,16))+INDIRECT(ADDRESS(97,17))-INDIRECT(ADDRESS(98,17))</f>
        <v>0</v>
      </c>
      <c r="R99">
        <f>INDIRECT(ADDRESS(99,17))+INDIRECT(ADDRESS(97,18))-INDIRECT(ADDRESS(98,18))</f>
        <v>0</v>
      </c>
      <c r="S99">
        <f>INDIRECT(ADDRESS(99,18))+INDIRECT(ADDRESS(97,19))-INDIRECT(ADDRESS(98,19))</f>
        <v>0</v>
      </c>
      <c r="T99">
        <f>INDIRECT(ADDRESS(99,19))+INDIRECT(ADDRESS(97,20))-INDIRECT(ADDRESS(98,20))</f>
        <v>0</v>
      </c>
      <c r="U99">
        <f>INDIRECT(ADDRESS(99,20))+INDIRECT(ADDRESS(97,21))-INDIRECT(ADDRESS(98,21))</f>
        <v>0</v>
      </c>
      <c r="V99">
        <f>INDIRECT(ADDRESS(99,21))+INDIRECT(ADDRESS(97,22))-INDIRECT(ADDRESS(98,22))</f>
        <v>0</v>
      </c>
      <c r="W99">
        <f>INDIRECT(ADDRESS(99,22))+INDIRECT(ADDRESS(97,23))-INDIRECT(ADDRESS(98,23))</f>
        <v>0</v>
      </c>
      <c r="X99">
        <f>INDIRECT(ADDRESS(99,23))+INDIRECT(ADDRESS(97,24))-INDIRECT(ADDRESS(98,24))</f>
        <v>0</v>
      </c>
      <c r="Y99">
        <f>INDIRECT(ADDRESS(99,24))+INDIRECT(ADDRESS(97,25))-INDIRECT(ADDRESS(98,25))</f>
        <v>0</v>
      </c>
      <c r="Z99">
        <f>INDIRECT(ADDRESS(99,25))+INDIRECT(ADDRESS(97,26))-INDIRECT(ADDRESS(98,26))</f>
        <v>0</v>
      </c>
      <c r="AA99">
        <f>INDIRECT(ADDRESS(99,26))+INDIRECT(ADDRESS(97,27))-INDIRECT(ADDRESS(98,27))</f>
        <v>0</v>
      </c>
      <c r="AB99">
        <f>INDIRECT(ADDRESS(99,27))+INDIRECT(ADDRESS(97,28))-INDIRECT(ADDRESS(98,28))</f>
        <v>0</v>
      </c>
      <c r="AC99">
        <f>INDIRECT(ADDRESS(99,28))+INDIRECT(ADDRESS(97,29))-INDIRECT(ADDRESS(98,29))</f>
        <v>0</v>
      </c>
      <c r="AD99">
        <f>INDIRECT(ADDRESS(99,29))+INDIRECT(ADDRESS(97,30))-INDIRECT(ADDRESS(98,30))</f>
        <v>0</v>
      </c>
      <c r="AE99">
        <f>INDIRECT(ADDRESS(99,30))+INDIRECT(ADDRESS(97,31))-INDIRECT(ADDRESS(98,31))</f>
        <v>0</v>
      </c>
      <c r="AF99">
        <f>INDIRECT(ADDRESS(99,31))+INDIRECT(ADDRESS(97,32))-INDIRECT(ADDRESS(98,32))</f>
        <v>0</v>
      </c>
      <c r="AG99">
        <f>INDIRECT(ADDRESS(99,32))+INDIRECT(ADDRESS(97,33))-INDIRECT(ADDRESS(98,33))</f>
        <v>0</v>
      </c>
      <c r="AH99">
        <f>INDIRECT(ADDRESS(99,33))+INDIRECT(ADDRESS(97,34))-INDIRECT(ADDRESS(98,34))</f>
        <v>0</v>
      </c>
      <c r="AI99">
        <f>INDIRECT(ADDRESS(99,34))+INDIRECT(ADDRESS(97,35))-INDIRECT(ADDRESS(98,35))</f>
        <v>0</v>
      </c>
      <c r="AJ99">
        <f>INDIRECT(ADDRESS(99,35))+INDIRECT(ADDRESS(97,36))-INDIRECT(ADDRESS(98,36))</f>
        <v>0</v>
      </c>
      <c r="AK99">
        <f>INDIRECT(ADDRESS(99,36))+INDIRECT(ADDRESS(97,37))-INDIRECT(ADDRESS(98,37))</f>
        <v>0</v>
      </c>
      <c r="AL99">
        <f>INDIRECT(ADDRESS(99,37))+INDIRECT(ADDRESS(97,38))-INDIRECT(ADDRESS(98,38))</f>
        <v>0</v>
      </c>
      <c r="AM99">
        <f>INDIRECT(ADDRESS(99,38))+INDIRECT(ADDRESS(97,39))-INDIRECT(ADDRESS(98,39))</f>
        <v>0</v>
      </c>
      <c r="AN99">
        <f>INDIRECT(ADDRESS(99,39))+INDIRECT(ADDRESS(97,40))-INDIRECT(ADDRESS(98,40))</f>
        <v>0</v>
      </c>
      <c r="AO99">
        <f>SUM(INDIRECT(ADDRESS(98,8)):INDIRECT(ADDRESS(98,39)))</f>
        <v>0</v>
      </c>
    </row>
    <row r="100" spans="1:41">
      <c r="A100" t="s">
        <v>185</v>
      </c>
      <c r="B100" t="s">
        <v>221</v>
      </c>
      <c r="C100" t="s">
        <v>222</v>
      </c>
      <c r="E100">
        <v>1</v>
      </c>
      <c r="F100" t="s">
        <v>11</v>
      </c>
      <c r="I100" t="s">
        <v>177</v>
      </c>
    </row>
    <row r="101" spans="1:41">
      <c r="I101" t="s">
        <v>178</v>
      </c>
      <c r="J101">
        <f>IFERROR(VLOOKUP("927-054000-200",B:AB,1+8,0),0)</f>
        <v>0</v>
      </c>
      <c r="K101">
        <f>IFERROR(VLOOKUP("927-054000-200",B:AB,2+8,0),0)</f>
        <v>0</v>
      </c>
      <c r="L101">
        <f>IFERROR(VLOOKUP("927-054000-200",B:AB,3+8,0),0)</f>
        <v>0</v>
      </c>
      <c r="M101">
        <f>IFERROR(VLOOKUP("927-054000-200",B:AB,4+8,0),0)</f>
        <v>0</v>
      </c>
      <c r="N101">
        <f>IFERROR(VLOOKUP("927-054000-200",B:AB,5+8,0),0)</f>
        <v>0</v>
      </c>
      <c r="O101">
        <f>IFERROR(VLOOKUP("927-054000-200",B:AB,6+8,0),0)</f>
        <v>0</v>
      </c>
      <c r="P101">
        <f>IFERROR(VLOOKUP("927-054000-200",B:AB,7+8,0),0)</f>
        <v>0</v>
      </c>
      <c r="Q101">
        <f>IFERROR(VLOOKUP("927-054000-200",B:AB,8+8,0),0)</f>
        <v>0</v>
      </c>
      <c r="R101">
        <f>IFERROR(VLOOKUP("927-054000-200",B:AB,9+8,0),0)</f>
        <v>0</v>
      </c>
      <c r="S101">
        <f>IFERROR(VLOOKUP("927-054000-200",B:AB,10+8,0),0)</f>
        <v>0</v>
      </c>
      <c r="T101">
        <f>IFERROR(VLOOKUP("927-054000-200",B:AB,11+8,0),0)</f>
        <v>0</v>
      </c>
      <c r="U101">
        <f>IFERROR(VLOOKUP("927-054000-200",B:AB,12+8,0),0)</f>
        <v>0</v>
      </c>
      <c r="V101">
        <f>IFERROR(VLOOKUP("927-054000-200",B:AB,13+8,0),0)</f>
        <v>0</v>
      </c>
      <c r="W101">
        <f>IFERROR(VLOOKUP("927-054000-200",B:AB,14+8,0),0)</f>
        <v>0</v>
      </c>
      <c r="X101">
        <f>IFERROR(VLOOKUP("927-054000-200",B:AB,15+8,0),0)</f>
        <v>0</v>
      </c>
      <c r="Y101">
        <f>IFERROR(VLOOKUP("927-054000-200",B:AB,16+8,0),0)</f>
        <v>0</v>
      </c>
      <c r="Z101">
        <f>IFERROR(VLOOKUP("927-054000-200",B:AB,17+8,0),0)</f>
        <v>0</v>
      </c>
      <c r="AA101">
        <f>IFERROR(VLOOKUP("927-054000-200",B:AB,18+8,0),0)</f>
        <v>0</v>
      </c>
      <c r="AB101">
        <f>IFERROR(VLOOKUP("927-054000-200",B:AB,19+8,0),0)</f>
        <v>0</v>
      </c>
      <c r="AC101">
        <f>IFERROR(VLOOKUP("927-054000-200",B:AB,20+8,0),0)</f>
        <v>0</v>
      </c>
      <c r="AD101">
        <f>IFERROR(VLOOKUP("927-054000-200",B:AB,21+8,0),0)</f>
        <v>0</v>
      </c>
      <c r="AE101">
        <f>IFERROR(VLOOKUP("927-054000-200",B:AB,22+8,0),0)</f>
        <v>0</v>
      </c>
      <c r="AF101">
        <f>IFERROR(VLOOKUP("927-054000-200",B:AB,23+8,0),0)</f>
        <v>0</v>
      </c>
      <c r="AG101">
        <f>IFERROR(VLOOKUP("927-054000-200",B:AB,24+8,0),0)</f>
        <v>0</v>
      </c>
      <c r="AH101">
        <f>IFERROR(VLOOKUP("927-054000-200",B:AB,25+8,0),0)</f>
        <v>0</v>
      </c>
      <c r="AI101">
        <f>IFERROR(VLOOKUP("927-054000-200",B:AB,26+8,0),0)</f>
        <v>0</v>
      </c>
      <c r="AJ101">
        <f>IFERROR(VLOOKUP("927-054000-200",B:AB,27+8,0),0)</f>
        <v>0</v>
      </c>
      <c r="AK101">
        <f>IFERROR(VLOOKUP("927-054000-200",B:AB,28+8,0),0)</f>
        <v>0</v>
      </c>
      <c r="AL101">
        <f>IFERROR(VLOOKUP("927-054000-200",B:AB,29+8,0),0)</f>
        <v>0</v>
      </c>
      <c r="AM101">
        <f>IFERROR(VLOOKUP("927-054000-200",B:AB,30+8,0),0)</f>
        <v>0</v>
      </c>
      <c r="AN101">
        <f>IFERROR(VLOOKUP("927-054000-200",B:AB,31+8,0),0)</f>
        <v>0</v>
      </c>
      <c r="AO101">
        <f>SUN(INDIRECT(ADDRESS(100,8)):INDIRECT(ADDRESS(100,39)))</f>
        <v>0</v>
      </c>
    </row>
    <row r="102" spans="1:41">
      <c r="H102" t="s">
        <v>179</v>
      </c>
      <c r="J102">
        <f>INDIRECT(ADDRESS(102,9))+INDIRECT(ADDRESS(100,10))-INDIRECT(ADDRESS(101,10))</f>
        <v>0</v>
      </c>
      <c r="K102">
        <f>INDIRECT(ADDRESS(102,10))+INDIRECT(ADDRESS(100,11))-INDIRECT(ADDRESS(101,11))</f>
        <v>0</v>
      </c>
      <c r="L102">
        <f>INDIRECT(ADDRESS(102,11))+INDIRECT(ADDRESS(100,12))-INDIRECT(ADDRESS(101,12))</f>
        <v>0</v>
      </c>
      <c r="M102">
        <f>INDIRECT(ADDRESS(102,12))+INDIRECT(ADDRESS(100,13))-INDIRECT(ADDRESS(101,13))</f>
        <v>0</v>
      </c>
      <c r="N102">
        <f>INDIRECT(ADDRESS(102,13))+INDIRECT(ADDRESS(100,14))-INDIRECT(ADDRESS(101,14))</f>
        <v>0</v>
      </c>
      <c r="O102">
        <f>INDIRECT(ADDRESS(102,14))+INDIRECT(ADDRESS(100,15))-INDIRECT(ADDRESS(101,15))</f>
        <v>0</v>
      </c>
      <c r="P102">
        <f>INDIRECT(ADDRESS(102,15))+INDIRECT(ADDRESS(100,16))-INDIRECT(ADDRESS(101,16))</f>
        <v>0</v>
      </c>
      <c r="Q102">
        <f>INDIRECT(ADDRESS(102,16))+INDIRECT(ADDRESS(100,17))-INDIRECT(ADDRESS(101,17))</f>
        <v>0</v>
      </c>
      <c r="R102">
        <f>INDIRECT(ADDRESS(102,17))+INDIRECT(ADDRESS(100,18))-INDIRECT(ADDRESS(101,18))</f>
        <v>0</v>
      </c>
      <c r="S102">
        <f>INDIRECT(ADDRESS(102,18))+INDIRECT(ADDRESS(100,19))-INDIRECT(ADDRESS(101,19))</f>
        <v>0</v>
      </c>
      <c r="T102">
        <f>INDIRECT(ADDRESS(102,19))+INDIRECT(ADDRESS(100,20))-INDIRECT(ADDRESS(101,20))</f>
        <v>0</v>
      </c>
      <c r="U102">
        <f>INDIRECT(ADDRESS(102,20))+INDIRECT(ADDRESS(100,21))-INDIRECT(ADDRESS(101,21))</f>
        <v>0</v>
      </c>
      <c r="V102">
        <f>INDIRECT(ADDRESS(102,21))+INDIRECT(ADDRESS(100,22))-INDIRECT(ADDRESS(101,22))</f>
        <v>0</v>
      </c>
      <c r="W102">
        <f>INDIRECT(ADDRESS(102,22))+INDIRECT(ADDRESS(100,23))-INDIRECT(ADDRESS(101,23))</f>
        <v>0</v>
      </c>
      <c r="X102">
        <f>INDIRECT(ADDRESS(102,23))+INDIRECT(ADDRESS(100,24))-INDIRECT(ADDRESS(101,24))</f>
        <v>0</v>
      </c>
      <c r="Y102">
        <f>INDIRECT(ADDRESS(102,24))+INDIRECT(ADDRESS(100,25))-INDIRECT(ADDRESS(101,25))</f>
        <v>0</v>
      </c>
      <c r="Z102">
        <f>INDIRECT(ADDRESS(102,25))+INDIRECT(ADDRESS(100,26))-INDIRECT(ADDRESS(101,26))</f>
        <v>0</v>
      </c>
      <c r="AA102">
        <f>INDIRECT(ADDRESS(102,26))+INDIRECT(ADDRESS(100,27))-INDIRECT(ADDRESS(101,27))</f>
        <v>0</v>
      </c>
      <c r="AB102">
        <f>INDIRECT(ADDRESS(102,27))+INDIRECT(ADDRESS(100,28))-INDIRECT(ADDRESS(101,28))</f>
        <v>0</v>
      </c>
      <c r="AC102">
        <f>INDIRECT(ADDRESS(102,28))+INDIRECT(ADDRESS(100,29))-INDIRECT(ADDRESS(101,29))</f>
        <v>0</v>
      </c>
      <c r="AD102">
        <f>INDIRECT(ADDRESS(102,29))+INDIRECT(ADDRESS(100,30))-INDIRECT(ADDRESS(101,30))</f>
        <v>0</v>
      </c>
      <c r="AE102">
        <f>INDIRECT(ADDRESS(102,30))+INDIRECT(ADDRESS(100,31))-INDIRECT(ADDRESS(101,31))</f>
        <v>0</v>
      </c>
      <c r="AF102">
        <f>INDIRECT(ADDRESS(102,31))+INDIRECT(ADDRESS(100,32))-INDIRECT(ADDRESS(101,32))</f>
        <v>0</v>
      </c>
      <c r="AG102">
        <f>INDIRECT(ADDRESS(102,32))+INDIRECT(ADDRESS(100,33))-INDIRECT(ADDRESS(101,33))</f>
        <v>0</v>
      </c>
      <c r="AH102">
        <f>INDIRECT(ADDRESS(102,33))+INDIRECT(ADDRESS(100,34))-INDIRECT(ADDRESS(101,34))</f>
        <v>0</v>
      </c>
      <c r="AI102">
        <f>INDIRECT(ADDRESS(102,34))+INDIRECT(ADDRESS(100,35))-INDIRECT(ADDRESS(101,35))</f>
        <v>0</v>
      </c>
      <c r="AJ102">
        <f>INDIRECT(ADDRESS(102,35))+INDIRECT(ADDRESS(100,36))-INDIRECT(ADDRESS(101,36))</f>
        <v>0</v>
      </c>
      <c r="AK102">
        <f>INDIRECT(ADDRESS(102,36))+INDIRECT(ADDRESS(100,37))-INDIRECT(ADDRESS(101,37))</f>
        <v>0</v>
      </c>
      <c r="AL102">
        <f>INDIRECT(ADDRESS(102,37))+INDIRECT(ADDRESS(100,38))-INDIRECT(ADDRESS(101,38))</f>
        <v>0</v>
      </c>
      <c r="AM102">
        <f>INDIRECT(ADDRESS(102,38))+INDIRECT(ADDRESS(100,39))-INDIRECT(ADDRESS(101,39))</f>
        <v>0</v>
      </c>
      <c r="AN102">
        <f>INDIRECT(ADDRESS(102,39))+INDIRECT(ADDRESS(100,40))-INDIRECT(ADDRESS(101,40))</f>
        <v>0</v>
      </c>
      <c r="AO102">
        <f>SUM(INDIRECT(ADDRESS(101,8)):INDIRECT(ADDRESS(101,39)))</f>
        <v>0</v>
      </c>
    </row>
    <row r="103" spans="1:41">
      <c r="A103" t="s">
        <v>185</v>
      </c>
      <c r="B103" t="s">
        <v>213</v>
      </c>
      <c r="C103" t="s">
        <v>223</v>
      </c>
      <c r="E103">
        <v>1</v>
      </c>
      <c r="F103" t="s">
        <v>11</v>
      </c>
      <c r="I103" t="s">
        <v>177</v>
      </c>
    </row>
    <row r="104" spans="1:41">
      <c r="I104" t="s">
        <v>178</v>
      </c>
      <c r="J104">
        <f>IFERROR(VLOOKUP("927-054000-200",B:AB,1+8,0),0)</f>
        <v>0</v>
      </c>
      <c r="K104">
        <f>IFERROR(VLOOKUP("927-054000-200",B:AB,2+8,0),0)</f>
        <v>0</v>
      </c>
      <c r="L104">
        <f>IFERROR(VLOOKUP("927-054000-200",B:AB,3+8,0),0)</f>
        <v>0</v>
      </c>
      <c r="M104">
        <f>IFERROR(VLOOKUP("927-054000-200",B:AB,4+8,0),0)</f>
        <v>0</v>
      </c>
      <c r="N104">
        <f>IFERROR(VLOOKUP("927-054000-200",B:AB,5+8,0),0)</f>
        <v>0</v>
      </c>
      <c r="O104">
        <f>IFERROR(VLOOKUP("927-054000-200",B:AB,6+8,0),0)</f>
        <v>0</v>
      </c>
      <c r="P104">
        <f>IFERROR(VLOOKUP("927-054000-200",B:AB,7+8,0),0)</f>
        <v>0</v>
      </c>
      <c r="Q104">
        <f>IFERROR(VLOOKUP("927-054000-200",B:AB,8+8,0),0)</f>
        <v>0</v>
      </c>
      <c r="R104">
        <f>IFERROR(VLOOKUP("927-054000-200",B:AB,9+8,0),0)</f>
        <v>0</v>
      </c>
      <c r="S104">
        <f>IFERROR(VLOOKUP("927-054000-200",B:AB,10+8,0),0)</f>
        <v>0</v>
      </c>
      <c r="T104">
        <f>IFERROR(VLOOKUP("927-054000-200",B:AB,11+8,0),0)</f>
        <v>0</v>
      </c>
      <c r="U104">
        <f>IFERROR(VLOOKUP("927-054000-200",B:AB,12+8,0),0)</f>
        <v>0</v>
      </c>
      <c r="V104">
        <f>IFERROR(VLOOKUP("927-054000-200",B:AB,13+8,0),0)</f>
        <v>0</v>
      </c>
      <c r="W104">
        <f>IFERROR(VLOOKUP("927-054000-200",B:AB,14+8,0),0)</f>
        <v>0</v>
      </c>
      <c r="X104">
        <f>IFERROR(VLOOKUP("927-054000-200",B:AB,15+8,0),0)</f>
        <v>0</v>
      </c>
      <c r="Y104">
        <f>IFERROR(VLOOKUP("927-054000-200",B:AB,16+8,0),0)</f>
        <v>0</v>
      </c>
      <c r="Z104">
        <f>IFERROR(VLOOKUP("927-054000-200",B:AB,17+8,0),0)</f>
        <v>0</v>
      </c>
      <c r="AA104">
        <f>IFERROR(VLOOKUP("927-054000-200",B:AB,18+8,0),0)</f>
        <v>0</v>
      </c>
      <c r="AB104">
        <f>IFERROR(VLOOKUP("927-054000-200",B:AB,19+8,0),0)</f>
        <v>0</v>
      </c>
      <c r="AC104">
        <f>IFERROR(VLOOKUP("927-054000-200",B:AB,20+8,0),0)</f>
        <v>0</v>
      </c>
      <c r="AD104">
        <f>IFERROR(VLOOKUP("927-054000-200",B:AB,21+8,0),0)</f>
        <v>0</v>
      </c>
      <c r="AE104">
        <f>IFERROR(VLOOKUP("927-054000-200",B:AB,22+8,0),0)</f>
        <v>0</v>
      </c>
      <c r="AF104">
        <f>IFERROR(VLOOKUP("927-054000-200",B:AB,23+8,0),0)</f>
        <v>0</v>
      </c>
      <c r="AG104">
        <f>IFERROR(VLOOKUP("927-054000-200",B:AB,24+8,0),0)</f>
        <v>0</v>
      </c>
      <c r="AH104">
        <f>IFERROR(VLOOKUP("927-054000-200",B:AB,25+8,0),0)</f>
        <v>0</v>
      </c>
      <c r="AI104">
        <f>IFERROR(VLOOKUP("927-054000-200",B:AB,26+8,0),0)</f>
        <v>0</v>
      </c>
      <c r="AJ104">
        <f>IFERROR(VLOOKUP("927-054000-200",B:AB,27+8,0),0)</f>
        <v>0</v>
      </c>
      <c r="AK104">
        <f>IFERROR(VLOOKUP("927-054000-200",B:AB,28+8,0),0)</f>
        <v>0</v>
      </c>
      <c r="AL104">
        <f>IFERROR(VLOOKUP("927-054000-200",B:AB,29+8,0),0)</f>
        <v>0</v>
      </c>
      <c r="AM104">
        <f>IFERROR(VLOOKUP("927-054000-200",B:AB,30+8,0),0)</f>
        <v>0</v>
      </c>
      <c r="AN104">
        <f>IFERROR(VLOOKUP("927-054000-200",B:AB,31+8,0),0)</f>
        <v>0</v>
      </c>
      <c r="AO104">
        <f>SUN(INDIRECT(ADDRESS(103,8)):INDIRECT(ADDRESS(103,39)))</f>
        <v>0</v>
      </c>
    </row>
    <row r="105" spans="1:41">
      <c r="H105" t="s">
        <v>179</v>
      </c>
      <c r="J105">
        <f>INDIRECT(ADDRESS(105,9))+INDIRECT(ADDRESS(103,10))-INDIRECT(ADDRESS(104,10))</f>
        <v>0</v>
      </c>
      <c r="K105">
        <f>INDIRECT(ADDRESS(105,10))+INDIRECT(ADDRESS(103,11))-INDIRECT(ADDRESS(104,11))</f>
        <v>0</v>
      </c>
      <c r="L105">
        <f>INDIRECT(ADDRESS(105,11))+INDIRECT(ADDRESS(103,12))-INDIRECT(ADDRESS(104,12))</f>
        <v>0</v>
      </c>
      <c r="M105">
        <f>INDIRECT(ADDRESS(105,12))+INDIRECT(ADDRESS(103,13))-INDIRECT(ADDRESS(104,13))</f>
        <v>0</v>
      </c>
      <c r="N105">
        <f>INDIRECT(ADDRESS(105,13))+INDIRECT(ADDRESS(103,14))-INDIRECT(ADDRESS(104,14))</f>
        <v>0</v>
      </c>
      <c r="O105">
        <f>INDIRECT(ADDRESS(105,14))+INDIRECT(ADDRESS(103,15))-INDIRECT(ADDRESS(104,15))</f>
        <v>0</v>
      </c>
      <c r="P105">
        <f>INDIRECT(ADDRESS(105,15))+INDIRECT(ADDRESS(103,16))-INDIRECT(ADDRESS(104,16))</f>
        <v>0</v>
      </c>
      <c r="Q105">
        <f>INDIRECT(ADDRESS(105,16))+INDIRECT(ADDRESS(103,17))-INDIRECT(ADDRESS(104,17))</f>
        <v>0</v>
      </c>
      <c r="R105">
        <f>INDIRECT(ADDRESS(105,17))+INDIRECT(ADDRESS(103,18))-INDIRECT(ADDRESS(104,18))</f>
        <v>0</v>
      </c>
      <c r="S105">
        <f>INDIRECT(ADDRESS(105,18))+INDIRECT(ADDRESS(103,19))-INDIRECT(ADDRESS(104,19))</f>
        <v>0</v>
      </c>
      <c r="T105">
        <f>INDIRECT(ADDRESS(105,19))+INDIRECT(ADDRESS(103,20))-INDIRECT(ADDRESS(104,20))</f>
        <v>0</v>
      </c>
      <c r="U105">
        <f>INDIRECT(ADDRESS(105,20))+INDIRECT(ADDRESS(103,21))-INDIRECT(ADDRESS(104,21))</f>
        <v>0</v>
      </c>
      <c r="V105">
        <f>INDIRECT(ADDRESS(105,21))+INDIRECT(ADDRESS(103,22))-INDIRECT(ADDRESS(104,22))</f>
        <v>0</v>
      </c>
      <c r="W105">
        <f>INDIRECT(ADDRESS(105,22))+INDIRECT(ADDRESS(103,23))-INDIRECT(ADDRESS(104,23))</f>
        <v>0</v>
      </c>
      <c r="X105">
        <f>INDIRECT(ADDRESS(105,23))+INDIRECT(ADDRESS(103,24))-INDIRECT(ADDRESS(104,24))</f>
        <v>0</v>
      </c>
      <c r="Y105">
        <f>INDIRECT(ADDRESS(105,24))+INDIRECT(ADDRESS(103,25))-INDIRECT(ADDRESS(104,25))</f>
        <v>0</v>
      </c>
      <c r="Z105">
        <f>INDIRECT(ADDRESS(105,25))+INDIRECT(ADDRESS(103,26))-INDIRECT(ADDRESS(104,26))</f>
        <v>0</v>
      </c>
      <c r="AA105">
        <f>INDIRECT(ADDRESS(105,26))+INDIRECT(ADDRESS(103,27))-INDIRECT(ADDRESS(104,27))</f>
        <v>0</v>
      </c>
      <c r="AB105">
        <f>INDIRECT(ADDRESS(105,27))+INDIRECT(ADDRESS(103,28))-INDIRECT(ADDRESS(104,28))</f>
        <v>0</v>
      </c>
      <c r="AC105">
        <f>INDIRECT(ADDRESS(105,28))+INDIRECT(ADDRESS(103,29))-INDIRECT(ADDRESS(104,29))</f>
        <v>0</v>
      </c>
      <c r="AD105">
        <f>INDIRECT(ADDRESS(105,29))+INDIRECT(ADDRESS(103,30))-INDIRECT(ADDRESS(104,30))</f>
        <v>0</v>
      </c>
      <c r="AE105">
        <f>INDIRECT(ADDRESS(105,30))+INDIRECT(ADDRESS(103,31))-INDIRECT(ADDRESS(104,31))</f>
        <v>0</v>
      </c>
      <c r="AF105">
        <f>INDIRECT(ADDRESS(105,31))+INDIRECT(ADDRESS(103,32))-INDIRECT(ADDRESS(104,32))</f>
        <v>0</v>
      </c>
      <c r="AG105">
        <f>INDIRECT(ADDRESS(105,32))+INDIRECT(ADDRESS(103,33))-INDIRECT(ADDRESS(104,33))</f>
        <v>0</v>
      </c>
      <c r="AH105">
        <f>INDIRECT(ADDRESS(105,33))+INDIRECT(ADDRESS(103,34))-INDIRECT(ADDRESS(104,34))</f>
        <v>0</v>
      </c>
      <c r="AI105">
        <f>INDIRECT(ADDRESS(105,34))+INDIRECT(ADDRESS(103,35))-INDIRECT(ADDRESS(104,35))</f>
        <v>0</v>
      </c>
      <c r="AJ105">
        <f>INDIRECT(ADDRESS(105,35))+INDIRECT(ADDRESS(103,36))-INDIRECT(ADDRESS(104,36))</f>
        <v>0</v>
      </c>
      <c r="AK105">
        <f>INDIRECT(ADDRESS(105,36))+INDIRECT(ADDRESS(103,37))-INDIRECT(ADDRESS(104,37))</f>
        <v>0</v>
      </c>
      <c r="AL105">
        <f>INDIRECT(ADDRESS(105,37))+INDIRECT(ADDRESS(103,38))-INDIRECT(ADDRESS(104,38))</f>
        <v>0</v>
      </c>
      <c r="AM105">
        <f>INDIRECT(ADDRESS(105,38))+INDIRECT(ADDRESS(103,39))-INDIRECT(ADDRESS(104,39))</f>
        <v>0</v>
      </c>
      <c r="AN105">
        <f>INDIRECT(ADDRESS(105,39))+INDIRECT(ADDRESS(103,40))-INDIRECT(ADDRESS(104,40))</f>
        <v>0</v>
      </c>
      <c r="AO105">
        <f>SUM(INDIRECT(ADDRESS(104,8)):INDIRECT(ADDRESS(104,39)))</f>
        <v>0</v>
      </c>
    </row>
    <row r="106" spans="1:41">
      <c r="A106" t="s">
        <v>206</v>
      </c>
      <c r="B106" t="s">
        <v>224</v>
      </c>
      <c r="C106" t="s">
        <v>225</v>
      </c>
      <c r="E106">
        <v>0.17</v>
      </c>
      <c r="F106" t="s">
        <v>11</v>
      </c>
      <c r="I106" t="s">
        <v>177</v>
      </c>
    </row>
    <row r="107" spans="1:41">
      <c r="I107" t="s">
        <v>178</v>
      </c>
      <c r="J107">
        <f>IFERROR(VLOOKUP("927-054000-200",B:AB,1+8,0),0)</f>
        <v>0</v>
      </c>
      <c r="K107">
        <f>IFERROR(VLOOKUP("927-054000-200",B:AB,2+8,0),0)</f>
        <v>0</v>
      </c>
      <c r="L107">
        <f>IFERROR(VLOOKUP("927-054000-200",B:AB,3+8,0),0)</f>
        <v>0</v>
      </c>
      <c r="M107">
        <f>IFERROR(VLOOKUP("927-054000-200",B:AB,4+8,0),0)</f>
        <v>0</v>
      </c>
      <c r="N107">
        <f>IFERROR(VLOOKUP("927-054000-200",B:AB,5+8,0),0)</f>
        <v>0</v>
      </c>
      <c r="O107">
        <f>IFERROR(VLOOKUP("927-054000-200",B:AB,6+8,0),0)</f>
        <v>0</v>
      </c>
      <c r="P107">
        <f>IFERROR(VLOOKUP("927-054000-200",B:AB,7+8,0),0)</f>
        <v>0</v>
      </c>
      <c r="Q107">
        <f>IFERROR(VLOOKUP("927-054000-200",B:AB,8+8,0),0)</f>
        <v>0</v>
      </c>
      <c r="R107">
        <f>IFERROR(VLOOKUP("927-054000-200",B:AB,9+8,0),0)</f>
        <v>0</v>
      </c>
      <c r="S107">
        <f>IFERROR(VLOOKUP("927-054000-200",B:AB,10+8,0),0)</f>
        <v>0</v>
      </c>
      <c r="T107">
        <f>IFERROR(VLOOKUP("927-054000-200",B:AB,11+8,0),0)</f>
        <v>0</v>
      </c>
      <c r="U107">
        <f>IFERROR(VLOOKUP("927-054000-200",B:AB,12+8,0),0)</f>
        <v>0</v>
      </c>
      <c r="V107">
        <f>IFERROR(VLOOKUP("927-054000-200",B:AB,13+8,0),0)</f>
        <v>0</v>
      </c>
      <c r="W107">
        <f>IFERROR(VLOOKUP("927-054000-200",B:AB,14+8,0),0)</f>
        <v>0</v>
      </c>
      <c r="X107">
        <f>IFERROR(VLOOKUP("927-054000-200",B:AB,15+8,0),0)</f>
        <v>0</v>
      </c>
      <c r="Y107">
        <f>IFERROR(VLOOKUP("927-054000-200",B:AB,16+8,0),0)</f>
        <v>0</v>
      </c>
      <c r="Z107">
        <f>IFERROR(VLOOKUP("927-054000-200",B:AB,17+8,0),0)</f>
        <v>0</v>
      </c>
      <c r="AA107">
        <f>IFERROR(VLOOKUP("927-054000-200",B:AB,18+8,0),0)</f>
        <v>0</v>
      </c>
      <c r="AB107">
        <f>IFERROR(VLOOKUP("927-054000-200",B:AB,19+8,0),0)</f>
        <v>0</v>
      </c>
      <c r="AC107">
        <f>IFERROR(VLOOKUP("927-054000-200",B:AB,20+8,0),0)</f>
        <v>0</v>
      </c>
      <c r="AD107">
        <f>IFERROR(VLOOKUP("927-054000-200",B:AB,21+8,0),0)</f>
        <v>0</v>
      </c>
      <c r="AE107">
        <f>IFERROR(VLOOKUP("927-054000-200",B:AB,22+8,0),0)</f>
        <v>0</v>
      </c>
      <c r="AF107">
        <f>IFERROR(VLOOKUP("927-054000-200",B:AB,23+8,0),0)</f>
        <v>0</v>
      </c>
      <c r="AG107">
        <f>IFERROR(VLOOKUP("927-054000-200",B:AB,24+8,0),0)</f>
        <v>0</v>
      </c>
      <c r="AH107">
        <f>IFERROR(VLOOKUP("927-054000-200",B:AB,25+8,0),0)</f>
        <v>0</v>
      </c>
      <c r="AI107">
        <f>IFERROR(VLOOKUP("927-054000-200",B:AB,26+8,0),0)</f>
        <v>0</v>
      </c>
      <c r="AJ107">
        <f>IFERROR(VLOOKUP("927-054000-200",B:AB,27+8,0),0)</f>
        <v>0</v>
      </c>
      <c r="AK107">
        <f>IFERROR(VLOOKUP("927-054000-200",B:AB,28+8,0),0)</f>
        <v>0</v>
      </c>
      <c r="AL107">
        <f>IFERROR(VLOOKUP("927-054000-200",B:AB,29+8,0),0)</f>
        <v>0</v>
      </c>
      <c r="AM107">
        <f>IFERROR(VLOOKUP("927-054000-200",B:AB,30+8,0),0)</f>
        <v>0</v>
      </c>
      <c r="AN107">
        <f>IFERROR(VLOOKUP("927-054000-200",B:AB,31+8,0),0)</f>
        <v>0</v>
      </c>
      <c r="AO107">
        <f>SUN(INDIRECT(ADDRESS(106,8)):INDIRECT(ADDRESS(106,39)))</f>
        <v>0</v>
      </c>
    </row>
    <row r="108" spans="1:41">
      <c r="H108" t="s">
        <v>179</v>
      </c>
      <c r="J108">
        <f>INDIRECT(ADDRESS(108,9))+INDIRECT(ADDRESS(106,10))-INDIRECT(ADDRESS(107,10))</f>
        <v>0</v>
      </c>
      <c r="K108">
        <f>INDIRECT(ADDRESS(108,10))+INDIRECT(ADDRESS(106,11))-INDIRECT(ADDRESS(107,11))</f>
        <v>0</v>
      </c>
      <c r="L108">
        <f>INDIRECT(ADDRESS(108,11))+INDIRECT(ADDRESS(106,12))-INDIRECT(ADDRESS(107,12))</f>
        <v>0</v>
      </c>
      <c r="M108">
        <f>INDIRECT(ADDRESS(108,12))+INDIRECT(ADDRESS(106,13))-INDIRECT(ADDRESS(107,13))</f>
        <v>0</v>
      </c>
      <c r="N108">
        <f>INDIRECT(ADDRESS(108,13))+INDIRECT(ADDRESS(106,14))-INDIRECT(ADDRESS(107,14))</f>
        <v>0</v>
      </c>
      <c r="O108">
        <f>INDIRECT(ADDRESS(108,14))+INDIRECT(ADDRESS(106,15))-INDIRECT(ADDRESS(107,15))</f>
        <v>0</v>
      </c>
      <c r="P108">
        <f>INDIRECT(ADDRESS(108,15))+INDIRECT(ADDRESS(106,16))-INDIRECT(ADDRESS(107,16))</f>
        <v>0</v>
      </c>
      <c r="Q108">
        <f>INDIRECT(ADDRESS(108,16))+INDIRECT(ADDRESS(106,17))-INDIRECT(ADDRESS(107,17))</f>
        <v>0</v>
      </c>
      <c r="R108">
        <f>INDIRECT(ADDRESS(108,17))+INDIRECT(ADDRESS(106,18))-INDIRECT(ADDRESS(107,18))</f>
        <v>0</v>
      </c>
      <c r="S108">
        <f>INDIRECT(ADDRESS(108,18))+INDIRECT(ADDRESS(106,19))-INDIRECT(ADDRESS(107,19))</f>
        <v>0</v>
      </c>
      <c r="T108">
        <f>INDIRECT(ADDRESS(108,19))+INDIRECT(ADDRESS(106,20))-INDIRECT(ADDRESS(107,20))</f>
        <v>0</v>
      </c>
      <c r="U108">
        <f>INDIRECT(ADDRESS(108,20))+INDIRECT(ADDRESS(106,21))-INDIRECT(ADDRESS(107,21))</f>
        <v>0</v>
      </c>
      <c r="V108">
        <f>INDIRECT(ADDRESS(108,21))+INDIRECT(ADDRESS(106,22))-INDIRECT(ADDRESS(107,22))</f>
        <v>0</v>
      </c>
      <c r="W108">
        <f>INDIRECT(ADDRESS(108,22))+INDIRECT(ADDRESS(106,23))-INDIRECT(ADDRESS(107,23))</f>
        <v>0</v>
      </c>
      <c r="X108">
        <f>INDIRECT(ADDRESS(108,23))+INDIRECT(ADDRESS(106,24))-INDIRECT(ADDRESS(107,24))</f>
        <v>0</v>
      </c>
      <c r="Y108">
        <f>INDIRECT(ADDRESS(108,24))+INDIRECT(ADDRESS(106,25))-INDIRECT(ADDRESS(107,25))</f>
        <v>0</v>
      </c>
      <c r="Z108">
        <f>INDIRECT(ADDRESS(108,25))+INDIRECT(ADDRESS(106,26))-INDIRECT(ADDRESS(107,26))</f>
        <v>0</v>
      </c>
      <c r="AA108">
        <f>INDIRECT(ADDRESS(108,26))+INDIRECT(ADDRESS(106,27))-INDIRECT(ADDRESS(107,27))</f>
        <v>0</v>
      </c>
      <c r="AB108">
        <f>INDIRECT(ADDRESS(108,27))+INDIRECT(ADDRESS(106,28))-INDIRECT(ADDRESS(107,28))</f>
        <v>0</v>
      </c>
      <c r="AC108">
        <f>INDIRECT(ADDRESS(108,28))+INDIRECT(ADDRESS(106,29))-INDIRECT(ADDRESS(107,29))</f>
        <v>0</v>
      </c>
      <c r="AD108">
        <f>INDIRECT(ADDRESS(108,29))+INDIRECT(ADDRESS(106,30))-INDIRECT(ADDRESS(107,30))</f>
        <v>0</v>
      </c>
      <c r="AE108">
        <f>INDIRECT(ADDRESS(108,30))+INDIRECT(ADDRESS(106,31))-INDIRECT(ADDRESS(107,31))</f>
        <v>0</v>
      </c>
      <c r="AF108">
        <f>INDIRECT(ADDRESS(108,31))+INDIRECT(ADDRESS(106,32))-INDIRECT(ADDRESS(107,32))</f>
        <v>0</v>
      </c>
      <c r="AG108">
        <f>INDIRECT(ADDRESS(108,32))+INDIRECT(ADDRESS(106,33))-INDIRECT(ADDRESS(107,33))</f>
        <v>0</v>
      </c>
      <c r="AH108">
        <f>INDIRECT(ADDRESS(108,33))+INDIRECT(ADDRESS(106,34))-INDIRECT(ADDRESS(107,34))</f>
        <v>0</v>
      </c>
      <c r="AI108">
        <f>INDIRECT(ADDRESS(108,34))+INDIRECT(ADDRESS(106,35))-INDIRECT(ADDRESS(107,35))</f>
        <v>0</v>
      </c>
      <c r="AJ108">
        <f>INDIRECT(ADDRESS(108,35))+INDIRECT(ADDRESS(106,36))-INDIRECT(ADDRESS(107,36))</f>
        <v>0</v>
      </c>
      <c r="AK108">
        <f>INDIRECT(ADDRESS(108,36))+INDIRECT(ADDRESS(106,37))-INDIRECT(ADDRESS(107,37))</f>
        <v>0</v>
      </c>
      <c r="AL108">
        <f>INDIRECT(ADDRESS(108,37))+INDIRECT(ADDRESS(106,38))-INDIRECT(ADDRESS(107,38))</f>
        <v>0</v>
      </c>
      <c r="AM108">
        <f>INDIRECT(ADDRESS(108,38))+INDIRECT(ADDRESS(106,39))-INDIRECT(ADDRESS(107,39))</f>
        <v>0</v>
      </c>
      <c r="AN108">
        <f>INDIRECT(ADDRESS(108,39))+INDIRECT(ADDRESS(106,40))-INDIRECT(ADDRESS(107,40))</f>
        <v>0</v>
      </c>
      <c r="AO108">
        <f>SUM(INDIRECT(ADDRESS(107,8)):INDIRECT(ADDRESS(107,39)))</f>
        <v>0</v>
      </c>
    </row>
    <row r="109" spans="1:41">
      <c r="A109" t="s">
        <v>8</v>
      </c>
      <c r="B109" t="s">
        <v>15</v>
      </c>
      <c r="C109" t="s">
        <v>16</v>
      </c>
      <c r="E109">
        <v>1</v>
      </c>
      <c r="F109" t="s">
        <v>11</v>
      </c>
      <c r="I109" t="s">
        <v>177</v>
      </c>
    </row>
    <row r="110" spans="1:41">
      <c r="I110" t="s">
        <v>178</v>
      </c>
      <c r="J110">
        <f>IFERROR(VLOOKUP("925-076888-100",Out!B:AB,1+8,0),0)</f>
        <v>0</v>
      </c>
      <c r="K110">
        <f>IFERROR(VLOOKUP("925-076888-100",Out!B:AB,2+8,0),0)</f>
        <v>0</v>
      </c>
      <c r="L110">
        <f>IFERROR(VLOOKUP("925-076888-100",Out!B:AB,3+8,0),0)</f>
        <v>0</v>
      </c>
      <c r="M110">
        <f>IFERROR(VLOOKUP("925-076888-100",Out!B:AB,4+8,0),0)</f>
        <v>0</v>
      </c>
      <c r="N110">
        <f>IFERROR(VLOOKUP("925-076888-100",Out!B:AB,5+8,0),0)</f>
        <v>0</v>
      </c>
      <c r="O110">
        <f>IFERROR(VLOOKUP("925-076888-100",Out!B:AB,6+8,0),0)</f>
        <v>0</v>
      </c>
      <c r="P110">
        <f>IFERROR(VLOOKUP("925-076888-100",Out!B:AB,7+8,0),0)</f>
        <v>0</v>
      </c>
      <c r="Q110">
        <f>IFERROR(VLOOKUP("925-076888-100",Out!B:AB,8+8,0),0)</f>
        <v>0</v>
      </c>
      <c r="R110">
        <f>IFERROR(VLOOKUP("925-076888-100",Out!B:AB,9+8,0),0)</f>
        <v>0</v>
      </c>
      <c r="S110">
        <f>IFERROR(VLOOKUP("925-076888-100",Out!B:AB,10+8,0),0)</f>
        <v>0</v>
      </c>
      <c r="T110">
        <f>IFERROR(VLOOKUP("925-076888-100",Out!B:AB,11+8,0),0)</f>
        <v>0</v>
      </c>
      <c r="U110">
        <f>IFERROR(VLOOKUP("925-076888-100",Out!B:AB,12+8,0),0)</f>
        <v>0</v>
      </c>
      <c r="V110">
        <f>IFERROR(VLOOKUP("925-076888-100",Out!B:AB,13+8,0),0)</f>
        <v>0</v>
      </c>
      <c r="W110">
        <f>IFERROR(VLOOKUP("925-076888-100",Out!B:AB,14+8,0),0)</f>
        <v>0</v>
      </c>
      <c r="X110">
        <f>IFERROR(VLOOKUP("925-076888-100",Out!B:AB,15+8,0),0)</f>
        <v>0</v>
      </c>
      <c r="Y110">
        <f>IFERROR(VLOOKUP("925-076888-100",Out!B:AB,16+8,0),0)</f>
        <v>0</v>
      </c>
      <c r="Z110">
        <f>IFERROR(VLOOKUP("925-076888-100",Out!B:AB,17+8,0),0)</f>
        <v>0</v>
      </c>
      <c r="AA110">
        <f>IFERROR(VLOOKUP("925-076888-100",Out!B:AB,18+8,0),0)</f>
        <v>0</v>
      </c>
      <c r="AB110">
        <f>IFERROR(VLOOKUP("925-076888-100",Out!B:AB,19+8,0),0)</f>
        <v>0</v>
      </c>
      <c r="AC110">
        <f>IFERROR(VLOOKUP("925-076888-100",Out!B:AB,20+8,0),0)</f>
        <v>0</v>
      </c>
      <c r="AD110">
        <f>IFERROR(VLOOKUP("925-076888-100",Out!B:AB,21+8,0),0)</f>
        <v>0</v>
      </c>
      <c r="AE110">
        <f>IFERROR(VLOOKUP("925-076888-100",Out!B:AB,22+8,0),0)</f>
        <v>0</v>
      </c>
      <c r="AF110">
        <f>IFERROR(VLOOKUP("925-076888-100",Out!B:AB,23+8,0),0)</f>
        <v>0</v>
      </c>
      <c r="AG110">
        <f>IFERROR(VLOOKUP("925-076888-100",Out!B:AB,24+8,0),0)</f>
        <v>0</v>
      </c>
      <c r="AH110">
        <f>IFERROR(VLOOKUP("925-076888-100",Out!B:AB,25+8,0),0)</f>
        <v>0</v>
      </c>
      <c r="AI110">
        <f>IFERROR(VLOOKUP("925-076888-100",Out!B:AB,26+8,0),0)</f>
        <v>0</v>
      </c>
      <c r="AJ110">
        <f>IFERROR(VLOOKUP("925-076888-100",Out!B:AB,27+8,0),0)</f>
        <v>0</v>
      </c>
      <c r="AK110">
        <f>IFERROR(VLOOKUP("925-076888-100",Out!B:AB,28+8,0),0)</f>
        <v>0</v>
      </c>
      <c r="AL110">
        <f>IFERROR(VLOOKUP("925-076888-100",Out!B:AB,29+8,0),0)</f>
        <v>0</v>
      </c>
      <c r="AM110">
        <f>IFERROR(VLOOKUP("925-076888-100",Out!B:AB,30+8,0),0)</f>
        <v>0</v>
      </c>
      <c r="AN110">
        <f>IFERROR(VLOOKUP("925-076888-100",Out!B:AB,31+8,0),0)</f>
        <v>0</v>
      </c>
      <c r="AO110">
        <f>SUN(INDIRECT(ADDRESS(109,8)):INDIRECT(ADDRESS(109,39)))</f>
        <v>0</v>
      </c>
    </row>
    <row r="111" spans="1:41">
      <c r="H111" t="s">
        <v>179</v>
      </c>
      <c r="J111">
        <f>INDIRECT(ADDRESS(111,9))+INDIRECT(ADDRESS(109,10))-INDIRECT(ADDRESS(110,10))</f>
        <v>0</v>
      </c>
      <c r="K111">
        <f>INDIRECT(ADDRESS(111,10))+INDIRECT(ADDRESS(109,11))-INDIRECT(ADDRESS(110,11))</f>
        <v>0</v>
      </c>
      <c r="L111">
        <f>INDIRECT(ADDRESS(111,11))+INDIRECT(ADDRESS(109,12))-INDIRECT(ADDRESS(110,12))</f>
        <v>0</v>
      </c>
      <c r="M111">
        <f>INDIRECT(ADDRESS(111,12))+INDIRECT(ADDRESS(109,13))-INDIRECT(ADDRESS(110,13))</f>
        <v>0</v>
      </c>
      <c r="N111">
        <f>INDIRECT(ADDRESS(111,13))+INDIRECT(ADDRESS(109,14))-INDIRECT(ADDRESS(110,14))</f>
        <v>0</v>
      </c>
      <c r="O111">
        <f>INDIRECT(ADDRESS(111,14))+INDIRECT(ADDRESS(109,15))-INDIRECT(ADDRESS(110,15))</f>
        <v>0</v>
      </c>
      <c r="P111">
        <f>INDIRECT(ADDRESS(111,15))+INDIRECT(ADDRESS(109,16))-INDIRECT(ADDRESS(110,16))</f>
        <v>0</v>
      </c>
      <c r="Q111">
        <f>INDIRECT(ADDRESS(111,16))+INDIRECT(ADDRESS(109,17))-INDIRECT(ADDRESS(110,17))</f>
        <v>0</v>
      </c>
      <c r="R111">
        <f>INDIRECT(ADDRESS(111,17))+INDIRECT(ADDRESS(109,18))-INDIRECT(ADDRESS(110,18))</f>
        <v>0</v>
      </c>
      <c r="S111">
        <f>INDIRECT(ADDRESS(111,18))+INDIRECT(ADDRESS(109,19))-INDIRECT(ADDRESS(110,19))</f>
        <v>0</v>
      </c>
      <c r="T111">
        <f>INDIRECT(ADDRESS(111,19))+INDIRECT(ADDRESS(109,20))-INDIRECT(ADDRESS(110,20))</f>
        <v>0</v>
      </c>
      <c r="U111">
        <f>INDIRECT(ADDRESS(111,20))+INDIRECT(ADDRESS(109,21))-INDIRECT(ADDRESS(110,21))</f>
        <v>0</v>
      </c>
      <c r="V111">
        <f>INDIRECT(ADDRESS(111,21))+INDIRECT(ADDRESS(109,22))-INDIRECT(ADDRESS(110,22))</f>
        <v>0</v>
      </c>
      <c r="W111">
        <f>INDIRECT(ADDRESS(111,22))+INDIRECT(ADDRESS(109,23))-INDIRECT(ADDRESS(110,23))</f>
        <v>0</v>
      </c>
      <c r="X111">
        <f>INDIRECT(ADDRESS(111,23))+INDIRECT(ADDRESS(109,24))-INDIRECT(ADDRESS(110,24))</f>
        <v>0</v>
      </c>
      <c r="Y111">
        <f>INDIRECT(ADDRESS(111,24))+INDIRECT(ADDRESS(109,25))-INDIRECT(ADDRESS(110,25))</f>
        <v>0</v>
      </c>
      <c r="Z111">
        <f>INDIRECT(ADDRESS(111,25))+INDIRECT(ADDRESS(109,26))-INDIRECT(ADDRESS(110,26))</f>
        <v>0</v>
      </c>
      <c r="AA111">
        <f>INDIRECT(ADDRESS(111,26))+INDIRECT(ADDRESS(109,27))-INDIRECT(ADDRESS(110,27))</f>
        <v>0</v>
      </c>
      <c r="AB111">
        <f>INDIRECT(ADDRESS(111,27))+INDIRECT(ADDRESS(109,28))-INDIRECT(ADDRESS(110,28))</f>
        <v>0</v>
      </c>
      <c r="AC111">
        <f>INDIRECT(ADDRESS(111,28))+INDIRECT(ADDRESS(109,29))-INDIRECT(ADDRESS(110,29))</f>
        <v>0</v>
      </c>
      <c r="AD111">
        <f>INDIRECT(ADDRESS(111,29))+INDIRECT(ADDRESS(109,30))-INDIRECT(ADDRESS(110,30))</f>
        <v>0</v>
      </c>
      <c r="AE111">
        <f>INDIRECT(ADDRESS(111,30))+INDIRECT(ADDRESS(109,31))-INDIRECT(ADDRESS(110,31))</f>
        <v>0</v>
      </c>
      <c r="AF111">
        <f>INDIRECT(ADDRESS(111,31))+INDIRECT(ADDRESS(109,32))-INDIRECT(ADDRESS(110,32))</f>
        <v>0</v>
      </c>
      <c r="AG111">
        <f>INDIRECT(ADDRESS(111,32))+INDIRECT(ADDRESS(109,33))-INDIRECT(ADDRESS(110,33))</f>
        <v>0</v>
      </c>
      <c r="AH111">
        <f>INDIRECT(ADDRESS(111,33))+INDIRECT(ADDRESS(109,34))-INDIRECT(ADDRESS(110,34))</f>
        <v>0</v>
      </c>
      <c r="AI111">
        <f>INDIRECT(ADDRESS(111,34))+INDIRECT(ADDRESS(109,35))-INDIRECT(ADDRESS(110,35))</f>
        <v>0</v>
      </c>
      <c r="AJ111">
        <f>INDIRECT(ADDRESS(111,35))+INDIRECT(ADDRESS(109,36))-INDIRECT(ADDRESS(110,36))</f>
        <v>0</v>
      </c>
      <c r="AK111">
        <f>INDIRECT(ADDRESS(111,36))+INDIRECT(ADDRESS(109,37))-INDIRECT(ADDRESS(110,37))</f>
        <v>0</v>
      </c>
      <c r="AL111">
        <f>INDIRECT(ADDRESS(111,37))+INDIRECT(ADDRESS(109,38))-INDIRECT(ADDRESS(110,38))</f>
        <v>0</v>
      </c>
      <c r="AM111">
        <f>INDIRECT(ADDRESS(111,38))+INDIRECT(ADDRESS(109,39))-INDIRECT(ADDRESS(110,39))</f>
        <v>0</v>
      </c>
      <c r="AN111">
        <f>INDIRECT(ADDRESS(111,39))+INDIRECT(ADDRESS(109,40))-INDIRECT(ADDRESS(110,40))</f>
        <v>0</v>
      </c>
      <c r="AO111">
        <f>SUM(INDIRECT(ADDRESS(110,8)):INDIRECT(ADDRESS(110,39)))</f>
        <v>0</v>
      </c>
    </row>
    <row r="112" spans="1:41">
      <c r="A112" t="s">
        <v>180</v>
      </c>
      <c r="B112" t="s">
        <v>226</v>
      </c>
      <c r="C112" t="s">
        <v>227</v>
      </c>
      <c r="E112">
        <v>1</v>
      </c>
      <c r="F112" t="s">
        <v>11</v>
      </c>
      <c r="I112" t="s">
        <v>177</v>
      </c>
    </row>
    <row r="113" spans="1:41">
      <c r="I113" t="s">
        <v>178</v>
      </c>
      <c r="J113">
        <f>IFERROR(VLOOKUP("925-076888-100",B:AB,1+8,0),0)</f>
        <v>0</v>
      </c>
      <c r="K113">
        <f>IFERROR(VLOOKUP("925-076888-100",B:AB,2+8,0),0)</f>
        <v>0</v>
      </c>
      <c r="L113">
        <f>IFERROR(VLOOKUP("925-076888-100",B:AB,3+8,0),0)</f>
        <v>0</v>
      </c>
      <c r="M113">
        <f>IFERROR(VLOOKUP("925-076888-100",B:AB,4+8,0),0)</f>
        <v>0</v>
      </c>
      <c r="N113">
        <f>IFERROR(VLOOKUP("925-076888-100",B:AB,5+8,0),0)</f>
        <v>0</v>
      </c>
      <c r="O113">
        <f>IFERROR(VLOOKUP("925-076888-100",B:AB,6+8,0),0)</f>
        <v>0</v>
      </c>
      <c r="P113">
        <f>IFERROR(VLOOKUP("925-076888-100",B:AB,7+8,0),0)</f>
        <v>0</v>
      </c>
      <c r="Q113">
        <f>IFERROR(VLOOKUP("925-076888-100",B:AB,8+8,0),0)</f>
        <v>0</v>
      </c>
      <c r="R113">
        <f>IFERROR(VLOOKUP("925-076888-100",B:AB,9+8,0),0)</f>
        <v>0</v>
      </c>
      <c r="S113">
        <f>IFERROR(VLOOKUP("925-076888-100",B:AB,10+8,0),0)</f>
        <v>0</v>
      </c>
      <c r="T113">
        <f>IFERROR(VLOOKUP("925-076888-100",B:AB,11+8,0),0)</f>
        <v>0</v>
      </c>
      <c r="U113">
        <f>IFERROR(VLOOKUP("925-076888-100",B:AB,12+8,0),0)</f>
        <v>0</v>
      </c>
      <c r="V113">
        <f>IFERROR(VLOOKUP("925-076888-100",B:AB,13+8,0),0)</f>
        <v>0</v>
      </c>
      <c r="W113">
        <f>IFERROR(VLOOKUP("925-076888-100",B:AB,14+8,0),0)</f>
        <v>0</v>
      </c>
      <c r="X113">
        <f>IFERROR(VLOOKUP("925-076888-100",B:AB,15+8,0),0)</f>
        <v>0</v>
      </c>
      <c r="Y113">
        <f>IFERROR(VLOOKUP("925-076888-100",B:AB,16+8,0),0)</f>
        <v>0</v>
      </c>
      <c r="Z113">
        <f>IFERROR(VLOOKUP("925-076888-100",B:AB,17+8,0),0)</f>
        <v>0</v>
      </c>
      <c r="AA113">
        <f>IFERROR(VLOOKUP("925-076888-100",B:AB,18+8,0),0)</f>
        <v>0</v>
      </c>
      <c r="AB113">
        <f>IFERROR(VLOOKUP("925-076888-100",B:AB,19+8,0),0)</f>
        <v>0</v>
      </c>
      <c r="AC113">
        <f>IFERROR(VLOOKUP("925-076888-100",B:AB,20+8,0),0)</f>
        <v>0</v>
      </c>
      <c r="AD113">
        <f>IFERROR(VLOOKUP("925-076888-100",B:AB,21+8,0),0)</f>
        <v>0</v>
      </c>
      <c r="AE113">
        <f>IFERROR(VLOOKUP("925-076888-100",B:AB,22+8,0),0)</f>
        <v>0</v>
      </c>
      <c r="AF113">
        <f>IFERROR(VLOOKUP("925-076888-100",B:AB,23+8,0),0)</f>
        <v>0</v>
      </c>
      <c r="AG113">
        <f>IFERROR(VLOOKUP("925-076888-100",B:AB,24+8,0),0)</f>
        <v>0</v>
      </c>
      <c r="AH113">
        <f>IFERROR(VLOOKUP("925-076888-100",B:AB,25+8,0),0)</f>
        <v>0</v>
      </c>
      <c r="AI113">
        <f>IFERROR(VLOOKUP("925-076888-100",B:AB,26+8,0),0)</f>
        <v>0</v>
      </c>
      <c r="AJ113">
        <f>IFERROR(VLOOKUP("925-076888-100",B:AB,27+8,0),0)</f>
        <v>0</v>
      </c>
      <c r="AK113">
        <f>IFERROR(VLOOKUP("925-076888-100",B:AB,28+8,0),0)</f>
        <v>0</v>
      </c>
      <c r="AL113">
        <f>IFERROR(VLOOKUP("925-076888-100",B:AB,29+8,0),0)</f>
        <v>0</v>
      </c>
      <c r="AM113">
        <f>IFERROR(VLOOKUP("925-076888-100",B:AB,30+8,0),0)</f>
        <v>0</v>
      </c>
      <c r="AN113">
        <f>IFERROR(VLOOKUP("925-076888-100",B:AB,31+8,0),0)</f>
        <v>0</v>
      </c>
      <c r="AO113">
        <f>SUN(INDIRECT(ADDRESS(112,8)):INDIRECT(ADDRESS(112,39)))</f>
        <v>0</v>
      </c>
    </row>
    <row r="114" spans="1:41">
      <c r="H114" t="s">
        <v>179</v>
      </c>
      <c r="J114">
        <f>INDIRECT(ADDRESS(114,9))+INDIRECT(ADDRESS(112,10))-INDIRECT(ADDRESS(113,10))</f>
        <v>0</v>
      </c>
      <c r="K114">
        <f>INDIRECT(ADDRESS(114,10))+INDIRECT(ADDRESS(112,11))-INDIRECT(ADDRESS(113,11))</f>
        <v>0</v>
      </c>
      <c r="L114">
        <f>INDIRECT(ADDRESS(114,11))+INDIRECT(ADDRESS(112,12))-INDIRECT(ADDRESS(113,12))</f>
        <v>0</v>
      </c>
      <c r="M114">
        <f>INDIRECT(ADDRESS(114,12))+INDIRECT(ADDRESS(112,13))-INDIRECT(ADDRESS(113,13))</f>
        <v>0</v>
      </c>
      <c r="N114">
        <f>INDIRECT(ADDRESS(114,13))+INDIRECT(ADDRESS(112,14))-INDIRECT(ADDRESS(113,14))</f>
        <v>0</v>
      </c>
      <c r="O114">
        <f>INDIRECT(ADDRESS(114,14))+INDIRECT(ADDRESS(112,15))-INDIRECT(ADDRESS(113,15))</f>
        <v>0</v>
      </c>
      <c r="P114">
        <f>INDIRECT(ADDRESS(114,15))+INDIRECT(ADDRESS(112,16))-INDIRECT(ADDRESS(113,16))</f>
        <v>0</v>
      </c>
      <c r="Q114">
        <f>INDIRECT(ADDRESS(114,16))+INDIRECT(ADDRESS(112,17))-INDIRECT(ADDRESS(113,17))</f>
        <v>0</v>
      </c>
      <c r="R114">
        <f>INDIRECT(ADDRESS(114,17))+INDIRECT(ADDRESS(112,18))-INDIRECT(ADDRESS(113,18))</f>
        <v>0</v>
      </c>
      <c r="S114">
        <f>INDIRECT(ADDRESS(114,18))+INDIRECT(ADDRESS(112,19))-INDIRECT(ADDRESS(113,19))</f>
        <v>0</v>
      </c>
      <c r="T114">
        <f>INDIRECT(ADDRESS(114,19))+INDIRECT(ADDRESS(112,20))-INDIRECT(ADDRESS(113,20))</f>
        <v>0</v>
      </c>
      <c r="U114">
        <f>INDIRECT(ADDRESS(114,20))+INDIRECT(ADDRESS(112,21))-INDIRECT(ADDRESS(113,21))</f>
        <v>0</v>
      </c>
      <c r="V114">
        <f>INDIRECT(ADDRESS(114,21))+INDIRECT(ADDRESS(112,22))-INDIRECT(ADDRESS(113,22))</f>
        <v>0</v>
      </c>
      <c r="W114">
        <f>INDIRECT(ADDRESS(114,22))+INDIRECT(ADDRESS(112,23))-INDIRECT(ADDRESS(113,23))</f>
        <v>0</v>
      </c>
      <c r="X114">
        <f>INDIRECT(ADDRESS(114,23))+INDIRECT(ADDRESS(112,24))-INDIRECT(ADDRESS(113,24))</f>
        <v>0</v>
      </c>
      <c r="Y114">
        <f>INDIRECT(ADDRESS(114,24))+INDIRECT(ADDRESS(112,25))-INDIRECT(ADDRESS(113,25))</f>
        <v>0</v>
      </c>
      <c r="Z114">
        <f>INDIRECT(ADDRESS(114,25))+INDIRECT(ADDRESS(112,26))-INDIRECT(ADDRESS(113,26))</f>
        <v>0</v>
      </c>
      <c r="AA114">
        <f>INDIRECT(ADDRESS(114,26))+INDIRECT(ADDRESS(112,27))-INDIRECT(ADDRESS(113,27))</f>
        <v>0</v>
      </c>
      <c r="AB114">
        <f>INDIRECT(ADDRESS(114,27))+INDIRECT(ADDRESS(112,28))-INDIRECT(ADDRESS(113,28))</f>
        <v>0</v>
      </c>
      <c r="AC114">
        <f>INDIRECT(ADDRESS(114,28))+INDIRECT(ADDRESS(112,29))-INDIRECT(ADDRESS(113,29))</f>
        <v>0</v>
      </c>
      <c r="AD114">
        <f>INDIRECT(ADDRESS(114,29))+INDIRECT(ADDRESS(112,30))-INDIRECT(ADDRESS(113,30))</f>
        <v>0</v>
      </c>
      <c r="AE114">
        <f>INDIRECT(ADDRESS(114,30))+INDIRECT(ADDRESS(112,31))-INDIRECT(ADDRESS(113,31))</f>
        <v>0</v>
      </c>
      <c r="AF114">
        <f>INDIRECT(ADDRESS(114,31))+INDIRECT(ADDRESS(112,32))-INDIRECT(ADDRESS(113,32))</f>
        <v>0</v>
      </c>
      <c r="AG114">
        <f>INDIRECT(ADDRESS(114,32))+INDIRECT(ADDRESS(112,33))-INDIRECT(ADDRESS(113,33))</f>
        <v>0</v>
      </c>
      <c r="AH114">
        <f>INDIRECT(ADDRESS(114,33))+INDIRECT(ADDRESS(112,34))-INDIRECT(ADDRESS(113,34))</f>
        <v>0</v>
      </c>
      <c r="AI114">
        <f>INDIRECT(ADDRESS(114,34))+INDIRECT(ADDRESS(112,35))-INDIRECT(ADDRESS(113,35))</f>
        <v>0</v>
      </c>
      <c r="AJ114">
        <f>INDIRECT(ADDRESS(114,35))+INDIRECT(ADDRESS(112,36))-INDIRECT(ADDRESS(113,36))</f>
        <v>0</v>
      </c>
      <c r="AK114">
        <f>INDIRECT(ADDRESS(114,36))+INDIRECT(ADDRESS(112,37))-INDIRECT(ADDRESS(113,37))</f>
        <v>0</v>
      </c>
      <c r="AL114">
        <f>INDIRECT(ADDRESS(114,37))+INDIRECT(ADDRESS(112,38))-INDIRECT(ADDRESS(113,38))</f>
        <v>0</v>
      </c>
      <c r="AM114">
        <f>INDIRECT(ADDRESS(114,38))+INDIRECT(ADDRESS(112,39))-INDIRECT(ADDRESS(113,39))</f>
        <v>0</v>
      </c>
      <c r="AN114">
        <f>INDIRECT(ADDRESS(114,39))+INDIRECT(ADDRESS(112,40))-INDIRECT(ADDRESS(113,40))</f>
        <v>0</v>
      </c>
      <c r="AO114">
        <f>SUM(INDIRECT(ADDRESS(113,8)):INDIRECT(ADDRESS(113,39)))</f>
        <v>0</v>
      </c>
    </row>
    <row r="115" spans="1:41">
      <c r="A115" t="s">
        <v>180</v>
      </c>
      <c r="B115" t="s">
        <v>228</v>
      </c>
      <c r="C115" t="s">
        <v>229</v>
      </c>
      <c r="E115">
        <v>1</v>
      </c>
      <c r="F115" t="s">
        <v>11</v>
      </c>
      <c r="I115" t="s">
        <v>177</v>
      </c>
    </row>
    <row r="116" spans="1:41">
      <c r="I116" t="s">
        <v>178</v>
      </c>
      <c r="J116">
        <f>IFERROR(VLOOKUP("925-076888-100",B:AB,1+8,0),0)</f>
        <v>0</v>
      </c>
      <c r="K116">
        <f>IFERROR(VLOOKUP("925-076888-100",B:AB,2+8,0),0)</f>
        <v>0</v>
      </c>
      <c r="L116">
        <f>IFERROR(VLOOKUP("925-076888-100",B:AB,3+8,0),0)</f>
        <v>0</v>
      </c>
      <c r="M116">
        <f>IFERROR(VLOOKUP("925-076888-100",B:AB,4+8,0),0)</f>
        <v>0</v>
      </c>
      <c r="N116">
        <f>IFERROR(VLOOKUP("925-076888-100",B:AB,5+8,0),0)</f>
        <v>0</v>
      </c>
      <c r="O116">
        <f>IFERROR(VLOOKUP("925-076888-100",B:AB,6+8,0),0)</f>
        <v>0</v>
      </c>
      <c r="P116">
        <f>IFERROR(VLOOKUP("925-076888-100",B:AB,7+8,0),0)</f>
        <v>0</v>
      </c>
      <c r="Q116">
        <f>IFERROR(VLOOKUP("925-076888-100",B:AB,8+8,0),0)</f>
        <v>0</v>
      </c>
      <c r="R116">
        <f>IFERROR(VLOOKUP("925-076888-100",B:AB,9+8,0),0)</f>
        <v>0</v>
      </c>
      <c r="S116">
        <f>IFERROR(VLOOKUP("925-076888-100",B:AB,10+8,0),0)</f>
        <v>0</v>
      </c>
      <c r="T116">
        <f>IFERROR(VLOOKUP("925-076888-100",B:AB,11+8,0),0)</f>
        <v>0</v>
      </c>
      <c r="U116">
        <f>IFERROR(VLOOKUP("925-076888-100",B:AB,12+8,0),0)</f>
        <v>0</v>
      </c>
      <c r="V116">
        <f>IFERROR(VLOOKUP("925-076888-100",B:AB,13+8,0),0)</f>
        <v>0</v>
      </c>
      <c r="W116">
        <f>IFERROR(VLOOKUP("925-076888-100",B:AB,14+8,0),0)</f>
        <v>0</v>
      </c>
      <c r="X116">
        <f>IFERROR(VLOOKUP("925-076888-100",B:AB,15+8,0),0)</f>
        <v>0</v>
      </c>
      <c r="Y116">
        <f>IFERROR(VLOOKUP("925-076888-100",B:AB,16+8,0),0)</f>
        <v>0</v>
      </c>
      <c r="Z116">
        <f>IFERROR(VLOOKUP("925-076888-100",B:AB,17+8,0),0)</f>
        <v>0</v>
      </c>
      <c r="AA116">
        <f>IFERROR(VLOOKUP("925-076888-100",B:AB,18+8,0),0)</f>
        <v>0</v>
      </c>
      <c r="AB116">
        <f>IFERROR(VLOOKUP("925-076888-100",B:AB,19+8,0),0)</f>
        <v>0</v>
      </c>
      <c r="AC116">
        <f>IFERROR(VLOOKUP("925-076888-100",B:AB,20+8,0),0)</f>
        <v>0</v>
      </c>
      <c r="AD116">
        <f>IFERROR(VLOOKUP("925-076888-100",B:AB,21+8,0),0)</f>
        <v>0</v>
      </c>
      <c r="AE116">
        <f>IFERROR(VLOOKUP("925-076888-100",B:AB,22+8,0),0)</f>
        <v>0</v>
      </c>
      <c r="AF116">
        <f>IFERROR(VLOOKUP("925-076888-100",B:AB,23+8,0),0)</f>
        <v>0</v>
      </c>
      <c r="AG116">
        <f>IFERROR(VLOOKUP("925-076888-100",B:AB,24+8,0),0)</f>
        <v>0</v>
      </c>
      <c r="AH116">
        <f>IFERROR(VLOOKUP("925-076888-100",B:AB,25+8,0),0)</f>
        <v>0</v>
      </c>
      <c r="AI116">
        <f>IFERROR(VLOOKUP("925-076888-100",B:AB,26+8,0),0)</f>
        <v>0</v>
      </c>
      <c r="AJ116">
        <f>IFERROR(VLOOKUP("925-076888-100",B:AB,27+8,0),0)</f>
        <v>0</v>
      </c>
      <c r="AK116">
        <f>IFERROR(VLOOKUP("925-076888-100",B:AB,28+8,0),0)</f>
        <v>0</v>
      </c>
      <c r="AL116">
        <f>IFERROR(VLOOKUP("925-076888-100",B:AB,29+8,0),0)</f>
        <v>0</v>
      </c>
      <c r="AM116">
        <f>IFERROR(VLOOKUP("925-076888-100",B:AB,30+8,0),0)</f>
        <v>0</v>
      </c>
      <c r="AN116">
        <f>IFERROR(VLOOKUP("925-076888-100",B:AB,31+8,0),0)</f>
        <v>0</v>
      </c>
      <c r="AO116">
        <f>SUN(INDIRECT(ADDRESS(115,8)):INDIRECT(ADDRESS(115,39)))</f>
        <v>0</v>
      </c>
    </row>
    <row r="117" spans="1:41">
      <c r="H117" t="s">
        <v>179</v>
      </c>
      <c r="J117">
        <f>INDIRECT(ADDRESS(117,9))+INDIRECT(ADDRESS(115,10))-INDIRECT(ADDRESS(116,10))</f>
        <v>0</v>
      </c>
      <c r="K117">
        <f>INDIRECT(ADDRESS(117,10))+INDIRECT(ADDRESS(115,11))-INDIRECT(ADDRESS(116,11))</f>
        <v>0</v>
      </c>
      <c r="L117">
        <f>INDIRECT(ADDRESS(117,11))+INDIRECT(ADDRESS(115,12))-INDIRECT(ADDRESS(116,12))</f>
        <v>0</v>
      </c>
      <c r="M117">
        <f>INDIRECT(ADDRESS(117,12))+INDIRECT(ADDRESS(115,13))-INDIRECT(ADDRESS(116,13))</f>
        <v>0</v>
      </c>
      <c r="N117">
        <f>INDIRECT(ADDRESS(117,13))+INDIRECT(ADDRESS(115,14))-INDIRECT(ADDRESS(116,14))</f>
        <v>0</v>
      </c>
      <c r="O117">
        <f>INDIRECT(ADDRESS(117,14))+INDIRECT(ADDRESS(115,15))-INDIRECT(ADDRESS(116,15))</f>
        <v>0</v>
      </c>
      <c r="P117">
        <f>INDIRECT(ADDRESS(117,15))+INDIRECT(ADDRESS(115,16))-INDIRECT(ADDRESS(116,16))</f>
        <v>0</v>
      </c>
      <c r="Q117">
        <f>INDIRECT(ADDRESS(117,16))+INDIRECT(ADDRESS(115,17))-INDIRECT(ADDRESS(116,17))</f>
        <v>0</v>
      </c>
      <c r="R117">
        <f>INDIRECT(ADDRESS(117,17))+INDIRECT(ADDRESS(115,18))-INDIRECT(ADDRESS(116,18))</f>
        <v>0</v>
      </c>
      <c r="S117">
        <f>INDIRECT(ADDRESS(117,18))+INDIRECT(ADDRESS(115,19))-INDIRECT(ADDRESS(116,19))</f>
        <v>0</v>
      </c>
      <c r="T117">
        <f>INDIRECT(ADDRESS(117,19))+INDIRECT(ADDRESS(115,20))-INDIRECT(ADDRESS(116,20))</f>
        <v>0</v>
      </c>
      <c r="U117">
        <f>INDIRECT(ADDRESS(117,20))+INDIRECT(ADDRESS(115,21))-INDIRECT(ADDRESS(116,21))</f>
        <v>0</v>
      </c>
      <c r="V117">
        <f>INDIRECT(ADDRESS(117,21))+INDIRECT(ADDRESS(115,22))-INDIRECT(ADDRESS(116,22))</f>
        <v>0</v>
      </c>
      <c r="W117">
        <f>INDIRECT(ADDRESS(117,22))+INDIRECT(ADDRESS(115,23))-INDIRECT(ADDRESS(116,23))</f>
        <v>0</v>
      </c>
      <c r="X117">
        <f>INDIRECT(ADDRESS(117,23))+INDIRECT(ADDRESS(115,24))-INDIRECT(ADDRESS(116,24))</f>
        <v>0</v>
      </c>
      <c r="Y117">
        <f>INDIRECT(ADDRESS(117,24))+INDIRECT(ADDRESS(115,25))-INDIRECT(ADDRESS(116,25))</f>
        <v>0</v>
      </c>
      <c r="Z117">
        <f>INDIRECT(ADDRESS(117,25))+INDIRECT(ADDRESS(115,26))-INDIRECT(ADDRESS(116,26))</f>
        <v>0</v>
      </c>
      <c r="AA117">
        <f>INDIRECT(ADDRESS(117,26))+INDIRECT(ADDRESS(115,27))-INDIRECT(ADDRESS(116,27))</f>
        <v>0</v>
      </c>
      <c r="AB117">
        <f>INDIRECT(ADDRESS(117,27))+INDIRECT(ADDRESS(115,28))-INDIRECT(ADDRESS(116,28))</f>
        <v>0</v>
      </c>
      <c r="AC117">
        <f>INDIRECT(ADDRESS(117,28))+INDIRECT(ADDRESS(115,29))-INDIRECT(ADDRESS(116,29))</f>
        <v>0</v>
      </c>
      <c r="AD117">
        <f>INDIRECT(ADDRESS(117,29))+INDIRECT(ADDRESS(115,30))-INDIRECT(ADDRESS(116,30))</f>
        <v>0</v>
      </c>
      <c r="AE117">
        <f>INDIRECT(ADDRESS(117,30))+INDIRECT(ADDRESS(115,31))-INDIRECT(ADDRESS(116,31))</f>
        <v>0</v>
      </c>
      <c r="AF117">
        <f>INDIRECT(ADDRESS(117,31))+INDIRECT(ADDRESS(115,32))-INDIRECT(ADDRESS(116,32))</f>
        <v>0</v>
      </c>
      <c r="AG117">
        <f>INDIRECT(ADDRESS(117,32))+INDIRECT(ADDRESS(115,33))-INDIRECT(ADDRESS(116,33))</f>
        <v>0</v>
      </c>
      <c r="AH117">
        <f>INDIRECT(ADDRESS(117,33))+INDIRECT(ADDRESS(115,34))-INDIRECT(ADDRESS(116,34))</f>
        <v>0</v>
      </c>
      <c r="AI117">
        <f>INDIRECT(ADDRESS(117,34))+INDIRECT(ADDRESS(115,35))-INDIRECT(ADDRESS(116,35))</f>
        <v>0</v>
      </c>
      <c r="AJ117">
        <f>INDIRECT(ADDRESS(117,35))+INDIRECT(ADDRESS(115,36))-INDIRECT(ADDRESS(116,36))</f>
        <v>0</v>
      </c>
      <c r="AK117">
        <f>INDIRECT(ADDRESS(117,36))+INDIRECT(ADDRESS(115,37))-INDIRECT(ADDRESS(116,37))</f>
        <v>0</v>
      </c>
      <c r="AL117">
        <f>INDIRECT(ADDRESS(117,37))+INDIRECT(ADDRESS(115,38))-INDIRECT(ADDRESS(116,38))</f>
        <v>0</v>
      </c>
      <c r="AM117">
        <f>INDIRECT(ADDRESS(117,38))+INDIRECT(ADDRESS(115,39))-INDIRECT(ADDRESS(116,39))</f>
        <v>0</v>
      </c>
      <c r="AN117">
        <f>INDIRECT(ADDRESS(117,39))+INDIRECT(ADDRESS(115,40))-INDIRECT(ADDRESS(116,40))</f>
        <v>0</v>
      </c>
      <c r="AO117">
        <f>SUM(INDIRECT(ADDRESS(116,8)):INDIRECT(ADDRESS(116,39)))</f>
        <v>0</v>
      </c>
    </row>
    <row r="118" spans="1:41">
      <c r="A118" t="s">
        <v>180</v>
      </c>
      <c r="B118" t="s">
        <v>230</v>
      </c>
      <c r="C118" t="s">
        <v>231</v>
      </c>
      <c r="E118">
        <v>1</v>
      </c>
      <c r="F118" t="s">
        <v>11</v>
      </c>
      <c r="I118" t="s">
        <v>177</v>
      </c>
    </row>
    <row r="119" spans="1:41">
      <c r="I119" t="s">
        <v>178</v>
      </c>
      <c r="J119">
        <f>IFERROR(VLOOKUP("925-076888-100",B:AB,1+8,0),0)</f>
        <v>0</v>
      </c>
      <c r="K119">
        <f>IFERROR(VLOOKUP("925-076888-100",B:AB,2+8,0),0)</f>
        <v>0</v>
      </c>
      <c r="L119">
        <f>IFERROR(VLOOKUP("925-076888-100",B:AB,3+8,0),0)</f>
        <v>0</v>
      </c>
      <c r="M119">
        <f>IFERROR(VLOOKUP("925-076888-100",B:AB,4+8,0),0)</f>
        <v>0</v>
      </c>
      <c r="N119">
        <f>IFERROR(VLOOKUP("925-076888-100",B:AB,5+8,0),0)</f>
        <v>0</v>
      </c>
      <c r="O119">
        <f>IFERROR(VLOOKUP("925-076888-100",B:AB,6+8,0),0)</f>
        <v>0</v>
      </c>
      <c r="P119">
        <f>IFERROR(VLOOKUP("925-076888-100",B:AB,7+8,0),0)</f>
        <v>0</v>
      </c>
      <c r="Q119">
        <f>IFERROR(VLOOKUP("925-076888-100",B:AB,8+8,0),0)</f>
        <v>0</v>
      </c>
      <c r="R119">
        <f>IFERROR(VLOOKUP("925-076888-100",B:AB,9+8,0),0)</f>
        <v>0</v>
      </c>
      <c r="S119">
        <f>IFERROR(VLOOKUP("925-076888-100",B:AB,10+8,0),0)</f>
        <v>0</v>
      </c>
      <c r="T119">
        <f>IFERROR(VLOOKUP("925-076888-100",B:AB,11+8,0),0)</f>
        <v>0</v>
      </c>
      <c r="U119">
        <f>IFERROR(VLOOKUP("925-076888-100",B:AB,12+8,0),0)</f>
        <v>0</v>
      </c>
      <c r="V119">
        <f>IFERROR(VLOOKUP("925-076888-100",B:AB,13+8,0),0)</f>
        <v>0</v>
      </c>
      <c r="W119">
        <f>IFERROR(VLOOKUP("925-076888-100",B:AB,14+8,0),0)</f>
        <v>0</v>
      </c>
      <c r="X119">
        <f>IFERROR(VLOOKUP("925-076888-100",B:AB,15+8,0),0)</f>
        <v>0</v>
      </c>
      <c r="Y119">
        <f>IFERROR(VLOOKUP("925-076888-100",B:AB,16+8,0),0)</f>
        <v>0</v>
      </c>
      <c r="Z119">
        <f>IFERROR(VLOOKUP("925-076888-100",B:AB,17+8,0),0)</f>
        <v>0</v>
      </c>
      <c r="AA119">
        <f>IFERROR(VLOOKUP("925-076888-100",B:AB,18+8,0),0)</f>
        <v>0</v>
      </c>
      <c r="AB119">
        <f>IFERROR(VLOOKUP("925-076888-100",B:AB,19+8,0),0)</f>
        <v>0</v>
      </c>
      <c r="AC119">
        <f>IFERROR(VLOOKUP("925-076888-100",B:AB,20+8,0),0)</f>
        <v>0</v>
      </c>
      <c r="AD119">
        <f>IFERROR(VLOOKUP("925-076888-100",B:AB,21+8,0),0)</f>
        <v>0</v>
      </c>
      <c r="AE119">
        <f>IFERROR(VLOOKUP("925-076888-100",B:AB,22+8,0),0)</f>
        <v>0</v>
      </c>
      <c r="AF119">
        <f>IFERROR(VLOOKUP("925-076888-100",B:AB,23+8,0),0)</f>
        <v>0</v>
      </c>
      <c r="AG119">
        <f>IFERROR(VLOOKUP("925-076888-100",B:AB,24+8,0),0)</f>
        <v>0</v>
      </c>
      <c r="AH119">
        <f>IFERROR(VLOOKUP("925-076888-100",B:AB,25+8,0),0)</f>
        <v>0</v>
      </c>
      <c r="AI119">
        <f>IFERROR(VLOOKUP("925-076888-100",B:AB,26+8,0),0)</f>
        <v>0</v>
      </c>
      <c r="AJ119">
        <f>IFERROR(VLOOKUP("925-076888-100",B:AB,27+8,0),0)</f>
        <v>0</v>
      </c>
      <c r="AK119">
        <f>IFERROR(VLOOKUP("925-076888-100",B:AB,28+8,0),0)</f>
        <v>0</v>
      </c>
      <c r="AL119">
        <f>IFERROR(VLOOKUP("925-076888-100",B:AB,29+8,0),0)</f>
        <v>0</v>
      </c>
      <c r="AM119">
        <f>IFERROR(VLOOKUP("925-076888-100",B:AB,30+8,0),0)</f>
        <v>0</v>
      </c>
      <c r="AN119">
        <f>IFERROR(VLOOKUP("925-076888-100",B:AB,31+8,0),0)</f>
        <v>0</v>
      </c>
      <c r="AO119">
        <f>SUN(INDIRECT(ADDRESS(118,8)):INDIRECT(ADDRESS(118,39)))</f>
        <v>0</v>
      </c>
    </row>
    <row r="120" spans="1:41">
      <c r="H120" t="s">
        <v>179</v>
      </c>
      <c r="J120">
        <f>INDIRECT(ADDRESS(120,9))+INDIRECT(ADDRESS(118,10))-INDIRECT(ADDRESS(119,10))</f>
        <v>0</v>
      </c>
      <c r="K120">
        <f>INDIRECT(ADDRESS(120,10))+INDIRECT(ADDRESS(118,11))-INDIRECT(ADDRESS(119,11))</f>
        <v>0</v>
      </c>
      <c r="L120">
        <f>INDIRECT(ADDRESS(120,11))+INDIRECT(ADDRESS(118,12))-INDIRECT(ADDRESS(119,12))</f>
        <v>0</v>
      </c>
      <c r="M120">
        <f>INDIRECT(ADDRESS(120,12))+INDIRECT(ADDRESS(118,13))-INDIRECT(ADDRESS(119,13))</f>
        <v>0</v>
      </c>
      <c r="N120">
        <f>INDIRECT(ADDRESS(120,13))+INDIRECT(ADDRESS(118,14))-INDIRECT(ADDRESS(119,14))</f>
        <v>0</v>
      </c>
      <c r="O120">
        <f>INDIRECT(ADDRESS(120,14))+INDIRECT(ADDRESS(118,15))-INDIRECT(ADDRESS(119,15))</f>
        <v>0</v>
      </c>
      <c r="P120">
        <f>INDIRECT(ADDRESS(120,15))+INDIRECT(ADDRESS(118,16))-INDIRECT(ADDRESS(119,16))</f>
        <v>0</v>
      </c>
      <c r="Q120">
        <f>INDIRECT(ADDRESS(120,16))+INDIRECT(ADDRESS(118,17))-INDIRECT(ADDRESS(119,17))</f>
        <v>0</v>
      </c>
      <c r="R120">
        <f>INDIRECT(ADDRESS(120,17))+INDIRECT(ADDRESS(118,18))-INDIRECT(ADDRESS(119,18))</f>
        <v>0</v>
      </c>
      <c r="S120">
        <f>INDIRECT(ADDRESS(120,18))+INDIRECT(ADDRESS(118,19))-INDIRECT(ADDRESS(119,19))</f>
        <v>0</v>
      </c>
      <c r="T120">
        <f>INDIRECT(ADDRESS(120,19))+INDIRECT(ADDRESS(118,20))-INDIRECT(ADDRESS(119,20))</f>
        <v>0</v>
      </c>
      <c r="U120">
        <f>INDIRECT(ADDRESS(120,20))+INDIRECT(ADDRESS(118,21))-INDIRECT(ADDRESS(119,21))</f>
        <v>0</v>
      </c>
      <c r="V120">
        <f>INDIRECT(ADDRESS(120,21))+INDIRECT(ADDRESS(118,22))-INDIRECT(ADDRESS(119,22))</f>
        <v>0</v>
      </c>
      <c r="W120">
        <f>INDIRECT(ADDRESS(120,22))+INDIRECT(ADDRESS(118,23))-INDIRECT(ADDRESS(119,23))</f>
        <v>0</v>
      </c>
      <c r="X120">
        <f>INDIRECT(ADDRESS(120,23))+INDIRECT(ADDRESS(118,24))-INDIRECT(ADDRESS(119,24))</f>
        <v>0</v>
      </c>
      <c r="Y120">
        <f>INDIRECT(ADDRESS(120,24))+INDIRECT(ADDRESS(118,25))-INDIRECT(ADDRESS(119,25))</f>
        <v>0</v>
      </c>
      <c r="Z120">
        <f>INDIRECT(ADDRESS(120,25))+INDIRECT(ADDRESS(118,26))-INDIRECT(ADDRESS(119,26))</f>
        <v>0</v>
      </c>
      <c r="AA120">
        <f>INDIRECT(ADDRESS(120,26))+INDIRECT(ADDRESS(118,27))-INDIRECT(ADDRESS(119,27))</f>
        <v>0</v>
      </c>
      <c r="AB120">
        <f>INDIRECT(ADDRESS(120,27))+INDIRECT(ADDRESS(118,28))-INDIRECT(ADDRESS(119,28))</f>
        <v>0</v>
      </c>
      <c r="AC120">
        <f>INDIRECT(ADDRESS(120,28))+INDIRECT(ADDRESS(118,29))-INDIRECT(ADDRESS(119,29))</f>
        <v>0</v>
      </c>
      <c r="AD120">
        <f>INDIRECT(ADDRESS(120,29))+INDIRECT(ADDRESS(118,30))-INDIRECT(ADDRESS(119,30))</f>
        <v>0</v>
      </c>
      <c r="AE120">
        <f>INDIRECT(ADDRESS(120,30))+INDIRECT(ADDRESS(118,31))-INDIRECT(ADDRESS(119,31))</f>
        <v>0</v>
      </c>
      <c r="AF120">
        <f>INDIRECT(ADDRESS(120,31))+INDIRECT(ADDRESS(118,32))-INDIRECT(ADDRESS(119,32))</f>
        <v>0</v>
      </c>
      <c r="AG120">
        <f>INDIRECT(ADDRESS(120,32))+INDIRECT(ADDRESS(118,33))-INDIRECT(ADDRESS(119,33))</f>
        <v>0</v>
      </c>
      <c r="AH120">
        <f>INDIRECT(ADDRESS(120,33))+INDIRECT(ADDRESS(118,34))-INDIRECT(ADDRESS(119,34))</f>
        <v>0</v>
      </c>
      <c r="AI120">
        <f>INDIRECT(ADDRESS(120,34))+INDIRECT(ADDRESS(118,35))-INDIRECT(ADDRESS(119,35))</f>
        <v>0</v>
      </c>
      <c r="AJ120">
        <f>INDIRECT(ADDRESS(120,35))+INDIRECT(ADDRESS(118,36))-INDIRECT(ADDRESS(119,36))</f>
        <v>0</v>
      </c>
      <c r="AK120">
        <f>INDIRECT(ADDRESS(120,36))+INDIRECT(ADDRESS(118,37))-INDIRECT(ADDRESS(119,37))</f>
        <v>0</v>
      </c>
      <c r="AL120">
        <f>INDIRECT(ADDRESS(120,37))+INDIRECT(ADDRESS(118,38))-INDIRECT(ADDRESS(119,38))</f>
        <v>0</v>
      </c>
      <c r="AM120">
        <f>INDIRECT(ADDRESS(120,38))+INDIRECT(ADDRESS(118,39))-INDIRECT(ADDRESS(119,39))</f>
        <v>0</v>
      </c>
      <c r="AN120">
        <f>INDIRECT(ADDRESS(120,39))+INDIRECT(ADDRESS(118,40))-INDIRECT(ADDRESS(119,40))</f>
        <v>0</v>
      </c>
      <c r="AO120">
        <f>SUM(INDIRECT(ADDRESS(119,8)):INDIRECT(ADDRESS(119,39)))</f>
        <v>0</v>
      </c>
    </row>
    <row r="121" spans="1:41">
      <c r="A121" t="s">
        <v>180</v>
      </c>
      <c r="B121" t="s">
        <v>232</v>
      </c>
      <c r="C121" t="s">
        <v>233</v>
      </c>
      <c r="E121">
        <v>1</v>
      </c>
      <c r="F121" t="s">
        <v>11</v>
      </c>
      <c r="I121" t="s">
        <v>177</v>
      </c>
    </row>
    <row r="122" spans="1:41">
      <c r="I122" t="s">
        <v>178</v>
      </c>
      <c r="J122">
        <f>IFERROR(VLOOKUP("925-076888-100",B:AB,1+8,0),0)</f>
        <v>0</v>
      </c>
      <c r="K122">
        <f>IFERROR(VLOOKUP("925-076888-100",B:AB,2+8,0),0)</f>
        <v>0</v>
      </c>
      <c r="L122">
        <f>IFERROR(VLOOKUP("925-076888-100",B:AB,3+8,0),0)</f>
        <v>0</v>
      </c>
      <c r="M122">
        <f>IFERROR(VLOOKUP("925-076888-100",B:AB,4+8,0),0)</f>
        <v>0</v>
      </c>
      <c r="N122">
        <f>IFERROR(VLOOKUP("925-076888-100",B:AB,5+8,0),0)</f>
        <v>0</v>
      </c>
      <c r="O122">
        <f>IFERROR(VLOOKUP("925-076888-100",B:AB,6+8,0),0)</f>
        <v>0</v>
      </c>
      <c r="P122">
        <f>IFERROR(VLOOKUP("925-076888-100",B:AB,7+8,0),0)</f>
        <v>0</v>
      </c>
      <c r="Q122">
        <f>IFERROR(VLOOKUP("925-076888-100",B:AB,8+8,0),0)</f>
        <v>0</v>
      </c>
      <c r="R122">
        <f>IFERROR(VLOOKUP("925-076888-100",B:AB,9+8,0),0)</f>
        <v>0</v>
      </c>
      <c r="S122">
        <f>IFERROR(VLOOKUP("925-076888-100",B:AB,10+8,0),0)</f>
        <v>0</v>
      </c>
      <c r="T122">
        <f>IFERROR(VLOOKUP("925-076888-100",B:AB,11+8,0),0)</f>
        <v>0</v>
      </c>
      <c r="U122">
        <f>IFERROR(VLOOKUP("925-076888-100",B:AB,12+8,0),0)</f>
        <v>0</v>
      </c>
      <c r="V122">
        <f>IFERROR(VLOOKUP("925-076888-100",B:AB,13+8,0),0)</f>
        <v>0</v>
      </c>
      <c r="W122">
        <f>IFERROR(VLOOKUP("925-076888-100",B:AB,14+8,0),0)</f>
        <v>0</v>
      </c>
      <c r="X122">
        <f>IFERROR(VLOOKUP("925-076888-100",B:AB,15+8,0),0)</f>
        <v>0</v>
      </c>
      <c r="Y122">
        <f>IFERROR(VLOOKUP("925-076888-100",B:AB,16+8,0),0)</f>
        <v>0</v>
      </c>
      <c r="Z122">
        <f>IFERROR(VLOOKUP("925-076888-100",B:AB,17+8,0),0)</f>
        <v>0</v>
      </c>
      <c r="AA122">
        <f>IFERROR(VLOOKUP("925-076888-100",B:AB,18+8,0),0)</f>
        <v>0</v>
      </c>
      <c r="AB122">
        <f>IFERROR(VLOOKUP("925-076888-100",B:AB,19+8,0),0)</f>
        <v>0</v>
      </c>
      <c r="AC122">
        <f>IFERROR(VLOOKUP("925-076888-100",B:AB,20+8,0),0)</f>
        <v>0</v>
      </c>
      <c r="AD122">
        <f>IFERROR(VLOOKUP("925-076888-100",B:AB,21+8,0),0)</f>
        <v>0</v>
      </c>
      <c r="AE122">
        <f>IFERROR(VLOOKUP("925-076888-100",B:AB,22+8,0),0)</f>
        <v>0</v>
      </c>
      <c r="AF122">
        <f>IFERROR(VLOOKUP("925-076888-100",B:AB,23+8,0),0)</f>
        <v>0</v>
      </c>
      <c r="AG122">
        <f>IFERROR(VLOOKUP("925-076888-100",B:AB,24+8,0),0)</f>
        <v>0</v>
      </c>
      <c r="AH122">
        <f>IFERROR(VLOOKUP("925-076888-100",B:AB,25+8,0),0)</f>
        <v>0</v>
      </c>
      <c r="AI122">
        <f>IFERROR(VLOOKUP("925-076888-100",B:AB,26+8,0),0)</f>
        <v>0</v>
      </c>
      <c r="AJ122">
        <f>IFERROR(VLOOKUP("925-076888-100",B:AB,27+8,0),0)</f>
        <v>0</v>
      </c>
      <c r="AK122">
        <f>IFERROR(VLOOKUP("925-076888-100",B:AB,28+8,0),0)</f>
        <v>0</v>
      </c>
      <c r="AL122">
        <f>IFERROR(VLOOKUP("925-076888-100",B:AB,29+8,0),0)</f>
        <v>0</v>
      </c>
      <c r="AM122">
        <f>IFERROR(VLOOKUP("925-076888-100",B:AB,30+8,0),0)</f>
        <v>0</v>
      </c>
      <c r="AN122">
        <f>IFERROR(VLOOKUP("925-076888-100",B:AB,31+8,0),0)</f>
        <v>0</v>
      </c>
      <c r="AO122">
        <f>SUN(INDIRECT(ADDRESS(121,8)):INDIRECT(ADDRESS(121,39)))</f>
        <v>0</v>
      </c>
    </row>
    <row r="123" spans="1:41">
      <c r="H123" t="s">
        <v>179</v>
      </c>
      <c r="J123">
        <f>INDIRECT(ADDRESS(123,9))+INDIRECT(ADDRESS(121,10))-INDIRECT(ADDRESS(122,10))</f>
        <v>0</v>
      </c>
      <c r="K123">
        <f>INDIRECT(ADDRESS(123,10))+INDIRECT(ADDRESS(121,11))-INDIRECT(ADDRESS(122,11))</f>
        <v>0</v>
      </c>
      <c r="L123">
        <f>INDIRECT(ADDRESS(123,11))+INDIRECT(ADDRESS(121,12))-INDIRECT(ADDRESS(122,12))</f>
        <v>0</v>
      </c>
      <c r="M123">
        <f>INDIRECT(ADDRESS(123,12))+INDIRECT(ADDRESS(121,13))-INDIRECT(ADDRESS(122,13))</f>
        <v>0</v>
      </c>
      <c r="N123">
        <f>INDIRECT(ADDRESS(123,13))+INDIRECT(ADDRESS(121,14))-INDIRECT(ADDRESS(122,14))</f>
        <v>0</v>
      </c>
      <c r="O123">
        <f>INDIRECT(ADDRESS(123,14))+INDIRECT(ADDRESS(121,15))-INDIRECT(ADDRESS(122,15))</f>
        <v>0</v>
      </c>
      <c r="P123">
        <f>INDIRECT(ADDRESS(123,15))+INDIRECT(ADDRESS(121,16))-INDIRECT(ADDRESS(122,16))</f>
        <v>0</v>
      </c>
      <c r="Q123">
        <f>INDIRECT(ADDRESS(123,16))+INDIRECT(ADDRESS(121,17))-INDIRECT(ADDRESS(122,17))</f>
        <v>0</v>
      </c>
      <c r="R123">
        <f>INDIRECT(ADDRESS(123,17))+INDIRECT(ADDRESS(121,18))-INDIRECT(ADDRESS(122,18))</f>
        <v>0</v>
      </c>
      <c r="S123">
        <f>INDIRECT(ADDRESS(123,18))+INDIRECT(ADDRESS(121,19))-INDIRECT(ADDRESS(122,19))</f>
        <v>0</v>
      </c>
      <c r="T123">
        <f>INDIRECT(ADDRESS(123,19))+INDIRECT(ADDRESS(121,20))-INDIRECT(ADDRESS(122,20))</f>
        <v>0</v>
      </c>
      <c r="U123">
        <f>INDIRECT(ADDRESS(123,20))+INDIRECT(ADDRESS(121,21))-INDIRECT(ADDRESS(122,21))</f>
        <v>0</v>
      </c>
      <c r="V123">
        <f>INDIRECT(ADDRESS(123,21))+INDIRECT(ADDRESS(121,22))-INDIRECT(ADDRESS(122,22))</f>
        <v>0</v>
      </c>
      <c r="W123">
        <f>INDIRECT(ADDRESS(123,22))+INDIRECT(ADDRESS(121,23))-INDIRECT(ADDRESS(122,23))</f>
        <v>0</v>
      </c>
      <c r="X123">
        <f>INDIRECT(ADDRESS(123,23))+INDIRECT(ADDRESS(121,24))-INDIRECT(ADDRESS(122,24))</f>
        <v>0</v>
      </c>
      <c r="Y123">
        <f>INDIRECT(ADDRESS(123,24))+INDIRECT(ADDRESS(121,25))-INDIRECT(ADDRESS(122,25))</f>
        <v>0</v>
      </c>
      <c r="Z123">
        <f>INDIRECT(ADDRESS(123,25))+INDIRECT(ADDRESS(121,26))-INDIRECT(ADDRESS(122,26))</f>
        <v>0</v>
      </c>
      <c r="AA123">
        <f>INDIRECT(ADDRESS(123,26))+INDIRECT(ADDRESS(121,27))-INDIRECT(ADDRESS(122,27))</f>
        <v>0</v>
      </c>
      <c r="AB123">
        <f>INDIRECT(ADDRESS(123,27))+INDIRECT(ADDRESS(121,28))-INDIRECT(ADDRESS(122,28))</f>
        <v>0</v>
      </c>
      <c r="AC123">
        <f>INDIRECT(ADDRESS(123,28))+INDIRECT(ADDRESS(121,29))-INDIRECT(ADDRESS(122,29))</f>
        <v>0</v>
      </c>
      <c r="AD123">
        <f>INDIRECT(ADDRESS(123,29))+INDIRECT(ADDRESS(121,30))-INDIRECT(ADDRESS(122,30))</f>
        <v>0</v>
      </c>
      <c r="AE123">
        <f>INDIRECT(ADDRESS(123,30))+INDIRECT(ADDRESS(121,31))-INDIRECT(ADDRESS(122,31))</f>
        <v>0</v>
      </c>
      <c r="AF123">
        <f>INDIRECT(ADDRESS(123,31))+INDIRECT(ADDRESS(121,32))-INDIRECT(ADDRESS(122,32))</f>
        <v>0</v>
      </c>
      <c r="AG123">
        <f>INDIRECT(ADDRESS(123,32))+INDIRECT(ADDRESS(121,33))-INDIRECT(ADDRESS(122,33))</f>
        <v>0</v>
      </c>
      <c r="AH123">
        <f>INDIRECT(ADDRESS(123,33))+INDIRECT(ADDRESS(121,34))-INDIRECT(ADDRESS(122,34))</f>
        <v>0</v>
      </c>
      <c r="AI123">
        <f>INDIRECT(ADDRESS(123,34))+INDIRECT(ADDRESS(121,35))-INDIRECT(ADDRESS(122,35))</f>
        <v>0</v>
      </c>
      <c r="AJ123">
        <f>INDIRECT(ADDRESS(123,35))+INDIRECT(ADDRESS(121,36))-INDIRECT(ADDRESS(122,36))</f>
        <v>0</v>
      </c>
      <c r="AK123">
        <f>INDIRECT(ADDRESS(123,36))+INDIRECT(ADDRESS(121,37))-INDIRECT(ADDRESS(122,37))</f>
        <v>0</v>
      </c>
      <c r="AL123">
        <f>INDIRECT(ADDRESS(123,37))+INDIRECT(ADDRESS(121,38))-INDIRECT(ADDRESS(122,38))</f>
        <v>0</v>
      </c>
      <c r="AM123">
        <f>INDIRECT(ADDRESS(123,38))+INDIRECT(ADDRESS(121,39))-INDIRECT(ADDRESS(122,39))</f>
        <v>0</v>
      </c>
      <c r="AN123">
        <f>INDIRECT(ADDRESS(123,39))+INDIRECT(ADDRESS(121,40))-INDIRECT(ADDRESS(122,40))</f>
        <v>0</v>
      </c>
      <c r="AO123">
        <f>SUM(INDIRECT(ADDRESS(122,8)):INDIRECT(ADDRESS(122,39)))</f>
        <v>0</v>
      </c>
    </row>
    <row r="124" spans="1:41">
      <c r="A124" t="s">
        <v>185</v>
      </c>
      <c r="B124" t="s">
        <v>234</v>
      </c>
      <c r="C124" t="s">
        <v>235</v>
      </c>
      <c r="E124">
        <v>4</v>
      </c>
      <c r="F124" t="s">
        <v>11</v>
      </c>
      <c r="I124" t="s">
        <v>177</v>
      </c>
    </row>
    <row r="125" spans="1:41">
      <c r="I125" t="s">
        <v>178</v>
      </c>
      <c r="J125">
        <f>IFERROR(VLOOKUP("925-076888-100",B:AB,1+8,0),0)</f>
        <v>0</v>
      </c>
      <c r="K125">
        <f>IFERROR(VLOOKUP("925-076888-100",B:AB,2+8,0),0)</f>
        <v>0</v>
      </c>
      <c r="L125">
        <f>IFERROR(VLOOKUP("925-076888-100",B:AB,3+8,0),0)</f>
        <v>0</v>
      </c>
      <c r="M125">
        <f>IFERROR(VLOOKUP("925-076888-100",B:AB,4+8,0),0)</f>
        <v>0</v>
      </c>
      <c r="N125">
        <f>IFERROR(VLOOKUP("925-076888-100",B:AB,5+8,0),0)</f>
        <v>0</v>
      </c>
      <c r="O125">
        <f>IFERROR(VLOOKUP("925-076888-100",B:AB,6+8,0),0)</f>
        <v>0</v>
      </c>
      <c r="P125">
        <f>IFERROR(VLOOKUP("925-076888-100",B:AB,7+8,0),0)</f>
        <v>0</v>
      </c>
      <c r="Q125">
        <f>IFERROR(VLOOKUP("925-076888-100",B:AB,8+8,0),0)</f>
        <v>0</v>
      </c>
      <c r="R125">
        <f>IFERROR(VLOOKUP("925-076888-100",B:AB,9+8,0),0)</f>
        <v>0</v>
      </c>
      <c r="S125">
        <f>IFERROR(VLOOKUP("925-076888-100",B:AB,10+8,0),0)</f>
        <v>0</v>
      </c>
      <c r="T125">
        <f>IFERROR(VLOOKUP("925-076888-100",B:AB,11+8,0),0)</f>
        <v>0</v>
      </c>
      <c r="U125">
        <f>IFERROR(VLOOKUP("925-076888-100",B:AB,12+8,0),0)</f>
        <v>0</v>
      </c>
      <c r="V125">
        <f>IFERROR(VLOOKUP("925-076888-100",B:AB,13+8,0),0)</f>
        <v>0</v>
      </c>
      <c r="W125">
        <f>IFERROR(VLOOKUP("925-076888-100",B:AB,14+8,0),0)</f>
        <v>0</v>
      </c>
      <c r="X125">
        <f>IFERROR(VLOOKUP("925-076888-100",B:AB,15+8,0),0)</f>
        <v>0</v>
      </c>
      <c r="Y125">
        <f>IFERROR(VLOOKUP("925-076888-100",B:AB,16+8,0),0)</f>
        <v>0</v>
      </c>
      <c r="Z125">
        <f>IFERROR(VLOOKUP("925-076888-100",B:AB,17+8,0),0)</f>
        <v>0</v>
      </c>
      <c r="AA125">
        <f>IFERROR(VLOOKUP("925-076888-100",B:AB,18+8,0),0)</f>
        <v>0</v>
      </c>
      <c r="AB125">
        <f>IFERROR(VLOOKUP("925-076888-100",B:AB,19+8,0),0)</f>
        <v>0</v>
      </c>
      <c r="AC125">
        <f>IFERROR(VLOOKUP("925-076888-100",B:AB,20+8,0),0)</f>
        <v>0</v>
      </c>
      <c r="AD125">
        <f>IFERROR(VLOOKUP("925-076888-100",B:AB,21+8,0),0)</f>
        <v>0</v>
      </c>
      <c r="AE125">
        <f>IFERROR(VLOOKUP("925-076888-100",B:AB,22+8,0),0)</f>
        <v>0</v>
      </c>
      <c r="AF125">
        <f>IFERROR(VLOOKUP("925-076888-100",B:AB,23+8,0),0)</f>
        <v>0</v>
      </c>
      <c r="AG125">
        <f>IFERROR(VLOOKUP("925-076888-100",B:AB,24+8,0),0)</f>
        <v>0</v>
      </c>
      <c r="AH125">
        <f>IFERROR(VLOOKUP("925-076888-100",B:AB,25+8,0),0)</f>
        <v>0</v>
      </c>
      <c r="AI125">
        <f>IFERROR(VLOOKUP("925-076888-100",B:AB,26+8,0),0)</f>
        <v>0</v>
      </c>
      <c r="AJ125">
        <f>IFERROR(VLOOKUP("925-076888-100",B:AB,27+8,0),0)</f>
        <v>0</v>
      </c>
      <c r="AK125">
        <f>IFERROR(VLOOKUP("925-076888-100",B:AB,28+8,0),0)</f>
        <v>0</v>
      </c>
      <c r="AL125">
        <f>IFERROR(VLOOKUP("925-076888-100",B:AB,29+8,0),0)</f>
        <v>0</v>
      </c>
      <c r="AM125">
        <f>IFERROR(VLOOKUP("925-076888-100",B:AB,30+8,0),0)</f>
        <v>0</v>
      </c>
      <c r="AN125">
        <f>IFERROR(VLOOKUP("925-076888-100",B:AB,31+8,0),0)</f>
        <v>0</v>
      </c>
      <c r="AO125">
        <f>SUN(INDIRECT(ADDRESS(124,8)):INDIRECT(ADDRESS(124,39)))</f>
        <v>0</v>
      </c>
    </row>
    <row r="126" spans="1:41">
      <c r="H126" t="s">
        <v>179</v>
      </c>
      <c r="J126">
        <f>INDIRECT(ADDRESS(126,9))+INDIRECT(ADDRESS(124,10))-INDIRECT(ADDRESS(125,10))</f>
        <v>0</v>
      </c>
      <c r="K126">
        <f>INDIRECT(ADDRESS(126,10))+INDIRECT(ADDRESS(124,11))-INDIRECT(ADDRESS(125,11))</f>
        <v>0</v>
      </c>
      <c r="L126">
        <f>INDIRECT(ADDRESS(126,11))+INDIRECT(ADDRESS(124,12))-INDIRECT(ADDRESS(125,12))</f>
        <v>0</v>
      </c>
      <c r="M126">
        <f>INDIRECT(ADDRESS(126,12))+INDIRECT(ADDRESS(124,13))-INDIRECT(ADDRESS(125,13))</f>
        <v>0</v>
      </c>
      <c r="N126">
        <f>INDIRECT(ADDRESS(126,13))+INDIRECT(ADDRESS(124,14))-INDIRECT(ADDRESS(125,14))</f>
        <v>0</v>
      </c>
      <c r="O126">
        <f>INDIRECT(ADDRESS(126,14))+INDIRECT(ADDRESS(124,15))-INDIRECT(ADDRESS(125,15))</f>
        <v>0</v>
      </c>
      <c r="P126">
        <f>INDIRECT(ADDRESS(126,15))+INDIRECT(ADDRESS(124,16))-INDIRECT(ADDRESS(125,16))</f>
        <v>0</v>
      </c>
      <c r="Q126">
        <f>INDIRECT(ADDRESS(126,16))+INDIRECT(ADDRESS(124,17))-INDIRECT(ADDRESS(125,17))</f>
        <v>0</v>
      </c>
      <c r="R126">
        <f>INDIRECT(ADDRESS(126,17))+INDIRECT(ADDRESS(124,18))-INDIRECT(ADDRESS(125,18))</f>
        <v>0</v>
      </c>
      <c r="S126">
        <f>INDIRECT(ADDRESS(126,18))+INDIRECT(ADDRESS(124,19))-INDIRECT(ADDRESS(125,19))</f>
        <v>0</v>
      </c>
      <c r="T126">
        <f>INDIRECT(ADDRESS(126,19))+INDIRECT(ADDRESS(124,20))-INDIRECT(ADDRESS(125,20))</f>
        <v>0</v>
      </c>
      <c r="U126">
        <f>INDIRECT(ADDRESS(126,20))+INDIRECT(ADDRESS(124,21))-INDIRECT(ADDRESS(125,21))</f>
        <v>0</v>
      </c>
      <c r="V126">
        <f>INDIRECT(ADDRESS(126,21))+INDIRECT(ADDRESS(124,22))-INDIRECT(ADDRESS(125,22))</f>
        <v>0</v>
      </c>
      <c r="W126">
        <f>INDIRECT(ADDRESS(126,22))+INDIRECT(ADDRESS(124,23))-INDIRECT(ADDRESS(125,23))</f>
        <v>0</v>
      </c>
      <c r="X126">
        <f>INDIRECT(ADDRESS(126,23))+INDIRECT(ADDRESS(124,24))-INDIRECT(ADDRESS(125,24))</f>
        <v>0</v>
      </c>
      <c r="Y126">
        <f>INDIRECT(ADDRESS(126,24))+INDIRECT(ADDRESS(124,25))-INDIRECT(ADDRESS(125,25))</f>
        <v>0</v>
      </c>
      <c r="Z126">
        <f>INDIRECT(ADDRESS(126,25))+INDIRECT(ADDRESS(124,26))-INDIRECT(ADDRESS(125,26))</f>
        <v>0</v>
      </c>
      <c r="AA126">
        <f>INDIRECT(ADDRESS(126,26))+INDIRECT(ADDRESS(124,27))-INDIRECT(ADDRESS(125,27))</f>
        <v>0</v>
      </c>
      <c r="AB126">
        <f>INDIRECT(ADDRESS(126,27))+INDIRECT(ADDRESS(124,28))-INDIRECT(ADDRESS(125,28))</f>
        <v>0</v>
      </c>
      <c r="AC126">
        <f>INDIRECT(ADDRESS(126,28))+INDIRECT(ADDRESS(124,29))-INDIRECT(ADDRESS(125,29))</f>
        <v>0</v>
      </c>
      <c r="AD126">
        <f>INDIRECT(ADDRESS(126,29))+INDIRECT(ADDRESS(124,30))-INDIRECT(ADDRESS(125,30))</f>
        <v>0</v>
      </c>
      <c r="AE126">
        <f>INDIRECT(ADDRESS(126,30))+INDIRECT(ADDRESS(124,31))-INDIRECT(ADDRESS(125,31))</f>
        <v>0</v>
      </c>
      <c r="AF126">
        <f>INDIRECT(ADDRESS(126,31))+INDIRECT(ADDRESS(124,32))-INDIRECT(ADDRESS(125,32))</f>
        <v>0</v>
      </c>
      <c r="AG126">
        <f>INDIRECT(ADDRESS(126,32))+INDIRECT(ADDRESS(124,33))-INDIRECT(ADDRESS(125,33))</f>
        <v>0</v>
      </c>
      <c r="AH126">
        <f>INDIRECT(ADDRESS(126,33))+INDIRECT(ADDRESS(124,34))-INDIRECT(ADDRESS(125,34))</f>
        <v>0</v>
      </c>
      <c r="AI126">
        <f>INDIRECT(ADDRESS(126,34))+INDIRECT(ADDRESS(124,35))-INDIRECT(ADDRESS(125,35))</f>
        <v>0</v>
      </c>
      <c r="AJ126">
        <f>INDIRECT(ADDRESS(126,35))+INDIRECT(ADDRESS(124,36))-INDIRECT(ADDRESS(125,36))</f>
        <v>0</v>
      </c>
      <c r="AK126">
        <f>INDIRECT(ADDRESS(126,36))+INDIRECT(ADDRESS(124,37))-INDIRECT(ADDRESS(125,37))</f>
        <v>0</v>
      </c>
      <c r="AL126">
        <f>INDIRECT(ADDRESS(126,37))+INDIRECT(ADDRESS(124,38))-INDIRECT(ADDRESS(125,38))</f>
        <v>0</v>
      </c>
      <c r="AM126">
        <f>INDIRECT(ADDRESS(126,38))+INDIRECT(ADDRESS(124,39))-INDIRECT(ADDRESS(125,39))</f>
        <v>0</v>
      </c>
      <c r="AN126">
        <f>INDIRECT(ADDRESS(126,39))+INDIRECT(ADDRESS(124,40))-INDIRECT(ADDRESS(125,40))</f>
        <v>0</v>
      </c>
      <c r="AO126">
        <f>SUM(INDIRECT(ADDRESS(125,8)):INDIRECT(ADDRESS(125,39)))</f>
        <v>0</v>
      </c>
    </row>
    <row r="127" spans="1:41">
      <c r="A127" t="s">
        <v>185</v>
      </c>
      <c r="B127" t="s">
        <v>236</v>
      </c>
      <c r="C127" t="s">
        <v>237</v>
      </c>
      <c r="E127">
        <v>1</v>
      </c>
      <c r="F127" t="s">
        <v>11</v>
      </c>
      <c r="I127" t="s">
        <v>177</v>
      </c>
    </row>
    <row r="128" spans="1:41">
      <c r="I128" t="s">
        <v>178</v>
      </c>
      <c r="J128">
        <f>IFERROR(VLOOKUP("925-076888-100",B:AB,1+8,0),0)</f>
        <v>0</v>
      </c>
      <c r="K128">
        <f>IFERROR(VLOOKUP("925-076888-100",B:AB,2+8,0),0)</f>
        <v>0</v>
      </c>
      <c r="L128">
        <f>IFERROR(VLOOKUP("925-076888-100",B:AB,3+8,0),0)</f>
        <v>0</v>
      </c>
      <c r="M128">
        <f>IFERROR(VLOOKUP("925-076888-100",B:AB,4+8,0),0)</f>
        <v>0</v>
      </c>
      <c r="N128">
        <f>IFERROR(VLOOKUP("925-076888-100",B:AB,5+8,0),0)</f>
        <v>0</v>
      </c>
      <c r="O128">
        <f>IFERROR(VLOOKUP("925-076888-100",B:AB,6+8,0),0)</f>
        <v>0</v>
      </c>
      <c r="P128">
        <f>IFERROR(VLOOKUP("925-076888-100",B:AB,7+8,0),0)</f>
        <v>0</v>
      </c>
      <c r="Q128">
        <f>IFERROR(VLOOKUP("925-076888-100",B:AB,8+8,0),0)</f>
        <v>0</v>
      </c>
      <c r="R128">
        <f>IFERROR(VLOOKUP("925-076888-100",B:AB,9+8,0),0)</f>
        <v>0</v>
      </c>
      <c r="S128">
        <f>IFERROR(VLOOKUP("925-076888-100",B:AB,10+8,0),0)</f>
        <v>0</v>
      </c>
      <c r="T128">
        <f>IFERROR(VLOOKUP("925-076888-100",B:AB,11+8,0),0)</f>
        <v>0</v>
      </c>
      <c r="U128">
        <f>IFERROR(VLOOKUP("925-076888-100",B:AB,12+8,0),0)</f>
        <v>0</v>
      </c>
      <c r="V128">
        <f>IFERROR(VLOOKUP("925-076888-100",B:AB,13+8,0),0)</f>
        <v>0</v>
      </c>
      <c r="W128">
        <f>IFERROR(VLOOKUP("925-076888-100",B:AB,14+8,0),0)</f>
        <v>0</v>
      </c>
      <c r="X128">
        <f>IFERROR(VLOOKUP("925-076888-100",B:AB,15+8,0),0)</f>
        <v>0</v>
      </c>
      <c r="Y128">
        <f>IFERROR(VLOOKUP("925-076888-100",B:AB,16+8,0),0)</f>
        <v>0</v>
      </c>
      <c r="Z128">
        <f>IFERROR(VLOOKUP("925-076888-100",B:AB,17+8,0),0)</f>
        <v>0</v>
      </c>
      <c r="AA128">
        <f>IFERROR(VLOOKUP("925-076888-100",B:AB,18+8,0),0)</f>
        <v>0</v>
      </c>
      <c r="AB128">
        <f>IFERROR(VLOOKUP("925-076888-100",B:AB,19+8,0),0)</f>
        <v>0</v>
      </c>
      <c r="AC128">
        <f>IFERROR(VLOOKUP("925-076888-100",B:AB,20+8,0),0)</f>
        <v>0</v>
      </c>
      <c r="AD128">
        <f>IFERROR(VLOOKUP("925-076888-100",B:AB,21+8,0),0)</f>
        <v>0</v>
      </c>
      <c r="AE128">
        <f>IFERROR(VLOOKUP("925-076888-100",B:AB,22+8,0),0)</f>
        <v>0</v>
      </c>
      <c r="AF128">
        <f>IFERROR(VLOOKUP("925-076888-100",B:AB,23+8,0),0)</f>
        <v>0</v>
      </c>
      <c r="AG128">
        <f>IFERROR(VLOOKUP("925-076888-100",B:AB,24+8,0),0)</f>
        <v>0</v>
      </c>
      <c r="AH128">
        <f>IFERROR(VLOOKUP("925-076888-100",B:AB,25+8,0),0)</f>
        <v>0</v>
      </c>
      <c r="AI128">
        <f>IFERROR(VLOOKUP("925-076888-100",B:AB,26+8,0),0)</f>
        <v>0</v>
      </c>
      <c r="AJ128">
        <f>IFERROR(VLOOKUP("925-076888-100",B:AB,27+8,0),0)</f>
        <v>0</v>
      </c>
      <c r="AK128">
        <f>IFERROR(VLOOKUP("925-076888-100",B:AB,28+8,0),0)</f>
        <v>0</v>
      </c>
      <c r="AL128">
        <f>IFERROR(VLOOKUP("925-076888-100",B:AB,29+8,0),0)</f>
        <v>0</v>
      </c>
      <c r="AM128">
        <f>IFERROR(VLOOKUP("925-076888-100",B:AB,30+8,0),0)</f>
        <v>0</v>
      </c>
      <c r="AN128">
        <f>IFERROR(VLOOKUP("925-076888-100",B:AB,31+8,0),0)</f>
        <v>0</v>
      </c>
      <c r="AO128">
        <f>SUN(INDIRECT(ADDRESS(127,8)):INDIRECT(ADDRESS(127,39)))</f>
        <v>0</v>
      </c>
    </row>
    <row r="129" spans="1:41">
      <c r="H129" t="s">
        <v>179</v>
      </c>
      <c r="J129">
        <f>INDIRECT(ADDRESS(129,9))+INDIRECT(ADDRESS(127,10))-INDIRECT(ADDRESS(128,10))</f>
        <v>0</v>
      </c>
      <c r="K129">
        <f>INDIRECT(ADDRESS(129,10))+INDIRECT(ADDRESS(127,11))-INDIRECT(ADDRESS(128,11))</f>
        <v>0</v>
      </c>
      <c r="L129">
        <f>INDIRECT(ADDRESS(129,11))+INDIRECT(ADDRESS(127,12))-INDIRECT(ADDRESS(128,12))</f>
        <v>0</v>
      </c>
      <c r="M129">
        <f>INDIRECT(ADDRESS(129,12))+INDIRECT(ADDRESS(127,13))-INDIRECT(ADDRESS(128,13))</f>
        <v>0</v>
      </c>
      <c r="N129">
        <f>INDIRECT(ADDRESS(129,13))+INDIRECT(ADDRESS(127,14))-INDIRECT(ADDRESS(128,14))</f>
        <v>0</v>
      </c>
      <c r="O129">
        <f>INDIRECT(ADDRESS(129,14))+INDIRECT(ADDRESS(127,15))-INDIRECT(ADDRESS(128,15))</f>
        <v>0</v>
      </c>
      <c r="P129">
        <f>INDIRECT(ADDRESS(129,15))+INDIRECT(ADDRESS(127,16))-INDIRECT(ADDRESS(128,16))</f>
        <v>0</v>
      </c>
      <c r="Q129">
        <f>INDIRECT(ADDRESS(129,16))+INDIRECT(ADDRESS(127,17))-INDIRECT(ADDRESS(128,17))</f>
        <v>0</v>
      </c>
      <c r="R129">
        <f>INDIRECT(ADDRESS(129,17))+INDIRECT(ADDRESS(127,18))-INDIRECT(ADDRESS(128,18))</f>
        <v>0</v>
      </c>
      <c r="S129">
        <f>INDIRECT(ADDRESS(129,18))+INDIRECT(ADDRESS(127,19))-INDIRECT(ADDRESS(128,19))</f>
        <v>0</v>
      </c>
      <c r="T129">
        <f>INDIRECT(ADDRESS(129,19))+INDIRECT(ADDRESS(127,20))-INDIRECT(ADDRESS(128,20))</f>
        <v>0</v>
      </c>
      <c r="U129">
        <f>INDIRECT(ADDRESS(129,20))+INDIRECT(ADDRESS(127,21))-INDIRECT(ADDRESS(128,21))</f>
        <v>0</v>
      </c>
      <c r="V129">
        <f>INDIRECT(ADDRESS(129,21))+INDIRECT(ADDRESS(127,22))-INDIRECT(ADDRESS(128,22))</f>
        <v>0</v>
      </c>
      <c r="W129">
        <f>INDIRECT(ADDRESS(129,22))+INDIRECT(ADDRESS(127,23))-INDIRECT(ADDRESS(128,23))</f>
        <v>0</v>
      </c>
      <c r="X129">
        <f>INDIRECT(ADDRESS(129,23))+INDIRECT(ADDRESS(127,24))-INDIRECT(ADDRESS(128,24))</f>
        <v>0</v>
      </c>
      <c r="Y129">
        <f>INDIRECT(ADDRESS(129,24))+INDIRECT(ADDRESS(127,25))-INDIRECT(ADDRESS(128,25))</f>
        <v>0</v>
      </c>
      <c r="Z129">
        <f>INDIRECT(ADDRESS(129,25))+INDIRECT(ADDRESS(127,26))-INDIRECT(ADDRESS(128,26))</f>
        <v>0</v>
      </c>
      <c r="AA129">
        <f>INDIRECT(ADDRESS(129,26))+INDIRECT(ADDRESS(127,27))-INDIRECT(ADDRESS(128,27))</f>
        <v>0</v>
      </c>
      <c r="AB129">
        <f>INDIRECT(ADDRESS(129,27))+INDIRECT(ADDRESS(127,28))-INDIRECT(ADDRESS(128,28))</f>
        <v>0</v>
      </c>
      <c r="AC129">
        <f>INDIRECT(ADDRESS(129,28))+INDIRECT(ADDRESS(127,29))-INDIRECT(ADDRESS(128,29))</f>
        <v>0</v>
      </c>
      <c r="AD129">
        <f>INDIRECT(ADDRESS(129,29))+INDIRECT(ADDRESS(127,30))-INDIRECT(ADDRESS(128,30))</f>
        <v>0</v>
      </c>
      <c r="AE129">
        <f>INDIRECT(ADDRESS(129,30))+INDIRECT(ADDRESS(127,31))-INDIRECT(ADDRESS(128,31))</f>
        <v>0</v>
      </c>
      <c r="AF129">
        <f>INDIRECT(ADDRESS(129,31))+INDIRECT(ADDRESS(127,32))-INDIRECT(ADDRESS(128,32))</f>
        <v>0</v>
      </c>
      <c r="AG129">
        <f>INDIRECT(ADDRESS(129,32))+INDIRECT(ADDRESS(127,33))-INDIRECT(ADDRESS(128,33))</f>
        <v>0</v>
      </c>
      <c r="AH129">
        <f>INDIRECT(ADDRESS(129,33))+INDIRECT(ADDRESS(127,34))-INDIRECT(ADDRESS(128,34))</f>
        <v>0</v>
      </c>
      <c r="AI129">
        <f>INDIRECT(ADDRESS(129,34))+INDIRECT(ADDRESS(127,35))-INDIRECT(ADDRESS(128,35))</f>
        <v>0</v>
      </c>
      <c r="AJ129">
        <f>INDIRECT(ADDRESS(129,35))+INDIRECT(ADDRESS(127,36))-INDIRECT(ADDRESS(128,36))</f>
        <v>0</v>
      </c>
      <c r="AK129">
        <f>INDIRECT(ADDRESS(129,36))+INDIRECT(ADDRESS(127,37))-INDIRECT(ADDRESS(128,37))</f>
        <v>0</v>
      </c>
      <c r="AL129">
        <f>INDIRECT(ADDRESS(129,37))+INDIRECT(ADDRESS(127,38))-INDIRECT(ADDRESS(128,38))</f>
        <v>0</v>
      </c>
      <c r="AM129">
        <f>INDIRECT(ADDRESS(129,38))+INDIRECT(ADDRESS(127,39))-INDIRECT(ADDRESS(128,39))</f>
        <v>0</v>
      </c>
      <c r="AN129">
        <f>INDIRECT(ADDRESS(129,39))+INDIRECT(ADDRESS(127,40))-INDIRECT(ADDRESS(128,40))</f>
        <v>0</v>
      </c>
      <c r="AO129">
        <f>SUM(INDIRECT(ADDRESS(128,8)):INDIRECT(ADDRESS(128,39)))</f>
        <v>0</v>
      </c>
    </row>
    <row r="130" spans="1:41">
      <c r="A130" t="s">
        <v>206</v>
      </c>
      <c r="B130" t="s">
        <v>236</v>
      </c>
      <c r="C130" t="s">
        <v>206</v>
      </c>
      <c r="E130">
        <v>0.03</v>
      </c>
      <c r="F130" t="s">
        <v>11</v>
      </c>
      <c r="I130" t="s">
        <v>177</v>
      </c>
    </row>
    <row r="131" spans="1:41">
      <c r="I131" t="s">
        <v>178</v>
      </c>
      <c r="J131">
        <f>IFERROR(VLOOKUP("925-076888-100",B:AB,1+8,0),0)</f>
        <v>0</v>
      </c>
      <c r="K131">
        <f>IFERROR(VLOOKUP("925-076888-100",B:AB,2+8,0),0)</f>
        <v>0</v>
      </c>
      <c r="L131">
        <f>IFERROR(VLOOKUP("925-076888-100",B:AB,3+8,0),0)</f>
        <v>0</v>
      </c>
      <c r="M131">
        <f>IFERROR(VLOOKUP("925-076888-100",B:AB,4+8,0),0)</f>
        <v>0</v>
      </c>
      <c r="N131">
        <f>IFERROR(VLOOKUP("925-076888-100",B:AB,5+8,0),0)</f>
        <v>0</v>
      </c>
      <c r="O131">
        <f>IFERROR(VLOOKUP("925-076888-100",B:AB,6+8,0),0)</f>
        <v>0</v>
      </c>
      <c r="P131">
        <f>IFERROR(VLOOKUP("925-076888-100",B:AB,7+8,0),0)</f>
        <v>0</v>
      </c>
      <c r="Q131">
        <f>IFERROR(VLOOKUP("925-076888-100",B:AB,8+8,0),0)</f>
        <v>0</v>
      </c>
      <c r="R131">
        <f>IFERROR(VLOOKUP("925-076888-100",B:AB,9+8,0),0)</f>
        <v>0</v>
      </c>
      <c r="S131">
        <f>IFERROR(VLOOKUP("925-076888-100",B:AB,10+8,0),0)</f>
        <v>0</v>
      </c>
      <c r="T131">
        <f>IFERROR(VLOOKUP("925-076888-100",B:AB,11+8,0),0)</f>
        <v>0</v>
      </c>
      <c r="U131">
        <f>IFERROR(VLOOKUP("925-076888-100",B:AB,12+8,0),0)</f>
        <v>0</v>
      </c>
      <c r="V131">
        <f>IFERROR(VLOOKUP("925-076888-100",B:AB,13+8,0),0)</f>
        <v>0</v>
      </c>
      <c r="W131">
        <f>IFERROR(VLOOKUP("925-076888-100",B:AB,14+8,0),0)</f>
        <v>0</v>
      </c>
      <c r="X131">
        <f>IFERROR(VLOOKUP("925-076888-100",B:AB,15+8,0),0)</f>
        <v>0</v>
      </c>
      <c r="Y131">
        <f>IFERROR(VLOOKUP("925-076888-100",B:AB,16+8,0),0)</f>
        <v>0</v>
      </c>
      <c r="Z131">
        <f>IFERROR(VLOOKUP("925-076888-100",B:AB,17+8,0),0)</f>
        <v>0</v>
      </c>
      <c r="AA131">
        <f>IFERROR(VLOOKUP("925-076888-100",B:AB,18+8,0),0)</f>
        <v>0</v>
      </c>
      <c r="AB131">
        <f>IFERROR(VLOOKUP("925-076888-100",B:AB,19+8,0),0)</f>
        <v>0</v>
      </c>
      <c r="AC131">
        <f>IFERROR(VLOOKUP("925-076888-100",B:AB,20+8,0),0)</f>
        <v>0</v>
      </c>
      <c r="AD131">
        <f>IFERROR(VLOOKUP("925-076888-100",B:AB,21+8,0),0)</f>
        <v>0</v>
      </c>
      <c r="AE131">
        <f>IFERROR(VLOOKUP("925-076888-100",B:AB,22+8,0),0)</f>
        <v>0</v>
      </c>
      <c r="AF131">
        <f>IFERROR(VLOOKUP("925-076888-100",B:AB,23+8,0),0)</f>
        <v>0</v>
      </c>
      <c r="AG131">
        <f>IFERROR(VLOOKUP("925-076888-100",B:AB,24+8,0),0)</f>
        <v>0</v>
      </c>
      <c r="AH131">
        <f>IFERROR(VLOOKUP("925-076888-100",B:AB,25+8,0),0)</f>
        <v>0</v>
      </c>
      <c r="AI131">
        <f>IFERROR(VLOOKUP("925-076888-100",B:AB,26+8,0),0)</f>
        <v>0</v>
      </c>
      <c r="AJ131">
        <f>IFERROR(VLOOKUP("925-076888-100",B:AB,27+8,0),0)</f>
        <v>0</v>
      </c>
      <c r="AK131">
        <f>IFERROR(VLOOKUP("925-076888-100",B:AB,28+8,0),0)</f>
        <v>0</v>
      </c>
      <c r="AL131">
        <f>IFERROR(VLOOKUP("925-076888-100",B:AB,29+8,0),0)</f>
        <v>0</v>
      </c>
      <c r="AM131">
        <f>IFERROR(VLOOKUP("925-076888-100",B:AB,30+8,0),0)</f>
        <v>0</v>
      </c>
      <c r="AN131">
        <f>IFERROR(VLOOKUP("925-076888-100",B:AB,31+8,0),0)</f>
        <v>0</v>
      </c>
      <c r="AO131">
        <f>SUN(INDIRECT(ADDRESS(130,8)):INDIRECT(ADDRESS(130,39)))</f>
        <v>0</v>
      </c>
    </row>
    <row r="132" spans="1:41">
      <c r="H132" t="s">
        <v>179</v>
      </c>
      <c r="J132">
        <f>INDIRECT(ADDRESS(132,9))+INDIRECT(ADDRESS(130,10))-INDIRECT(ADDRESS(131,10))</f>
        <v>0</v>
      </c>
      <c r="K132">
        <f>INDIRECT(ADDRESS(132,10))+INDIRECT(ADDRESS(130,11))-INDIRECT(ADDRESS(131,11))</f>
        <v>0</v>
      </c>
      <c r="L132">
        <f>INDIRECT(ADDRESS(132,11))+INDIRECT(ADDRESS(130,12))-INDIRECT(ADDRESS(131,12))</f>
        <v>0</v>
      </c>
      <c r="M132">
        <f>INDIRECT(ADDRESS(132,12))+INDIRECT(ADDRESS(130,13))-INDIRECT(ADDRESS(131,13))</f>
        <v>0</v>
      </c>
      <c r="N132">
        <f>INDIRECT(ADDRESS(132,13))+INDIRECT(ADDRESS(130,14))-INDIRECT(ADDRESS(131,14))</f>
        <v>0</v>
      </c>
      <c r="O132">
        <f>INDIRECT(ADDRESS(132,14))+INDIRECT(ADDRESS(130,15))-INDIRECT(ADDRESS(131,15))</f>
        <v>0</v>
      </c>
      <c r="P132">
        <f>INDIRECT(ADDRESS(132,15))+INDIRECT(ADDRESS(130,16))-INDIRECT(ADDRESS(131,16))</f>
        <v>0</v>
      </c>
      <c r="Q132">
        <f>INDIRECT(ADDRESS(132,16))+INDIRECT(ADDRESS(130,17))-INDIRECT(ADDRESS(131,17))</f>
        <v>0</v>
      </c>
      <c r="R132">
        <f>INDIRECT(ADDRESS(132,17))+INDIRECT(ADDRESS(130,18))-INDIRECT(ADDRESS(131,18))</f>
        <v>0</v>
      </c>
      <c r="S132">
        <f>INDIRECT(ADDRESS(132,18))+INDIRECT(ADDRESS(130,19))-INDIRECT(ADDRESS(131,19))</f>
        <v>0</v>
      </c>
      <c r="T132">
        <f>INDIRECT(ADDRESS(132,19))+INDIRECT(ADDRESS(130,20))-INDIRECT(ADDRESS(131,20))</f>
        <v>0</v>
      </c>
      <c r="U132">
        <f>INDIRECT(ADDRESS(132,20))+INDIRECT(ADDRESS(130,21))-INDIRECT(ADDRESS(131,21))</f>
        <v>0</v>
      </c>
      <c r="V132">
        <f>INDIRECT(ADDRESS(132,21))+INDIRECT(ADDRESS(130,22))-INDIRECT(ADDRESS(131,22))</f>
        <v>0</v>
      </c>
      <c r="W132">
        <f>INDIRECT(ADDRESS(132,22))+INDIRECT(ADDRESS(130,23))-INDIRECT(ADDRESS(131,23))</f>
        <v>0</v>
      </c>
      <c r="X132">
        <f>INDIRECT(ADDRESS(132,23))+INDIRECT(ADDRESS(130,24))-INDIRECT(ADDRESS(131,24))</f>
        <v>0</v>
      </c>
      <c r="Y132">
        <f>INDIRECT(ADDRESS(132,24))+INDIRECT(ADDRESS(130,25))-INDIRECT(ADDRESS(131,25))</f>
        <v>0</v>
      </c>
      <c r="Z132">
        <f>INDIRECT(ADDRESS(132,25))+INDIRECT(ADDRESS(130,26))-INDIRECT(ADDRESS(131,26))</f>
        <v>0</v>
      </c>
      <c r="AA132">
        <f>INDIRECT(ADDRESS(132,26))+INDIRECT(ADDRESS(130,27))-INDIRECT(ADDRESS(131,27))</f>
        <v>0</v>
      </c>
      <c r="AB132">
        <f>INDIRECT(ADDRESS(132,27))+INDIRECT(ADDRESS(130,28))-INDIRECT(ADDRESS(131,28))</f>
        <v>0</v>
      </c>
      <c r="AC132">
        <f>INDIRECT(ADDRESS(132,28))+INDIRECT(ADDRESS(130,29))-INDIRECT(ADDRESS(131,29))</f>
        <v>0</v>
      </c>
      <c r="AD132">
        <f>INDIRECT(ADDRESS(132,29))+INDIRECT(ADDRESS(130,30))-INDIRECT(ADDRESS(131,30))</f>
        <v>0</v>
      </c>
      <c r="AE132">
        <f>INDIRECT(ADDRESS(132,30))+INDIRECT(ADDRESS(130,31))-INDIRECT(ADDRESS(131,31))</f>
        <v>0</v>
      </c>
      <c r="AF132">
        <f>INDIRECT(ADDRESS(132,31))+INDIRECT(ADDRESS(130,32))-INDIRECT(ADDRESS(131,32))</f>
        <v>0</v>
      </c>
      <c r="AG132">
        <f>INDIRECT(ADDRESS(132,32))+INDIRECT(ADDRESS(130,33))-INDIRECT(ADDRESS(131,33))</f>
        <v>0</v>
      </c>
      <c r="AH132">
        <f>INDIRECT(ADDRESS(132,33))+INDIRECT(ADDRESS(130,34))-INDIRECT(ADDRESS(131,34))</f>
        <v>0</v>
      </c>
      <c r="AI132">
        <f>INDIRECT(ADDRESS(132,34))+INDIRECT(ADDRESS(130,35))-INDIRECT(ADDRESS(131,35))</f>
        <v>0</v>
      </c>
      <c r="AJ132">
        <f>INDIRECT(ADDRESS(132,35))+INDIRECT(ADDRESS(130,36))-INDIRECT(ADDRESS(131,36))</f>
        <v>0</v>
      </c>
      <c r="AK132">
        <f>INDIRECT(ADDRESS(132,36))+INDIRECT(ADDRESS(130,37))-INDIRECT(ADDRESS(131,37))</f>
        <v>0</v>
      </c>
      <c r="AL132">
        <f>INDIRECT(ADDRESS(132,37))+INDIRECT(ADDRESS(130,38))-INDIRECT(ADDRESS(131,38))</f>
        <v>0</v>
      </c>
      <c r="AM132">
        <f>INDIRECT(ADDRESS(132,38))+INDIRECT(ADDRESS(130,39))-INDIRECT(ADDRESS(131,39))</f>
        <v>0</v>
      </c>
      <c r="AN132">
        <f>INDIRECT(ADDRESS(132,39))+INDIRECT(ADDRESS(130,40))-INDIRECT(ADDRESS(131,40))</f>
        <v>0</v>
      </c>
      <c r="AO132">
        <f>SUM(INDIRECT(ADDRESS(131,8)):INDIRECT(ADDRESS(131,39)))</f>
        <v>0</v>
      </c>
    </row>
    <row r="133" spans="1:41">
      <c r="A133" t="s">
        <v>238</v>
      </c>
      <c r="B133" t="s">
        <v>236</v>
      </c>
      <c r="C133" t="s">
        <v>239</v>
      </c>
      <c r="E133">
        <v>0.03</v>
      </c>
      <c r="F133" t="s">
        <v>11</v>
      </c>
      <c r="I133" t="s">
        <v>177</v>
      </c>
    </row>
    <row r="134" spans="1:41">
      <c r="I134" t="s">
        <v>178</v>
      </c>
      <c r="J134">
        <f>IFERROR(VLOOKUP("925-076888-100",B:AB,1+8,0),0)</f>
        <v>0</v>
      </c>
      <c r="K134">
        <f>IFERROR(VLOOKUP("925-076888-100",B:AB,2+8,0),0)</f>
        <v>0</v>
      </c>
      <c r="L134">
        <f>IFERROR(VLOOKUP("925-076888-100",B:AB,3+8,0),0)</f>
        <v>0</v>
      </c>
      <c r="M134">
        <f>IFERROR(VLOOKUP("925-076888-100",B:AB,4+8,0),0)</f>
        <v>0</v>
      </c>
      <c r="N134">
        <f>IFERROR(VLOOKUP("925-076888-100",B:AB,5+8,0),0)</f>
        <v>0</v>
      </c>
      <c r="O134">
        <f>IFERROR(VLOOKUP("925-076888-100",B:AB,6+8,0),0)</f>
        <v>0</v>
      </c>
      <c r="P134">
        <f>IFERROR(VLOOKUP("925-076888-100",B:AB,7+8,0),0)</f>
        <v>0</v>
      </c>
      <c r="Q134">
        <f>IFERROR(VLOOKUP("925-076888-100",B:AB,8+8,0),0)</f>
        <v>0</v>
      </c>
      <c r="R134">
        <f>IFERROR(VLOOKUP("925-076888-100",B:AB,9+8,0),0)</f>
        <v>0</v>
      </c>
      <c r="S134">
        <f>IFERROR(VLOOKUP("925-076888-100",B:AB,10+8,0),0)</f>
        <v>0</v>
      </c>
      <c r="T134">
        <f>IFERROR(VLOOKUP("925-076888-100",B:AB,11+8,0),0)</f>
        <v>0</v>
      </c>
      <c r="U134">
        <f>IFERROR(VLOOKUP("925-076888-100",B:AB,12+8,0),0)</f>
        <v>0</v>
      </c>
      <c r="V134">
        <f>IFERROR(VLOOKUP("925-076888-100",B:AB,13+8,0),0)</f>
        <v>0</v>
      </c>
      <c r="W134">
        <f>IFERROR(VLOOKUP("925-076888-100",B:AB,14+8,0),0)</f>
        <v>0</v>
      </c>
      <c r="X134">
        <f>IFERROR(VLOOKUP("925-076888-100",B:AB,15+8,0),0)</f>
        <v>0</v>
      </c>
      <c r="Y134">
        <f>IFERROR(VLOOKUP("925-076888-100",B:AB,16+8,0),0)</f>
        <v>0</v>
      </c>
      <c r="Z134">
        <f>IFERROR(VLOOKUP("925-076888-100",B:AB,17+8,0),0)</f>
        <v>0</v>
      </c>
      <c r="AA134">
        <f>IFERROR(VLOOKUP("925-076888-100",B:AB,18+8,0),0)</f>
        <v>0</v>
      </c>
      <c r="AB134">
        <f>IFERROR(VLOOKUP("925-076888-100",B:AB,19+8,0),0)</f>
        <v>0</v>
      </c>
      <c r="AC134">
        <f>IFERROR(VLOOKUP("925-076888-100",B:AB,20+8,0),0)</f>
        <v>0</v>
      </c>
      <c r="AD134">
        <f>IFERROR(VLOOKUP("925-076888-100",B:AB,21+8,0),0)</f>
        <v>0</v>
      </c>
      <c r="AE134">
        <f>IFERROR(VLOOKUP("925-076888-100",B:AB,22+8,0),0)</f>
        <v>0</v>
      </c>
      <c r="AF134">
        <f>IFERROR(VLOOKUP("925-076888-100",B:AB,23+8,0),0)</f>
        <v>0</v>
      </c>
      <c r="AG134">
        <f>IFERROR(VLOOKUP("925-076888-100",B:AB,24+8,0),0)</f>
        <v>0</v>
      </c>
      <c r="AH134">
        <f>IFERROR(VLOOKUP("925-076888-100",B:AB,25+8,0),0)</f>
        <v>0</v>
      </c>
      <c r="AI134">
        <f>IFERROR(VLOOKUP("925-076888-100",B:AB,26+8,0),0)</f>
        <v>0</v>
      </c>
      <c r="AJ134">
        <f>IFERROR(VLOOKUP("925-076888-100",B:AB,27+8,0),0)</f>
        <v>0</v>
      </c>
      <c r="AK134">
        <f>IFERROR(VLOOKUP("925-076888-100",B:AB,28+8,0),0)</f>
        <v>0</v>
      </c>
      <c r="AL134">
        <f>IFERROR(VLOOKUP("925-076888-100",B:AB,29+8,0),0)</f>
        <v>0</v>
      </c>
      <c r="AM134">
        <f>IFERROR(VLOOKUP("925-076888-100",B:AB,30+8,0),0)</f>
        <v>0</v>
      </c>
      <c r="AN134">
        <f>IFERROR(VLOOKUP("925-076888-100",B:AB,31+8,0),0)</f>
        <v>0</v>
      </c>
      <c r="AO134">
        <f>SUN(INDIRECT(ADDRESS(133,8)):INDIRECT(ADDRESS(133,39)))</f>
        <v>0</v>
      </c>
    </row>
    <row r="135" spans="1:41">
      <c r="H135" t="s">
        <v>179</v>
      </c>
      <c r="J135">
        <f>INDIRECT(ADDRESS(135,9))+INDIRECT(ADDRESS(133,10))-INDIRECT(ADDRESS(134,10))</f>
        <v>0</v>
      </c>
      <c r="K135">
        <f>INDIRECT(ADDRESS(135,10))+INDIRECT(ADDRESS(133,11))-INDIRECT(ADDRESS(134,11))</f>
        <v>0</v>
      </c>
      <c r="L135">
        <f>INDIRECT(ADDRESS(135,11))+INDIRECT(ADDRESS(133,12))-INDIRECT(ADDRESS(134,12))</f>
        <v>0</v>
      </c>
      <c r="M135">
        <f>INDIRECT(ADDRESS(135,12))+INDIRECT(ADDRESS(133,13))-INDIRECT(ADDRESS(134,13))</f>
        <v>0</v>
      </c>
      <c r="N135">
        <f>INDIRECT(ADDRESS(135,13))+INDIRECT(ADDRESS(133,14))-INDIRECT(ADDRESS(134,14))</f>
        <v>0</v>
      </c>
      <c r="O135">
        <f>INDIRECT(ADDRESS(135,14))+INDIRECT(ADDRESS(133,15))-INDIRECT(ADDRESS(134,15))</f>
        <v>0</v>
      </c>
      <c r="P135">
        <f>INDIRECT(ADDRESS(135,15))+INDIRECT(ADDRESS(133,16))-INDIRECT(ADDRESS(134,16))</f>
        <v>0</v>
      </c>
      <c r="Q135">
        <f>INDIRECT(ADDRESS(135,16))+INDIRECT(ADDRESS(133,17))-INDIRECT(ADDRESS(134,17))</f>
        <v>0</v>
      </c>
      <c r="R135">
        <f>INDIRECT(ADDRESS(135,17))+INDIRECT(ADDRESS(133,18))-INDIRECT(ADDRESS(134,18))</f>
        <v>0</v>
      </c>
      <c r="S135">
        <f>INDIRECT(ADDRESS(135,18))+INDIRECT(ADDRESS(133,19))-INDIRECT(ADDRESS(134,19))</f>
        <v>0</v>
      </c>
      <c r="T135">
        <f>INDIRECT(ADDRESS(135,19))+INDIRECT(ADDRESS(133,20))-INDIRECT(ADDRESS(134,20))</f>
        <v>0</v>
      </c>
      <c r="U135">
        <f>INDIRECT(ADDRESS(135,20))+INDIRECT(ADDRESS(133,21))-INDIRECT(ADDRESS(134,21))</f>
        <v>0</v>
      </c>
      <c r="V135">
        <f>INDIRECT(ADDRESS(135,21))+INDIRECT(ADDRESS(133,22))-INDIRECT(ADDRESS(134,22))</f>
        <v>0</v>
      </c>
      <c r="W135">
        <f>INDIRECT(ADDRESS(135,22))+INDIRECT(ADDRESS(133,23))-INDIRECT(ADDRESS(134,23))</f>
        <v>0</v>
      </c>
      <c r="X135">
        <f>INDIRECT(ADDRESS(135,23))+INDIRECT(ADDRESS(133,24))-INDIRECT(ADDRESS(134,24))</f>
        <v>0</v>
      </c>
      <c r="Y135">
        <f>INDIRECT(ADDRESS(135,24))+INDIRECT(ADDRESS(133,25))-INDIRECT(ADDRESS(134,25))</f>
        <v>0</v>
      </c>
      <c r="Z135">
        <f>INDIRECT(ADDRESS(135,25))+INDIRECT(ADDRESS(133,26))-INDIRECT(ADDRESS(134,26))</f>
        <v>0</v>
      </c>
      <c r="AA135">
        <f>INDIRECT(ADDRESS(135,26))+INDIRECT(ADDRESS(133,27))-INDIRECT(ADDRESS(134,27))</f>
        <v>0</v>
      </c>
      <c r="AB135">
        <f>INDIRECT(ADDRESS(135,27))+INDIRECT(ADDRESS(133,28))-INDIRECT(ADDRESS(134,28))</f>
        <v>0</v>
      </c>
      <c r="AC135">
        <f>INDIRECT(ADDRESS(135,28))+INDIRECT(ADDRESS(133,29))-INDIRECT(ADDRESS(134,29))</f>
        <v>0</v>
      </c>
      <c r="AD135">
        <f>INDIRECT(ADDRESS(135,29))+INDIRECT(ADDRESS(133,30))-INDIRECT(ADDRESS(134,30))</f>
        <v>0</v>
      </c>
      <c r="AE135">
        <f>INDIRECT(ADDRESS(135,30))+INDIRECT(ADDRESS(133,31))-INDIRECT(ADDRESS(134,31))</f>
        <v>0</v>
      </c>
      <c r="AF135">
        <f>INDIRECT(ADDRESS(135,31))+INDIRECT(ADDRESS(133,32))-INDIRECT(ADDRESS(134,32))</f>
        <v>0</v>
      </c>
      <c r="AG135">
        <f>INDIRECT(ADDRESS(135,32))+INDIRECT(ADDRESS(133,33))-INDIRECT(ADDRESS(134,33))</f>
        <v>0</v>
      </c>
      <c r="AH135">
        <f>INDIRECT(ADDRESS(135,33))+INDIRECT(ADDRESS(133,34))-INDIRECT(ADDRESS(134,34))</f>
        <v>0</v>
      </c>
      <c r="AI135">
        <f>INDIRECT(ADDRESS(135,34))+INDIRECT(ADDRESS(133,35))-INDIRECT(ADDRESS(134,35))</f>
        <v>0</v>
      </c>
      <c r="AJ135">
        <f>INDIRECT(ADDRESS(135,35))+INDIRECT(ADDRESS(133,36))-INDIRECT(ADDRESS(134,36))</f>
        <v>0</v>
      </c>
      <c r="AK135">
        <f>INDIRECT(ADDRESS(135,36))+INDIRECT(ADDRESS(133,37))-INDIRECT(ADDRESS(134,37))</f>
        <v>0</v>
      </c>
      <c r="AL135">
        <f>INDIRECT(ADDRESS(135,37))+INDIRECT(ADDRESS(133,38))-INDIRECT(ADDRESS(134,38))</f>
        <v>0</v>
      </c>
      <c r="AM135">
        <f>INDIRECT(ADDRESS(135,38))+INDIRECT(ADDRESS(133,39))-INDIRECT(ADDRESS(134,39))</f>
        <v>0</v>
      </c>
      <c r="AN135">
        <f>INDIRECT(ADDRESS(135,39))+INDIRECT(ADDRESS(133,40))-INDIRECT(ADDRESS(134,40))</f>
        <v>0</v>
      </c>
      <c r="AO135">
        <f>SUM(INDIRECT(ADDRESS(134,8)):INDIRECT(ADDRESS(134,39)))</f>
        <v>0</v>
      </c>
    </row>
    <row r="136" spans="1:41">
      <c r="A136" t="s">
        <v>8</v>
      </c>
      <c r="B136" t="s">
        <v>17</v>
      </c>
      <c r="C136" t="s">
        <v>18</v>
      </c>
      <c r="E136">
        <v>1</v>
      </c>
      <c r="F136" t="s">
        <v>11</v>
      </c>
      <c r="I136" t="s">
        <v>177</v>
      </c>
    </row>
    <row r="137" spans="1:41">
      <c r="I137" t="s">
        <v>178</v>
      </c>
      <c r="J137">
        <f>IFERROR(VLOOKUP("927-054000-100",Out!B:AB,1+8,0),0)</f>
        <v>0</v>
      </c>
      <c r="K137">
        <f>IFERROR(VLOOKUP("927-054000-100",Out!B:AB,2+8,0),0)</f>
        <v>0</v>
      </c>
      <c r="L137">
        <f>IFERROR(VLOOKUP("927-054000-100",Out!B:AB,3+8,0),0)</f>
        <v>0</v>
      </c>
      <c r="M137">
        <f>IFERROR(VLOOKUP("927-054000-100",Out!B:AB,4+8,0),0)</f>
        <v>0</v>
      </c>
      <c r="N137">
        <f>IFERROR(VLOOKUP("927-054000-100",Out!B:AB,5+8,0),0)</f>
        <v>0</v>
      </c>
      <c r="O137">
        <f>IFERROR(VLOOKUP("927-054000-100",Out!B:AB,6+8,0),0)</f>
        <v>0</v>
      </c>
      <c r="P137">
        <f>IFERROR(VLOOKUP("927-054000-100",Out!B:AB,7+8,0),0)</f>
        <v>0</v>
      </c>
      <c r="Q137">
        <f>IFERROR(VLOOKUP("927-054000-100",Out!B:AB,8+8,0),0)</f>
        <v>0</v>
      </c>
      <c r="R137">
        <f>IFERROR(VLOOKUP("927-054000-100",Out!B:AB,9+8,0),0)</f>
        <v>0</v>
      </c>
      <c r="S137">
        <f>IFERROR(VLOOKUP("927-054000-100",Out!B:AB,10+8,0),0)</f>
        <v>0</v>
      </c>
      <c r="T137">
        <f>IFERROR(VLOOKUP("927-054000-100",Out!B:AB,11+8,0),0)</f>
        <v>0</v>
      </c>
      <c r="U137">
        <f>IFERROR(VLOOKUP("927-054000-100",Out!B:AB,12+8,0),0)</f>
        <v>0</v>
      </c>
      <c r="V137">
        <f>IFERROR(VLOOKUP("927-054000-100",Out!B:AB,13+8,0),0)</f>
        <v>0</v>
      </c>
      <c r="W137">
        <f>IFERROR(VLOOKUP("927-054000-100",Out!B:AB,14+8,0),0)</f>
        <v>0</v>
      </c>
      <c r="X137">
        <f>IFERROR(VLOOKUP("927-054000-100",Out!B:AB,15+8,0),0)</f>
        <v>0</v>
      </c>
      <c r="Y137">
        <f>IFERROR(VLOOKUP("927-054000-100",Out!B:AB,16+8,0),0)</f>
        <v>0</v>
      </c>
      <c r="Z137">
        <f>IFERROR(VLOOKUP("927-054000-100",Out!B:AB,17+8,0),0)</f>
        <v>0</v>
      </c>
      <c r="AA137">
        <f>IFERROR(VLOOKUP("927-054000-100",Out!B:AB,18+8,0),0)</f>
        <v>0</v>
      </c>
      <c r="AB137">
        <f>IFERROR(VLOOKUP("927-054000-100",Out!B:AB,19+8,0),0)</f>
        <v>0</v>
      </c>
      <c r="AC137">
        <f>IFERROR(VLOOKUP("927-054000-100",Out!B:AB,20+8,0),0)</f>
        <v>0</v>
      </c>
      <c r="AD137">
        <f>IFERROR(VLOOKUP("927-054000-100",Out!B:AB,21+8,0),0)</f>
        <v>0</v>
      </c>
      <c r="AE137">
        <f>IFERROR(VLOOKUP("927-054000-100",Out!B:AB,22+8,0),0)</f>
        <v>0</v>
      </c>
      <c r="AF137">
        <f>IFERROR(VLOOKUP("927-054000-100",Out!B:AB,23+8,0),0)</f>
        <v>0</v>
      </c>
      <c r="AG137">
        <f>IFERROR(VLOOKUP("927-054000-100",Out!B:AB,24+8,0),0)</f>
        <v>0</v>
      </c>
      <c r="AH137">
        <f>IFERROR(VLOOKUP("927-054000-100",Out!B:AB,25+8,0),0)</f>
        <v>0</v>
      </c>
      <c r="AI137">
        <f>IFERROR(VLOOKUP("927-054000-100",Out!B:AB,26+8,0),0)</f>
        <v>0</v>
      </c>
      <c r="AJ137">
        <f>IFERROR(VLOOKUP("927-054000-100",Out!B:AB,27+8,0),0)</f>
        <v>0</v>
      </c>
      <c r="AK137">
        <f>IFERROR(VLOOKUP("927-054000-100",Out!B:AB,28+8,0),0)</f>
        <v>0</v>
      </c>
      <c r="AL137">
        <f>IFERROR(VLOOKUP("927-054000-100",Out!B:AB,29+8,0),0)</f>
        <v>0</v>
      </c>
      <c r="AM137">
        <f>IFERROR(VLOOKUP("927-054000-100",Out!B:AB,30+8,0),0)</f>
        <v>0</v>
      </c>
      <c r="AN137">
        <f>IFERROR(VLOOKUP("927-054000-100",Out!B:AB,31+8,0),0)</f>
        <v>0</v>
      </c>
      <c r="AO137">
        <f>SUN(INDIRECT(ADDRESS(136,8)):INDIRECT(ADDRESS(136,39)))</f>
        <v>0</v>
      </c>
    </row>
    <row r="138" spans="1:41">
      <c r="H138" t="s">
        <v>179</v>
      </c>
      <c r="J138">
        <f>INDIRECT(ADDRESS(138,9))+INDIRECT(ADDRESS(136,10))-INDIRECT(ADDRESS(137,10))</f>
        <v>0</v>
      </c>
      <c r="K138">
        <f>INDIRECT(ADDRESS(138,10))+INDIRECT(ADDRESS(136,11))-INDIRECT(ADDRESS(137,11))</f>
        <v>0</v>
      </c>
      <c r="L138">
        <f>INDIRECT(ADDRESS(138,11))+INDIRECT(ADDRESS(136,12))-INDIRECT(ADDRESS(137,12))</f>
        <v>0</v>
      </c>
      <c r="M138">
        <f>INDIRECT(ADDRESS(138,12))+INDIRECT(ADDRESS(136,13))-INDIRECT(ADDRESS(137,13))</f>
        <v>0</v>
      </c>
      <c r="N138">
        <f>INDIRECT(ADDRESS(138,13))+INDIRECT(ADDRESS(136,14))-INDIRECT(ADDRESS(137,14))</f>
        <v>0</v>
      </c>
      <c r="O138">
        <f>INDIRECT(ADDRESS(138,14))+INDIRECT(ADDRESS(136,15))-INDIRECT(ADDRESS(137,15))</f>
        <v>0</v>
      </c>
      <c r="P138">
        <f>INDIRECT(ADDRESS(138,15))+INDIRECT(ADDRESS(136,16))-INDIRECT(ADDRESS(137,16))</f>
        <v>0</v>
      </c>
      <c r="Q138">
        <f>INDIRECT(ADDRESS(138,16))+INDIRECT(ADDRESS(136,17))-INDIRECT(ADDRESS(137,17))</f>
        <v>0</v>
      </c>
      <c r="R138">
        <f>INDIRECT(ADDRESS(138,17))+INDIRECT(ADDRESS(136,18))-INDIRECT(ADDRESS(137,18))</f>
        <v>0</v>
      </c>
      <c r="S138">
        <f>INDIRECT(ADDRESS(138,18))+INDIRECT(ADDRESS(136,19))-INDIRECT(ADDRESS(137,19))</f>
        <v>0</v>
      </c>
      <c r="T138">
        <f>INDIRECT(ADDRESS(138,19))+INDIRECT(ADDRESS(136,20))-INDIRECT(ADDRESS(137,20))</f>
        <v>0</v>
      </c>
      <c r="U138">
        <f>INDIRECT(ADDRESS(138,20))+INDIRECT(ADDRESS(136,21))-INDIRECT(ADDRESS(137,21))</f>
        <v>0</v>
      </c>
      <c r="V138">
        <f>INDIRECT(ADDRESS(138,21))+INDIRECT(ADDRESS(136,22))-INDIRECT(ADDRESS(137,22))</f>
        <v>0</v>
      </c>
      <c r="W138">
        <f>INDIRECT(ADDRESS(138,22))+INDIRECT(ADDRESS(136,23))-INDIRECT(ADDRESS(137,23))</f>
        <v>0</v>
      </c>
      <c r="X138">
        <f>INDIRECT(ADDRESS(138,23))+INDIRECT(ADDRESS(136,24))-INDIRECT(ADDRESS(137,24))</f>
        <v>0</v>
      </c>
      <c r="Y138">
        <f>INDIRECT(ADDRESS(138,24))+INDIRECT(ADDRESS(136,25))-INDIRECT(ADDRESS(137,25))</f>
        <v>0</v>
      </c>
      <c r="Z138">
        <f>INDIRECT(ADDRESS(138,25))+INDIRECT(ADDRESS(136,26))-INDIRECT(ADDRESS(137,26))</f>
        <v>0</v>
      </c>
      <c r="AA138">
        <f>INDIRECT(ADDRESS(138,26))+INDIRECT(ADDRESS(136,27))-INDIRECT(ADDRESS(137,27))</f>
        <v>0</v>
      </c>
      <c r="AB138">
        <f>INDIRECT(ADDRESS(138,27))+INDIRECT(ADDRESS(136,28))-INDIRECT(ADDRESS(137,28))</f>
        <v>0</v>
      </c>
      <c r="AC138">
        <f>INDIRECT(ADDRESS(138,28))+INDIRECT(ADDRESS(136,29))-INDIRECT(ADDRESS(137,29))</f>
        <v>0</v>
      </c>
      <c r="AD138">
        <f>INDIRECT(ADDRESS(138,29))+INDIRECT(ADDRESS(136,30))-INDIRECT(ADDRESS(137,30))</f>
        <v>0</v>
      </c>
      <c r="AE138">
        <f>INDIRECT(ADDRESS(138,30))+INDIRECT(ADDRESS(136,31))-INDIRECT(ADDRESS(137,31))</f>
        <v>0</v>
      </c>
      <c r="AF138">
        <f>INDIRECT(ADDRESS(138,31))+INDIRECT(ADDRESS(136,32))-INDIRECT(ADDRESS(137,32))</f>
        <v>0</v>
      </c>
      <c r="AG138">
        <f>INDIRECT(ADDRESS(138,32))+INDIRECT(ADDRESS(136,33))-INDIRECT(ADDRESS(137,33))</f>
        <v>0</v>
      </c>
      <c r="AH138">
        <f>INDIRECT(ADDRESS(138,33))+INDIRECT(ADDRESS(136,34))-INDIRECT(ADDRESS(137,34))</f>
        <v>0</v>
      </c>
      <c r="AI138">
        <f>INDIRECT(ADDRESS(138,34))+INDIRECT(ADDRESS(136,35))-INDIRECT(ADDRESS(137,35))</f>
        <v>0</v>
      </c>
      <c r="AJ138">
        <f>INDIRECT(ADDRESS(138,35))+INDIRECT(ADDRESS(136,36))-INDIRECT(ADDRESS(137,36))</f>
        <v>0</v>
      </c>
      <c r="AK138">
        <f>INDIRECT(ADDRESS(138,36))+INDIRECT(ADDRESS(136,37))-INDIRECT(ADDRESS(137,37))</f>
        <v>0</v>
      </c>
      <c r="AL138">
        <f>INDIRECT(ADDRESS(138,37))+INDIRECT(ADDRESS(136,38))-INDIRECT(ADDRESS(137,38))</f>
        <v>0</v>
      </c>
      <c r="AM138">
        <f>INDIRECT(ADDRESS(138,38))+INDIRECT(ADDRESS(136,39))-INDIRECT(ADDRESS(137,39))</f>
        <v>0</v>
      </c>
      <c r="AN138">
        <f>INDIRECT(ADDRESS(138,39))+INDIRECT(ADDRESS(136,40))-INDIRECT(ADDRESS(137,40))</f>
        <v>0</v>
      </c>
      <c r="AO138">
        <f>SUM(INDIRECT(ADDRESS(137,8)):INDIRECT(ADDRESS(137,39)))</f>
        <v>0</v>
      </c>
    </row>
    <row r="139" spans="1:41">
      <c r="A139" t="s">
        <v>180</v>
      </c>
      <c r="B139" t="s">
        <v>240</v>
      </c>
      <c r="C139" t="s">
        <v>241</v>
      </c>
      <c r="E139">
        <v>1</v>
      </c>
      <c r="F139" t="s">
        <v>11</v>
      </c>
      <c r="I139" t="s">
        <v>177</v>
      </c>
    </row>
    <row r="140" spans="1:41">
      <c r="I140" t="s">
        <v>178</v>
      </c>
      <c r="J140">
        <f>IFERROR(VLOOKUP("927-054000-100",B:AB,1+8,0),0)</f>
        <v>0</v>
      </c>
      <c r="K140">
        <f>IFERROR(VLOOKUP("927-054000-100",B:AB,2+8,0),0)</f>
        <v>0</v>
      </c>
      <c r="L140">
        <f>IFERROR(VLOOKUP("927-054000-100",B:AB,3+8,0),0)</f>
        <v>0</v>
      </c>
      <c r="M140">
        <f>IFERROR(VLOOKUP("927-054000-100",B:AB,4+8,0),0)</f>
        <v>0</v>
      </c>
      <c r="N140">
        <f>IFERROR(VLOOKUP("927-054000-100",B:AB,5+8,0),0)</f>
        <v>0</v>
      </c>
      <c r="O140">
        <f>IFERROR(VLOOKUP("927-054000-100",B:AB,6+8,0),0)</f>
        <v>0</v>
      </c>
      <c r="P140">
        <f>IFERROR(VLOOKUP("927-054000-100",B:AB,7+8,0),0)</f>
        <v>0</v>
      </c>
      <c r="Q140">
        <f>IFERROR(VLOOKUP("927-054000-100",B:AB,8+8,0),0)</f>
        <v>0</v>
      </c>
      <c r="R140">
        <f>IFERROR(VLOOKUP("927-054000-100",B:AB,9+8,0),0)</f>
        <v>0</v>
      </c>
      <c r="S140">
        <f>IFERROR(VLOOKUP("927-054000-100",B:AB,10+8,0),0)</f>
        <v>0</v>
      </c>
      <c r="T140">
        <f>IFERROR(VLOOKUP("927-054000-100",B:AB,11+8,0),0)</f>
        <v>0</v>
      </c>
      <c r="U140">
        <f>IFERROR(VLOOKUP("927-054000-100",B:AB,12+8,0),0)</f>
        <v>0</v>
      </c>
      <c r="V140">
        <f>IFERROR(VLOOKUP("927-054000-100",B:AB,13+8,0),0)</f>
        <v>0</v>
      </c>
      <c r="W140">
        <f>IFERROR(VLOOKUP("927-054000-100",B:AB,14+8,0),0)</f>
        <v>0</v>
      </c>
      <c r="X140">
        <f>IFERROR(VLOOKUP("927-054000-100",B:AB,15+8,0),0)</f>
        <v>0</v>
      </c>
      <c r="Y140">
        <f>IFERROR(VLOOKUP("927-054000-100",B:AB,16+8,0),0)</f>
        <v>0</v>
      </c>
      <c r="Z140">
        <f>IFERROR(VLOOKUP("927-054000-100",B:AB,17+8,0),0)</f>
        <v>0</v>
      </c>
      <c r="AA140">
        <f>IFERROR(VLOOKUP("927-054000-100",B:AB,18+8,0),0)</f>
        <v>0</v>
      </c>
      <c r="AB140">
        <f>IFERROR(VLOOKUP("927-054000-100",B:AB,19+8,0),0)</f>
        <v>0</v>
      </c>
      <c r="AC140">
        <f>IFERROR(VLOOKUP("927-054000-100",B:AB,20+8,0),0)</f>
        <v>0</v>
      </c>
      <c r="AD140">
        <f>IFERROR(VLOOKUP("927-054000-100",B:AB,21+8,0),0)</f>
        <v>0</v>
      </c>
      <c r="AE140">
        <f>IFERROR(VLOOKUP("927-054000-100",B:AB,22+8,0),0)</f>
        <v>0</v>
      </c>
      <c r="AF140">
        <f>IFERROR(VLOOKUP("927-054000-100",B:AB,23+8,0),0)</f>
        <v>0</v>
      </c>
      <c r="AG140">
        <f>IFERROR(VLOOKUP("927-054000-100",B:AB,24+8,0),0)</f>
        <v>0</v>
      </c>
      <c r="AH140">
        <f>IFERROR(VLOOKUP("927-054000-100",B:AB,25+8,0),0)</f>
        <v>0</v>
      </c>
      <c r="AI140">
        <f>IFERROR(VLOOKUP("927-054000-100",B:AB,26+8,0),0)</f>
        <v>0</v>
      </c>
      <c r="AJ140">
        <f>IFERROR(VLOOKUP("927-054000-100",B:AB,27+8,0),0)</f>
        <v>0</v>
      </c>
      <c r="AK140">
        <f>IFERROR(VLOOKUP("927-054000-100",B:AB,28+8,0),0)</f>
        <v>0</v>
      </c>
      <c r="AL140">
        <f>IFERROR(VLOOKUP("927-054000-100",B:AB,29+8,0),0)</f>
        <v>0</v>
      </c>
      <c r="AM140">
        <f>IFERROR(VLOOKUP("927-054000-100",B:AB,30+8,0),0)</f>
        <v>0</v>
      </c>
      <c r="AN140">
        <f>IFERROR(VLOOKUP("927-054000-100",B:AB,31+8,0),0)</f>
        <v>0</v>
      </c>
      <c r="AO140">
        <f>SUN(INDIRECT(ADDRESS(139,8)):INDIRECT(ADDRESS(139,39)))</f>
        <v>0</v>
      </c>
    </row>
    <row r="141" spans="1:41">
      <c r="H141" t="s">
        <v>179</v>
      </c>
      <c r="J141">
        <f>INDIRECT(ADDRESS(141,9))+INDIRECT(ADDRESS(139,10))-INDIRECT(ADDRESS(140,10))</f>
        <v>0</v>
      </c>
      <c r="K141">
        <f>INDIRECT(ADDRESS(141,10))+INDIRECT(ADDRESS(139,11))-INDIRECT(ADDRESS(140,11))</f>
        <v>0</v>
      </c>
      <c r="L141">
        <f>INDIRECT(ADDRESS(141,11))+INDIRECT(ADDRESS(139,12))-INDIRECT(ADDRESS(140,12))</f>
        <v>0</v>
      </c>
      <c r="M141">
        <f>INDIRECT(ADDRESS(141,12))+INDIRECT(ADDRESS(139,13))-INDIRECT(ADDRESS(140,13))</f>
        <v>0</v>
      </c>
      <c r="N141">
        <f>INDIRECT(ADDRESS(141,13))+INDIRECT(ADDRESS(139,14))-INDIRECT(ADDRESS(140,14))</f>
        <v>0</v>
      </c>
      <c r="O141">
        <f>INDIRECT(ADDRESS(141,14))+INDIRECT(ADDRESS(139,15))-INDIRECT(ADDRESS(140,15))</f>
        <v>0</v>
      </c>
      <c r="P141">
        <f>INDIRECT(ADDRESS(141,15))+INDIRECT(ADDRESS(139,16))-INDIRECT(ADDRESS(140,16))</f>
        <v>0</v>
      </c>
      <c r="Q141">
        <f>INDIRECT(ADDRESS(141,16))+INDIRECT(ADDRESS(139,17))-INDIRECT(ADDRESS(140,17))</f>
        <v>0</v>
      </c>
      <c r="R141">
        <f>INDIRECT(ADDRESS(141,17))+INDIRECT(ADDRESS(139,18))-INDIRECT(ADDRESS(140,18))</f>
        <v>0</v>
      </c>
      <c r="S141">
        <f>INDIRECT(ADDRESS(141,18))+INDIRECT(ADDRESS(139,19))-INDIRECT(ADDRESS(140,19))</f>
        <v>0</v>
      </c>
      <c r="T141">
        <f>INDIRECT(ADDRESS(141,19))+INDIRECT(ADDRESS(139,20))-INDIRECT(ADDRESS(140,20))</f>
        <v>0</v>
      </c>
      <c r="U141">
        <f>INDIRECT(ADDRESS(141,20))+INDIRECT(ADDRESS(139,21))-INDIRECT(ADDRESS(140,21))</f>
        <v>0</v>
      </c>
      <c r="V141">
        <f>INDIRECT(ADDRESS(141,21))+INDIRECT(ADDRESS(139,22))-INDIRECT(ADDRESS(140,22))</f>
        <v>0</v>
      </c>
      <c r="W141">
        <f>INDIRECT(ADDRESS(141,22))+INDIRECT(ADDRESS(139,23))-INDIRECT(ADDRESS(140,23))</f>
        <v>0</v>
      </c>
      <c r="X141">
        <f>INDIRECT(ADDRESS(141,23))+INDIRECT(ADDRESS(139,24))-INDIRECT(ADDRESS(140,24))</f>
        <v>0</v>
      </c>
      <c r="Y141">
        <f>INDIRECT(ADDRESS(141,24))+INDIRECT(ADDRESS(139,25))-INDIRECT(ADDRESS(140,25))</f>
        <v>0</v>
      </c>
      <c r="Z141">
        <f>INDIRECT(ADDRESS(141,25))+INDIRECT(ADDRESS(139,26))-INDIRECT(ADDRESS(140,26))</f>
        <v>0</v>
      </c>
      <c r="AA141">
        <f>INDIRECT(ADDRESS(141,26))+INDIRECT(ADDRESS(139,27))-INDIRECT(ADDRESS(140,27))</f>
        <v>0</v>
      </c>
      <c r="AB141">
        <f>INDIRECT(ADDRESS(141,27))+INDIRECT(ADDRESS(139,28))-INDIRECT(ADDRESS(140,28))</f>
        <v>0</v>
      </c>
      <c r="AC141">
        <f>INDIRECT(ADDRESS(141,28))+INDIRECT(ADDRESS(139,29))-INDIRECT(ADDRESS(140,29))</f>
        <v>0</v>
      </c>
      <c r="AD141">
        <f>INDIRECT(ADDRESS(141,29))+INDIRECT(ADDRESS(139,30))-INDIRECT(ADDRESS(140,30))</f>
        <v>0</v>
      </c>
      <c r="AE141">
        <f>INDIRECT(ADDRESS(141,30))+INDIRECT(ADDRESS(139,31))-INDIRECT(ADDRESS(140,31))</f>
        <v>0</v>
      </c>
      <c r="AF141">
        <f>INDIRECT(ADDRESS(141,31))+INDIRECT(ADDRESS(139,32))-INDIRECT(ADDRESS(140,32))</f>
        <v>0</v>
      </c>
      <c r="AG141">
        <f>INDIRECT(ADDRESS(141,32))+INDIRECT(ADDRESS(139,33))-INDIRECT(ADDRESS(140,33))</f>
        <v>0</v>
      </c>
      <c r="AH141">
        <f>INDIRECT(ADDRESS(141,33))+INDIRECT(ADDRESS(139,34))-INDIRECT(ADDRESS(140,34))</f>
        <v>0</v>
      </c>
      <c r="AI141">
        <f>INDIRECT(ADDRESS(141,34))+INDIRECT(ADDRESS(139,35))-INDIRECT(ADDRESS(140,35))</f>
        <v>0</v>
      </c>
      <c r="AJ141">
        <f>INDIRECT(ADDRESS(141,35))+INDIRECT(ADDRESS(139,36))-INDIRECT(ADDRESS(140,36))</f>
        <v>0</v>
      </c>
      <c r="AK141">
        <f>INDIRECT(ADDRESS(141,36))+INDIRECT(ADDRESS(139,37))-INDIRECT(ADDRESS(140,37))</f>
        <v>0</v>
      </c>
      <c r="AL141">
        <f>INDIRECT(ADDRESS(141,37))+INDIRECT(ADDRESS(139,38))-INDIRECT(ADDRESS(140,38))</f>
        <v>0</v>
      </c>
      <c r="AM141">
        <f>INDIRECT(ADDRESS(141,38))+INDIRECT(ADDRESS(139,39))-INDIRECT(ADDRESS(140,39))</f>
        <v>0</v>
      </c>
      <c r="AN141">
        <f>INDIRECT(ADDRESS(141,39))+INDIRECT(ADDRESS(139,40))-INDIRECT(ADDRESS(140,40))</f>
        <v>0</v>
      </c>
      <c r="AO141">
        <f>SUM(INDIRECT(ADDRESS(140,8)):INDIRECT(ADDRESS(140,39)))</f>
        <v>0</v>
      </c>
    </row>
    <row r="142" spans="1:41">
      <c r="A142" t="s">
        <v>185</v>
      </c>
      <c r="B142" t="s">
        <v>213</v>
      </c>
      <c r="C142" t="s">
        <v>223</v>
      </c>
      <c r="E142">
        <v>1</v>
      </c>
      <c r="F142" t="s">
        <v>11</v>
      </c>
      <c r="I142" t="s">
        <v>177</v>
      </c>
    </row>
    <row r="143" spans="1:41">
      <c r="I143" t="s">
        <v>178</v>
      </c>
      <c r="J143">
        <f>IFERROR(VLOOKUP("927-054000-100",B:AB,1+8,0),0)</f>
        <v>0</v>
      </c>
      <c r="K143">
        <f>IFERROR(VLOOKUP("927-054000-100",B:AB,2+8,0),0)</f>
        <v>0</v>
      </c>
      <c r="L143">
        <f>IFERROR(VLOOKUP("927-054000-100",B:AB,3+8,0),0)</f>
        <v>0</v>
      </c>
      <c r="M143">
        <f>IFERROR(VLOOKUP("927-054000-100",B:AB,4+8,0),0)</f>
        <v>0</v>
      </c>
      <c r="N143">
        <f>IFERROR(VLOOKUP("927-054000-100",B:AB,5+8,0),0)</f>
        <v>0</v>
      </c>
      <c r="O143">
        <f>IFERROR(VLOOKUP("927-054000-100",B:AB,6+8,0),0)</f>
        <v>0</v>
      </c>
      <c r="P143">
        <f>IFERROR(VLOOKUP("927-054000-100",B:AB,7+8,0),0)</f>
        <v>0</v>
      </c>
      <c r="Q143">
        <f>IFERROR(VLOOKUP("927-054000-100",B:AB,8+8,0),0)</f>
        <v>0</v>
      </c>
      <c r="R143">
        <f>IFERROR(VLOOKUP("927-054000-100",B:AB,9+8,0),0)</f>
        <v>0</v>
      </c>
      <c r="S143">
        <f>IFERROR(VLOOKUP("927-054000-100",B:AB,10+8,0),0)</f>
        <v>0</v>
      </c>
      <c r="T143">
        <f>IFERROR(VLOOKUP("927-054000-100",B:AB,11+8,0),0)</f>
        <v>0</v>
      </c>
      <c r="U143">
        <f>IFERROR(VLOOKUP("927-054000-100",B:AB,12+8,0),0)</f>
        <v>0</v>
      </c>
      <c r="V143">
        <f>IFERROR(VLOOKUP("927-054000-100",B:AB,13+8,0),0)</f>
        <v>0</v>
      </c>
      <c r="W143">
        <f>IFERROR(VLOOKUP("927-054000-100",B:AB,14+8,0),0)</f>
        <v>0</v>
      </c>
      <c r="X143">
        <f>IFERROR(VLOOKUP("927-054000-100",B:AB,15+8,0),0)</f>
        <v>0</v>
      </c>
      <c r="Y143">
        <f>IFERROR(VLOOKUP("927-054000-100",B:AB,16+8,0),0)</f>
        <v>0</v>
      </c>
      <c r="Z143">
        <f>IFERROR(VLOOKUP("927-054000-100",B:AB,17+8,0),0)</f>
        <v>0</v>
      </c>
      <c r="AA143">
        <f>IFERROR(VLOOKUP("927-054000-100",B:AB,18+8,0),0)</f>
        <v>0</v>
      </c>
      <c r="AB143">
        <f>IFERROR(VLOOKUP("927-054000-100",B:AB,19+8,0),0)</f>
        <v>0</v>
      </c>
      <c r="AC143">
        <f>IFERROR(VLOOKUP("927-054000-100",B:AB,20+8,0),0)</f>
        <v>0</v>
      </c>
      <c r="AD143">
        <f>IFERROR(VLOOKUP("927-054000-100",B:AB,21+8,0),0)</f>
        <v>0</v>
      </c>
      <c r="AE143">
        <f>IFERROR(VLOOKUP("927-054000-100",B:AB,22+8,0),0)</f>
        <v>0</v>
      </c>
      <c r="AF143">
        <f>IFERROR(VLOOKUP("927-054000-100",B:AB,23+8,0),0)</f>
        <v>0</v>
      </c>
      <c r="AG143">
        <f>IFERROR(VLOOKUP("927-054000-100",B:AB,24+8,0),0)</f>
        <v>0</v>
      </c>
      <c r="AH143">
        <f>IFERROR(VLOOKUP("927-054000-100",B:AB,25+8,0),0)</f>
        <v>0</v>
      </c>
      <c r="AI143">
        <f>IFERROR(VLOOKUP("927-054000-100",B:AB,26+8,0),0)</f>
        <v>0</v>
      </c>
      <c r="AJ143">
        <f>IFERROR(VLOOKUP("927-054000-100",B:AB,27+8,0),0)</f>
        <v>0</v>
      </c>
      <c r="AK143">
        <f>IFERROR(VLOOKUP("927-054000-100",B:AB,28+8,0),0)</f>
        <v>0</v>
      </c>
      <c r="AL143">
        <f>IFERROR(VLOOKUP("927-054000-100",B:AB,29+8,0),0)</f>
        <v>0</v>
      </c>
      <c r="AM143">
        <f>IFERROR(VLOOKUP("927-054000-100",B:AB,30+8,0),0)</f>
        <v>0</v>
      </c>
      <c r="AN143">
        <f>IFERROR(VLOOKUP("927-054000-100",B:AB,31+8,0),0)</f>
        <v>0</v>
      </c>
      <c r="AO143">
        <f>SUN(INDIRECT(ADDRESS(142,8)):INDIRECT(ADDRESS(142,39)))</f>
        <v>0</v>
      </c>
    </row>
    <row r="144" spans="1:41">
      <c r="H144" t="s">
        <v>179</v>
      </c>
      <c r="J144">
        <f>INDIRECT(ADDRESS(144,9))+INDIRECT(ADDRESS(142,10))-INDIRECT(ADDRESS(143,10))</f>
        <v>0</v>
      </c>
      <c r="K144">
        <f>INDIRECT(ADDRESS(144,10))+INDIRECT(ADDRESS(142,11))-INDIRECT(ADDRESS(143,11))</f>
        <v>0</v>
      </c>
      <c r="L144">
        <f>INDIRECT(ADDRESS(144,11))+INDIRECT(ADDRESS(142,12))-INDIRECT(ADDRESS(143,12))</f>
        <v>0</v>
      </c>
      <c r="M144">
        <f>INDIRECT(ADDRESS(144,12))+INDIRECT(ADDRESS(142,13))-INDIRECT(ADDRESS(143,13))</f>
        <v>0</v>
      </c>
      <c r="N144">
        <f>INDIRECT(ADDRESS(144,13))+INDIRECT(ADDRESS(142,14))-INDIRECT(ADDRESS(143,14))</f>
        <v>0</v>
      </c>
      <c r="O144">
        <f>INDIRECT(ADDRESS(144,14))+INDIRECT(ADDRESS(142,15))-INDIRECT(ADDRESS(143,15))</f>
        <v>0</v>
      </c>
      <c r="P144">
        <f>INDIRECT(ADDRESS(144,15))+INDIRECT(ADDRESS(142,16))-INDIRECT(ADDRESS(143,16))</f>
        <v>0</v>
      </c>
      <c r="Q144">
        <f>INDIRECT(ADDRESS(144,16))+INDIRECT(ADDRESS(142,17))-INDIRECT(ADDRESS(143,17))</f>
        <v>0</v>
      </c>
      <c r="R144">
        <f>INDIRECT(ADDRESS(144,17))+INDIRECT(ADDRESS(142,18))-INDIRECT(ADDRESS(143,18))</f>
        <v>0</v>
      </c>
      <c r="S144">
        <f>INDIRECT(ADDRESS(144,18))+INDIRECT(ADDRESS(142,19))-INDIRECT(ADDRESS(143,19))</f>
        <v>0</v>
      </c>
      <c r="T144">
        <f>INDIRECT(ADDRESS(144,19))+INDIRECT(ADDRESS(142,20))-INDIRECT(ADDRESS(143,20))</f>
        <v>0</v>
      </c>
      <c r="U144">
        <f>INDIRECT(ADDRESS(144,20))+INDIRECT(ADDRESS(142,21))-INDIRECT(ADDRESS(143,21))</f>
        <v>0</v>
      </c>
      <c r="V144">
        <f>INDIRECT(ADDRESS(144,21))+INDIRECT(ADDRESS(142,22))-INDIRECT(ADDRESS(143,22))</f>
        <v>0</v>
      </c>
      <c r="W144">
        <f>INDIRECT(ADDRESS(144,22))+INDIRECT(ADDRESS(142,23))-INDIRECT(ADDRESS(143,23))</f>
        <v>0</v>
      </c>
      <c r="X144">
        <f>INDIRECT(ADDRESS(144,23))+INDIRECT(ADDRESS(142,24))-INDIRECT(ADDRESS(143,24))</f>
        <v>0</v>
      </c>
      <c r="Y144">
        <f>INDIRECT(ADDRESS(144,24))+INDIRECT(ADDRESS(142,25))-INDIRECT(ADDRESS(143,25))</f>
        <v>0</v>
      </c>
      <c r="Z144">
        <f>INDIRECT(ADDRESS(144,25))+INDIRECT(ADDRESS(142,26))-INDIRECT(ADDRESS(143,26))</f>
        <v>0</v>
      </c>
      <c r="AA144">
        <f>INDIRECT(ADDRESS(144,26))+INDIRECT(ADDRESS(142,27))-INDIRECT(ADDRESS(143,27))</f>
        <v>0</v>
      </c>
      <c r="AB144">
        <f>INDIRECT(ADDRESS(144,27))+INDIRECT(ADDRESS(142,28))-INDIRECT(ADDRESS(143,28))</f>
        <v>0</v>
      </c>
      <c r="AC144">
        <f>INDIRECT(ADDRESS(144,28))+INDIRECT(ADDRESS(142,29))-INDIRECT(ADDRESS(143,29))</f>
        <v>0</v>
      </c>
      <c r="AD144">
        <f>INDIRECT(ADDRESS(144,29))+INDIRECT(ADDRESS(142,30))-INDIRECT(ADDRESS(143,30))</f>
        <v>0</v>
      </c>
      <c r="AE144">
        <f>INDIRECT(ADDRESS(144,30))+INDIRECT(ADDRESS(142,31))-INDIRECT(ADDRESS(143,31))</f>
        <v>0</v>
      </c>
      <c r="AF144">
        <f>INDIRECT(ADDRESS(144,31))+INDIRECT(ADDRESS(142,32))-INDIRECT(ADDRESS(143,32))</f>
        <v>0</v>
      </c>
      <c r="AG144">
        <f>INDIRECT(ADDRESS(144,32))+INDIRECT(ADDRESS(142,33))-INDIRECT(ADDRESS(143,33))</f>
        <v>0</v>
      </c>
      <c r="AH144">
        <f>INDIRECT(ADDRESS(144,33))+INDIRECT(ADDRESS(142,34))-INDIRECT(ADDRESS(143,34))</f>
        <v>0</v>
      </c>
      <c r="AI144">
        <f>INDIRECT(ADDRESS(144,34))+INDIRECT(ADDRESS(142,35))-INDIRECT(ADDRESS(143,35))</f>
        <v>0</v>
      </c>
      <c r="AJ144">
        <f>INDIRECT(ADDRESS(144,35))+INDIRECT(ADDRESS(142,36))-INDIRECT(ADDRESS(143,36))</f>
        <v>0</v>
      </c>
      <c r="AK144">
        <f>INDIRECT(ADDRESS(144,36))+INDIRECT(ADDRESS(142,37))-INDIRECT(ADDRESS(143,37))</f>
        <v>0</v>
      </c>
      <c r="AL144">
        <f>INDIRECT(ADDRESS(144,37))+INDIRECT(ADDRESS(142,38))-INDIRECT(ADDRESS(143,38))</f>
        <v>0</v>
      </c>
      <c r="AM144">
        <f>INDIRECT(ADDRESS(144,38))+INDIRECT(ADDRESS(142,39))-INDIRECT(ADDRESS(143,39))</f>
        <v>0</v>
      </c>
      <c r="AN144">
        <f>INDIRECT(ADDRESS(144,39))+INDIRECT(ADDRESS(142,40))-INDIRECT(ADDRESS(143,40))</f>
        <v>0</v>
      </c>
      <c r="AO144">
        <f>SUM(INDIRECT(ADDRESS(143,8)):INDIRECT(ADDRESS(143,39)))</f>
        <v>0</v>
      </c>
    </row>
    <row r="145" spans="1:41">
      <c r="A145" t="s">
        <v>180</v>
      </c>
      <c r="B145" t="s">
        <v>242</v>
      </c>
      <c r="C145" t="s">
        <v>243</v>
      </c>
      <c r="E145">
        <v>1</v>
      </c>
      <c r="F145" t="s">
        <v>11</v>
      </c>
      <c r="I145" t="s">
        <v>177</v>
      </c>
    </row>
    <row r="146" spans="1:41">
      <c r="I146" t="s">
        <v>178</v>
      </c>
      <c r="J146">
        <f>IFERROR(VLOOKUP("927-054000-100",B:AB,1+8,0),0)</f>
        <v>0</v>
      </c>
      <c r="K146">
        <f>IFERROR(VLOOKUP("927-054000-100",B:AB,2+8,0),0)</f>
        <v>0</v>
      </c>
      <c r="L146">
        <f>IFERROR(VLOOKUP("927-054000-100",B:AB,3+8,0),0)</f>
        <v>0</v>
      </c>
      <c r="M146">
        <f>IFERROR(VLOOKUP("927-054000-100",B:AB,4+8,0),0)</f>
        <v>0</v>
      </c>
      <c r="N146">
        <f>IFERROR(VLOOKUP("927-054000-100",B:AB,5+8,0),0)</f>
        <v>0</v>
      </c>
      <c r="O146">
        <f>IFERROR(VLOOKUP("927-054000-100",B:AB,6+8,0),0)</f>
        <v>0</v>
      </c>
      <c r="P146">
        <f>IFERROR(VLOOKUP("927-054000-100",B:AB,7+8,0),0)</f>
        <v>0</v>
      </c>
      <c r="Q146">
        <f>IFERROR(VLOOKUP("927-054000-100",B:AB,8+8,0),0)</f>
        <v>0</v>
      </c>
      <c r="R146">
        <f>IFERROR(VLOOKUP("927-054000-100",B:AB,9+8,0),0)</f>
        <v>0</v>
      </c>
      <c r="S146">
        <f>IFERROR(VLOOKUP("927-054000-100",B:AB,10+8,0),0)</f>
        <v>0</v>
      </c>
      <c r="T146">
        <f>IFERROR(VLOOKUP("927-054000-100",B:AB,11+8,0),0)</f>
        <v>0</v>
      </c>
      <c r="U146">
        <f>IFERROR(VLOOKUP("927-054000-100",B:AB,12+8,0),0)</f>
        <v>0</v>
      </c>
      <c r="V146">
        <f>IFERROR(VLOOKUP("927-054000-100",B:AB,13+8,0),0)</f>
        <v>0</v>
      </c>
      <c r="W146">
        <f>IFERROR(VLOOKUP("927-054000-100",B:AB,14+8,0),0)</f>
        <v>0</v>
      </c>
      <c r="X146">
        <f>IFERROR(VLOOKUP("927-054000-100",B:AB,15+8,0),0)</f>
        <v>0</v>
      </c>
      <c r="Y146">
        <f>IFERROR(VLOOKUP("927-054000-100",B:AB,16+8,0),0)</f>
        <v>0</v>
      </c>
      <c r="Z146">
        <f>IFERROR(VLOOKUP("927-054000-100",B:AB,17+8,0),0)</f>
        <v>0</v>
      </c>
      <c r="AA146">
        <f>IFERROR(VLOOKUP("927-054000-100",B:AB,18+8,0),0)</f>
        <v>0</v>
      </c>
      <c r="AB146">
        <f>IFERROR(VLOOKUP("927-054000-100",B:AB,19+8,0),0)</f>
        <v>0</v>
      </c>
      <c r="AC146">
        <f>IFERROR(VLOOKUP("927-054000-100",B:AB,20+8,0),0)</f>
        <v>0</v>
      </c>
      <c r="AD146">
        <f>IFERROR(VLOOKUP("927-054000-100",B:AB,21+8,0),0)</f>
        <v>0</v>
      </c>
      <c r="AE146">
        <f>IFERROR(VLOOKUP("927-054000-100",B:AB,22+8,0),0)</f>
        <v>0</v>
      </c>
      <c r="AF146">
        <f>IFERROR(VLOOKUP("927-054000-100",B:AB,23+8,0),0)</f>
        <v>0</v>
      </c>
      <c r="AG146">
        <f>IFERROR(VLOOKUP("927-054000-100",B:AB,24+8,0),0)</f>
        <v>0</v>
      </c>
      <c r="AH146">
        <f>IFERROR(VLOOKUP("927-054000-100",B:AB,25+8,0),0)</f>
        <v>0</v>
      </c>
      <c r="AI146">
        <f>IFERROR(VLOOKUP("927-054000-100",B:AB,26+8,0),0)</f>
        <v>0</v>
      </c>
      <c r="AJ146">
        <f>IFERROR(VLOOKUP("927-054000-100",B:AB,27+8,0),0)</f>
        <v>0</v>
      </c>
      <c r="AK146">
        <f>IFERROR(VLOOKUP("927-054000-100",B:AB,28+8,0),0)</f>
        <v>0</v>
      </c>
      <c r="AL146">
        <f>IFERROR(VLOOKUP("927-054000-100",B:AB,29+8,0),0)</f>
        <v>0</v>
      </c>
      <c r="AM146">
        <f>IFERROR(VLOOKUP("927-054000-100",B:AB,30+8,0),0)</f>
        <v>0</v>
      </c>
      <c r="AN146">
        <f>IFERROR(VLOOKUP("927-054000-100",B:AB,31+8,0),0)</f>
        <v>0</v>
      </c>
      <c r="AO146">
        <f>SUN(INDIRECT(ADDRESS(145,8)):INDIRECT(ADDRESS(145,39)))</f>
        <v>0</v>
      </c>
    </row>
    <row r="147" spans="1:41">
      <c r="H147" t="s">
        <v>179</v>
      </c>
      <c r="J147">
        <f>INDIRECT(ADDRESS(147,9))+INDIRECT(ADDRESS(145,10))-INDIRECT(ADDRESS(146,10))</f>
        <v>0</v>
      </c>
      <c r="K147">
        <f>INDIRECT(ADDRESS(147,10))+INDIRECT(ADDRESS(145,11))-INDIRECT(ADDRESS(146,11))</f>
        <v>0</v>
      </c>
      <c r="L147">
        <f>INDIRECT(ADDRESS(147,11))+INDIRECT(ADDRESS(145,12))-INDIRECT(ADDRESS(146,12))</f>
        <v>0</v>
      </c>
      <c r="M147">
        <f>INDIRECT(ADDRESS(147,12))+INDIRECT(ADDRESS(145,13))-INDIRECT(ADDRESS(146,13))</f>
        <v>0</v>
      </c>
      <c r="N147">
        <f>INDIRECT(ADDRESS(147,13))+INDIRECT(ADDRESS(145,14))-INDIRECT(ADDRESS(146,14))</f>
        <v>0</v>
      </c>
      <c r="O147">
        <f>INDIRECT(ADDRESS(147,14))+INDIRECT(ADDRESS(145,15))-INDIRECT(ADDRESS(146,15))</f>
        <v>0</v>
      </c>
      <c r="P147">
        <f>INDIRECT(ADDRESS(147,15))+INDIRECT(ADDRESS(145,16))-INDIRECT(ADDRESS(146,16))</f>
        <v>0</v>
      </c>
      <c r="Q147">
        <f>INDIRECT(ADDRESS(147,16))+INDIRECT(ADDRESS(145,17))-INDIRECT(ADDRESS(146,17))</f>
        <v>0</v>
      </c>
      <c r="R147">
        <f>INDIRECT(ADDRESS(147,17))+INDIRECT(ADDRESS(145,18))-INDIRECT(ADDRESS(146,18))</f>
        <v>0</v>
      </c>
      <c r="S147">
        <f>INDIRECT(ADDRESS(147,18))+INDIRECT(ADDRESS(145,19))-INDIRECT(ADDRESS(146,19))</f>
        <v>0</v>
      </c>
      <c r="T147">
        <f>INDIRECT(ADDRESS(147,19))+INDIRECT(ADDRESS(145,20))-INDIRECT(ADDRESS(146,20))</f>
        <v>0</v>
      </c>
      <c r="U147">
        <f>INDIRECT(ADDRESS(147,20))+INDIRECT(ADDRESS(145,21))-INDIRECT(ADDRESS(146,21))</f>
        <v>0</v>
      </c>
      <c r="V147">
        <f>INDIRECT(ADDRESS(147,21))+INDIRECT(ADDRESS(145,22))-INDIRECT(ADDRESS(146,22))</f>
        <v>0</v>
      </c>
      <c r="W147">
        <f>INDIRECT(ADDRESS(147,22))+INDIRECT(ADDRESS(145,23))-INDIRECT(ADDRESS(146,23))</f>
        <v>0</v>
      </c>
      <c r="X147">
        <f>INDIRECT(ADDRESS(147,23))+INDIRECT(ADDRESS(145,24))-INDIRECT(ADDRESS(146,24))</f>
        <v>0</v>
      </c>
      <c r="Y147">
        <f>INDIRECT(ADDRESS(147,24))+INDIRECT(ADDRESS(145,25))-INDIRECT(ADDRESS(146,25))</f>
        <v>0</v>
      </c>
      <c r="Z147">
        <f>INDIRECT(ADDRESS(147,25))+INDIRECT(ADDRESS(145,26))-INDIRECT(ADDRESS(146,26))</f>
        <v>0</v>
      </c>
      <c r="AA147">
        <f>INDIRECT(ADDRESS(147,26))+INDIRECT(ADDRESS(145,27))-INDIRECT(ADDRESS(146,27))</f>
        <v>0</v>
      </c>
      <c r="AB147">
        <f>INDIRECT(ADDRESS(147,27))+INDIRECT(ADDRESS(145,28))-INDIRECT(ADDRESS(146,28))</f>
        <v>0</v>
      </c>
      <c r="AC147">
        <f>INDIRECT(ADDRESS(147,28))+INDIRECT(ADDRESS(145,29))-INDIRECT(ADDRESS(146,29))</f>
        <v>0</v>
      </c>
      <c r="AD147">
        <f>INDIRECT(ADDRESS(147,29))+INDIRECT(ADDRESS(145,30))-INDIRECT(ADDRESS(146,30))</f>
        <v>0</v>
      </c>
      <c r="AE147">
        <f>INDIRECT(ADDRESS(147,30))+INDIRECT(ADDRESS(145,31))-INDIRECT(ADDRESS(146,31))</f>
        <v>0</v>
      </c>
      <c r="AF147">
        <f>INDIRECT(ADDRESS(147,31))+INDIRECT(ADDRESS(145,32))-INDIRECT(ADDRESS(146,32))</f>
        <v>0</v>
      </c>
      <c r="AG147">
        <f>INDIRECT(ADDRESS(147,32))+INDIRECT(ADDRESS(145,33))-INDIRECT(ADDRESS(146,33))</f>
        <v>0</v>
      </c>
      <c r="AH147">
        <f>INDIRECT(ADDRESS(147,33))+INDIRECT(ADDRESS(145,34))-INDIRECT(ADDRESS(146,34))</f>
        <v>0</v>
      </c>
      <c r="AI147">
        <f>INDIRECT(ADDRESS(147,34))+INDIRECT(ADDRESS(145,35))-INDIRECT(ADDRESS(146,35))</f>
        <v>0</v>
      </c>
      <c r="AJ147">
        <f>INDIRECT(ADDRESS(147,35))+INDIRECT(ADDRESS(145,36))-INDIRECT(ADDRESS(146,36))</f>
        <v>0</v>
      </c>
      <c r="AK147">
        <f>INDIRECT(ADDRESS(147,36))+INDIRECT(ADDRESS(145,37))-INDIRECT(ADDRESS(146,37))</f>
        <v>0</v>
      </c>
      <c r="AL147">
        <f>INDIRECT(ADDRESS(147,37))+INDIRECT(ADDRESS(145,38))-INDIRECT(ADDRESS(146,38))</f>
        <v>0</v>
      </c>
      <c r="AM147">
        <f>INDIRECT(ADDRESS(147,38))+INDIRECT(ADDRESS(145,39))-INDIRECT(ADDRESS(146,39))</f>
        <v>0</v>
      </c>
      <c r="AN147">
        <f>INDIRECT(ADDRESS(147,39))+INDIRECT(ADDRESS(145,40))-INDIRECT(ADDRESS(146,40))</f>
        <v>0</v>
      </c>
      <c r="AO147">
        <f>SUM(INDIRECT(ADDRESS(146,8)):INDIRECT(ADDRESS(146,39)))</f>
        <v>0</v>
      </c>
    </row>
    <row r="148" spans="1:41">
      <c r="A148" t="s">
        <v>185</v>
      </c>
      <c r="B148" t="s">
        <v>221</v>
      </c>
      <c r="C148" t="s">
        <v>222</v>
      </c>
      <c r="E148">
        <v>1</v>
      </c>
      <c r="F148" t="s">
        <v>11</v>
      </c>
      <c r="I148" t="s">
        <v>177</v>
      </c>
    </row>
    <row r="149" spans="1:41">
      <c r="I149" t="s">
        <v>178</v>
      </c>
      <c r="J149">
        <f>IFERROR(VLOOKUP("927-054000-100",B:AB,1+8,0),0)</f>
        <v>0</v>
      </c>
      <c r="K149">
        <f>IFERROR(VLOOKUP("927-054000-100",B:AB,2+8,0),0)</f>
        <v>0</v>
      </c>
      <c r="L149">
        <f>IFERROR(VLOOKUP("927-054000-100",B:AB,3+8,0),0)</f>
        <v>0</v>
      </c>
      <c r="M149">
        <f>IFERROR(VLOOKUP("927-054000-100",B:AB,4+8,0),0)</f>
        <v>0</v>
      </c>
      <c r="N149">
        <f>IFERROR(VLOOKUP("927-054000-100",B:AB,5+8,0),0)</f>
        <v>0</v>
      </c>
      <c r="O149">
        <f>IFERROR(VLOOKUP("927-054000-100",B:AB,6+8,0),0)</f>
        <v>0</v>
      </c>
      <c r="P149">
        <f>IFERROR(VLOOKUP("927-054000-100",B:AB,7+8,0),0)</f>
        <v>0</v>
      </c>
      <c r="Q149">
        <f>IFERROR(VLOOKUP("927-054000-100",B:AB,8+8,0),0)</f>
        <v>0</v>
      </c>
      <c r="R149">
        <f>IFERROR(VLOOKUP("927-054000-100",B:AB,9+8,0),0)</f>
        <v>0</v>
      </c>
      <c r="S149">
        <f>IFERROR(VLOOKUP("927-054000-100",B:AB,10+8,0),0)</f>
        <v>0</v>
      </c>
      <c r="T149">
        <f>IFERROR(VLOOKUP("927-054000-100",B:AB,11+8,0),0)</f>
        <v>0</v>
      </c>
      <c r="U149">
        <f>IFERROR(VLOOKUP("927-054000-100",B:AB,12+8,0),0)</f>
        <v>0</v>
      </c>
      <c r="V149">
        <f>IFERROR(VLOOKUP("927-054000-100",B:AB,13+8,0),0)</f>
        <v>0</v>
      </c>
      <c r="W149">
        <f>IFERROR(VLOOKUP("927-054000-100",B:AB,14+8,0),0)</f>
        <v>0</v>
      </c>
      <c r="X149">
        <f>IFERROR(VLOOKUP("927-054000-100",B:AB,15+8,0),0)</f>
        <v>0</v>
      </c>
      <c r="Y149">
        <f>IFERROR(VLOOKUP("927-054000-100",B:AB,16+8,0),0)</f>
        <v>0</v>
      </c>
      <c r="Z149">
        <f>IFERROR(VLOOKUP("927-054000-100",B:AB,17+8,0),0)</f>
        <v>0</v>
      </c>
      <c r="AA149">
        <f>IFERROR(VLOOKUP("927-054000-100",B:AB,18+8,0),0)</f>
        <v>0</v>
      </c>
      <c r="AB149">
        <f>IFERROR(VLOOKUP("927-054000-100",B:AB,19+8,0),0)</f>
        <v>0</v>
      </c>
      <c r="AC149">
        <f>IFERROR(VLOOKUP("927-054000-100",B:AB,20+8,0),0)</f>
        <v>0</v>
      </c>
      <c r="AD149">
        <f>IFERROR(VLOOKUP("927-054000-100",B:AB,21+8,0),0)</f>
        <v>0</v>
      </c>
      <c r="AE149">
        <f>IFERROR(VLOOKUP("927-054000-100",B:AB,22+8,0),0)</f>
        <v>0</v>
      </c>
      <c r="AF149">
        <f>IFERROR(VLOOKUP("927-054000-100",B:AB,23+8,0),0)</f>
        <v>0</v>
      </c>
      <c r="AG149">
        <f>IFERROR(VLOOKUP("927-054000-100",B:AB,24+8,0),0)</f>
        <v>0</v>
      </c>
      <c r="AH149">
        <f>IFERROR(VLOOKUP("927-054000-100",B:AB,25+8,0),0)</f>
        <v>0</v>
      </c>
      <c r="AI149">
        <f>IFERROR(VLOOKUP("927-054000-100",B:AB,26+8,0),0)</f>
        <v>0</v>
      </c>
      <c r="AJ149">
        <f>IFERROR(VLOOKUP("927-054000-100",B:AB,27+8,0),0)</f>
        <v>0</v>
      </c>
      <c r="AK149">
        <f>IFERROR(VLOOKUP("927-054000-100",B:AB,28+8,0),0)</f>
        <v>0</v>
      </c>
      <c r="AL149">
        <f>IFERROR(VLOOKUP("927-054000-100",B:AB,29+8,0),0)</f>
        <v>0</v>
      </c>
      <c r="AM149">
        <f>IFERROR(VLOOKUP("927-054000-100",B:AB,30+8,0),0)</f>
        <v>0</v>
      </c>
      <c r="AN149">
        <f>IFERROR(VLOOKUP("927-054000-100",B:AB,31+8,0),0)</f>
        <v>0</v>
      </c>
      <c r="AO149">
        <f>SUN(INDIRECT(ADDRESS(148,8)):INDIRECT(ADDRESS(148,39)))</f>
        <v>0</v>
      </c>
    </row>
    <row r="150" spans="1:41">
      <c r="H150" t="s">
        <v>179</v>
      </c>
      <c r="J150">
        <f>INDIRECT(ADDRESS(150,9))+INDIRECT(ADDRESS(148,10))-INDIRECT(ADDRESS(149,10))</f>
        <v>0</v>
      </c>
      <c r="K150">
        <f>INDIRECT(ADDRESS(150,10))+INDIRECT(ADDRESS(148,11))-INDIRECT(ADDRESS(149,11))</f>
        <v>0</v>
      </c>
      <c r="L150">
        <f>INDIRECT(ADDRESS(150,11))+INDIRECT(ADDRESS(148,12))-INDIRECT(ADDRESS(149,12))</f>
        <v>0</v>
      </c>
      <c r="M150">
        <f>INDIRECT(ADDRESS(150,12))+INDIRECT(ADDRESS(148,13))-INDIRECT(ADDRESS(149,13))</f>
        <v>0</v>
      </c>
      <c r="N150">
        <f>INDIRECT(ADDRESS(150,13))+INDIRECT(ADDRESS(148,14))-INDIRECT(ADDRESS(149,14))</f>
        <v>0</v>
      </c>
      <c r="O150">
        <f>INDIRECT(ADDRESS(150,14))+INDIRECT(ADDRESS(148,15))-INDIRECT(ADDRESS(149,15))</f>
        <v>0</v>
      </c>
      <c r="P150">
        <f>INDIRECT(ADDRESS(150,15))+INDIRECT(ADDRESS(148,16))-INDIRECT(ADDRESS(149,16))</f>
        <v>0</v>
      </c>
      <c r="Q150">
        <f>INDIRECT(ADDRESS(150,16))+INDIRECT(ADDRESS(148,17))-INDIRECT(ADDRESS(149,17))</f>
        <v>0</v>
      </c>
      <c r="R150">
        <f>INDIRECT(ADDRESS(150,17))+INDIRECT(ADDRESS(148,18))-INDIRECT(ADDRESS(149,18))</f>
        <v>0</v>
      </c>
      <c r="S150">
        <f>INDIRECT(ADDRESS(150,18))+INDIRECT(ADDRESS(148,19))-INDIRECT(ADDRESS(149,19))</f>
        <v>0</v>
      </c>
      <c r="T150">
        <f>INDIRECT(ADDRESS(150,19))+INDIRECT(ADDRESS(148,20))-INDIRECT(ADDRESS(149,20))</f>
        <v>0</v>
      </c>
      <c r="U150">
        <f>INDIRECT(ADDRESS(150,20))+INDIRECT(ADDRESS(148,21))-INDIRECT(ADDRESS(149,21))</f>
        <v>0</v>
      </c>
      <c r="V150">
        <f>INDIRECT(ADDRESS(150,21))+INDIRECT(ADDRESS(148,22))-INDIRECT(ADDRESS(149,22))</f>
        <v>0</v>
      </c>
      <c r="W150">
        <f>INDIRECT(ADDRESS(150,22))+INDIRECT(ADDRESS(148,23))-INDIRECT(ADDRESS(149,23))</f>
        <v>0</v>
      </c>
      <c r="X150">
        <f>INDIRECT(ADDRESS(150,23))+INDIRECT(ADDRESS(148,24))-INDIRECT(ADDRESS(149,24))</f>
        <v>0</v>
      </c>
      <c r="Y150">
        <f>INDIRECT(ADDRESS(150,24))+INDIRECT(ADDRESS(148,25))-INDIRECT(ADDRESS(149,25))</f>
        <v>0</v>
      </c>
      <c r="Z150">
        <f>INDIRECT(ADDRESS(150,25))+INDIRECT(ADDRESS(148,26))-INDIRECT(ADDRESS(149,26))</f>
        <v>0</v>
      </c>
      <c r="AA150">
        <f>INDIRECT(ADDRESS(150,26))+INDIRECT(ADDRESS(148,27))-INDIRECT(ADDRESS(149,27))</f>
        <v>0</v>
      </c>
      <c r="AB150">
        <f>INDIRECT(ADDRESS(150,27))+INDIRECT(ADDRESS(148,28))-INDIRECT(ADDRESS(149,28))</f>
        <v>0</v>
      </c>
      <c r="AC150">
        <f>INDIRECT(ADDRESS(150,28))+INDIRECT(ADDRESS(148,29))-INDIRECT(ADDRESS(149,29))</f>
        <v>0</v>
      </c>
      <c r="AD150">
        <f>INDIRECT(ADDRESS(150,29))+INDIRECT(ADDRESS(148,30))-INDIRECT(ADDRESS(149,30))</f>
        <v>0</v>
      </c>
      <c r="AE150">
        <f>INDIRECT(ADDRESS(150,30))+INDIRECT(ADDRESS(148,31))-INDIRECT(ADDRESS(149,31))</f>
        <v>0</v>
      </c>
      <c r="AF150">
        <f>INDIRECT(ADDRESS(150,31))+INDIRECT(ADDRESS(148,32))-INDIRECT(ADDRESS(149,32))</f>
        <v>0</v>
      </c>
      <c r="AG150">
        <f>INDIRECT(ADDRESS(150,32))+INDIRECT(ADDRESS(148,33))-INDIRECT(ADDRESS(149,33))</f>
        <v>0</v>
      </c>
      <c r="AH150">
        <f>INDIRECT(ADDRESS(150,33))+INDIRECT(ADDRESS(148,34))-INDIRECT(ADDRESS(149,34))</f>
        <v>0</v>
      </c>
      <c r="AI150">
        <f>INDIRECT(ADDRESS(150,34))+INDIRECT(ADDRESS(148,35))-INDIRECT(ADDRESS(149,35))</f>
        <v>0</v>
      </c>
      <c r="AJ150">
        <f>INDIRECT(ADDRESS(150,35))+INDIRECT(ADDRESS(148,36))-INDIRECT(ADDRESS(149,36))</f>
        <v>0</v>
      </c>
      <c r="AK150">
        <f>INDIRECT(ADDRESS(150,36))+INDIRECT(ADDRESS(148,37))-INDIRECT(ADDRESS(149,37))</f>
        <v>0</v>
      </c>
      <c r="AL150">
        <f>INDIRECT(ADDRESS(150,37))+INDIRECT(ADDRESS(148,38))-INDIRECT(ADDRESS(149,38))</f>
        <v>0</v>
      </c>
      <c r="AM150">
        <f>INDIRECT(ADDRESS(150,38))+INDIRECT(ADDRESS(148,39))-INDIRECT(ADDRESS(149,39))</f>
        <v>0</v>
      </c>
      <c r="AN150">
        <f>INDIRECT(ADDRESS(150,39))+INDIRECT(ADDRESS(148,40))-INDIRECT(ADDRESS(149,40))</f>
        <v>0</v>
      </c>
      <c r="AO150">
        <f>SUM(INDIRECT(ADDRESS(149,8)):INDIRECT(ADDRESS(149,39)))</f>
        <v>0</v>
      </c>
    </row>
    <row r="151" spans="1:41">
      <c r="A151" t="s">
        <v>238</v>
      </c>
      <c r="B151" t="s">
        <v>213</v>
      </c>
      <c r="C151" t="s">
        <v>244</v>
      </c>
      <c r="E151">
        <v>0.17</v>
      </c>
      <c r="F151" t="s">
        <v>11</v>
      </c>
      <c r="I151" t="s">
        <v>177</v>
      </c>
    </row>
    <row r="152" spans="1:41">
      <c r="I152" t="s">
        <v>178</v>
      </c>
      <c r="J152">
        <f>IFERROR(VLOOKUP("927-054000-100",B:AB,1+8,0),0)</f>
        <v>0</v>
      </c>
      <c r="K152">
        <f>IFERROR(VLOOKUP("927-054000-100",B:AB,2+8,0),0)</f>
        <v>0</v>
      </c>
      <c r="L152">
        <f>IFERROR(VLOOKUP("927-054000-100",B:AB,3+8,0),0)</f>
        <v>0</v>
      </c>
      <c r="M152">
        <f>IFERROR(VLOOKUP("927-054000-100",B:AB,4+8,0),0)</f>
        <v>0</v>
      </c>
      <c r="N152">
        <f>IFERROR(VLOOKUP("927-054000-100",B:AB,5+8,0),0)</f>
        <v>0</v>
      </c>
      <c r="O152">
        <f>IFERROR(VLOOKUP("927-054000-100",B:AB,6+8,0),0)</f>
        <v>0</v>
      </c>
      <c r="P152">
        <f>IFERROR(VLOOKUP("927-054000-100",B:AB,7+8,0),0)</f>
        <v>0</v>
      </c>
      <c r="Q152">
        <f>IFERROR(VLOOKUP("927-054000-100",B:AB,8+8,0),0)</f>
        <v>0</v>
      </c>
      <c r="R152">
        <f>IFERROR(VLOOKUP("927-054000-100",B:AB,9+8,0),0)</f>
        <v>0</v>
      </c>
      <c r="S152">
        <f>IFERROR(VLOOKUP("927-054000-100",B:AB,10+8,0),0)</f>
        <v>0</v>
      </c>
      <c r="T152">
        <f>IFERROR(VLOOKUP("927-054000-100",B:AB,11+8,0),0)</f>
        <v>0</v>
      </c>
      <c r="U152">
        <f>IFERROR(VLOOKUP("927-054000-100",B:AB,12+8,0),0)</f>
        <v>0</v>
      </c>
      <c r="V152">
        <f>IFERROR(VLOOKUP("927-054000-100",B:AB,13+8,0),0)</f>
        <v>0</v>
      </c>
      <c r="W152">
        <f>IFERROR(VLOOKUP("927-054000-100",B:AB,14+8,0),0)</f>
        <v>0</v>
      </c>
      <c r="X152">
        <f>IFERROR(VLOOKUP("927-054000-100",B:AB,15+8,0),0)</f>
        <v>0</v>
      </c>
      <c r="Y152">
        <f>IFERROR(VLOOKUP("927-054000-100",B:AB,16+8,0),0)</f>
        <v>0</v>
      </c>
      <c r="Z152">
        <f>IFERROR(VLOOKUP("927-054000-100",B:AB,17+8,0),0)</f>
        <v>0</v>
      </c>
      <c r="AA152">
        <f>IFERROR(VLOOKUP("927-054000-100",B:AB,18+8,0),0)</f>
        <v>0</v>
      </c>
      <c r="AB152">
        <f>IFERROR(VLOOKUP("927-054000-100",B:AB,19+8,0),0)</f>
        <v>0</v>
      </c>
      <c r="AC152">
        <f>IFERROR(VLOOKUP("927-054000-100",B:AB,20+8,0),0)</f>
        <v>0</v>
      </c>
      <c r="AD152">
        <f>IFERROR(VLOOKUP("927-054000-100",B:AB,21+8,0),0)</f>
        <v>0</v>
      </c>
      <c r="AE152">
        <f>IFERROR(VLOOKUP("927-054000-100",B:AB,22+8,0),0)</f>
        <v>0</v>
      </c>
      <c r="AF152">
        <f>IFERROR(VLOOKUP("927-054000-100",B:AB,23+8,0),0)</f>
        <v>0</v>
      </c>
      <c r="AG152">
        <f>IFERROR(VLOOKUP("927-054000-100",B:AB,24+8,0),0)</f>
        <v>0</v>
      </c>
      <c r="AH152">
        <f>IFERROR(VLOOKUP("927-054000-100",B:AB,25+8,0),0)</f>
        <v>0</v>
      </c>
      <c r="AI152">
        <f>IFERROR(VLOOKUP("927-054000-100",B:AB,26+8,0),0)</f>
        <v>0</v>
      </c>
      <c r="AJ152">
        <f>IFERROR(VLOOKUP("927-054000-100",B:AB,27+8,0),0)</f>
        <v>0</v>
      </c>
      <c r="AK152">
        <f>IFERROR(VLOOKUP("927-054000-100",B:AB,28+8,0),0)</f>
        <v>0</v>
      </c>
      <c r="AL152">
        <f>IFERROR(VLOOKUP("927-054000-100",B:AB,29+8,0),0)</f>
        <v>0</v>
      </c>
      <c r="AM152">
        <f>IFERROR(VLOOKUP("927-054000-100",B:AB,30+8,0),0)</f>
        <v>0</v>
      </c>
      <c r="AN152">
        <f>IFERROR(VLOOKUP("927-054000-100",B:AB,31+8,0),0)</f>
        <v>0</v>
      </c>
      <c r="AO152">
        <f>SUN(INDIRECT(ADDRESS(151,8)):INDIRECT(ADDRESS(151,39)))</f>
        <v>0</v>
      </c>
    </row>
    <row r="153" spans="1:41">
      <c r="H153" t="s">
        <v>179</v>
      </c>
      <c r="J153">
        <f>INDIRECT(ADDRESS(153,9))+INDIRECT(ADDRESS(151,10))-INDIRECT(ADDRESS(152,10))</f>
        <v>0</v>
      </c>
      <c r="K153">
        <f>INDIRECT(ADDRESS(153,10))+INDIRECT(ADDRESS(151,11))-INDIRECT(ADDRESS(152,11))</f>
        <v>0</v>
      </c>
      <c r="L153">
        <f>INDIRECT(ADDRESS(153,11))+INDIRECT(ADDRESS(151,12))-INDIRECT(ADDRESS(152,12))</f>
        <v>0</v>
      </c>
      <c r="M153">
        <f>INDIRECT(ADDRESS(153,12))+INDIRECT(ADDRESS(151,13))-INDIRECT(ADDRESS(152,13))</f>
        <v>0</v>
      </c>
      <c r="N153">
        <f>INDIRECT(ADDRESS(153,13))+INDIRECT(ADDRESS(151,14))-INDIRECT(ADDRESS(152,14))</f>
        <v>0</v>
      </c>
      <c r="O153">
        <f>INDIRECT(ADDRESS(153,14))+INDIRECT(ADDRESS(151,15))-INDIRECT(ADDRESS(152,15))</f>
        <v>0</v>
      </c>
      <c r="P153">
        <f>INDIRECT(ADDRESS(153,15))+INDIRECT(ADDRESS(151,16))-INDIRECT(ADDRESS(152,16))</f>
        <v>0</v>
      </c>
      <c r="Q153">
        <f>INDIRECT(ADDRESS(153,16))+INDIRECT(ADDRESS(151,17))-INDIRECT(ADDRESS(152,17))</f>
        <v>0</v>
      </c>
      <c r="R153">
        <f>INDIRECT(ADDRESS(153,17))+INDIRECT(ADDRESS(151,18))-INDIRECT(ADDRESS(152,18))</f>
        <v>0</v>
      </c>
      <c r="S153">
        <f>INDIRECT(ADDRESS(153,18))+INDIRECT(ADDRESS(151,19))-INDIRECT(ADDRESS(152,19))</f>
        <v>0</v>
      </c>
      <c r="T153">
        <f>INDIRECT(ADDRESS(153,19))+INDIRECT(ADDRESS(151,20))-INDIRECT(ADDRESS(152,20))</f>
        <v>0</v>
      </c>
      <c r="U153">
        <f>INDIRECT(ADDRESS(153,20))+INDIRECT(ADDRESS(151,21))-INDIRECT(ADDRESS(152,21))</f>
        <v>0</v>
      </c>
      <c r="V153">
        <f>INDIRECT(ADDRESS(153,21))+INDIRECT(ADDRESS(151,22))-INDIRECT(ADDRESS(152,22))</f>
        <v>0</v>
      </c>
      <c r="W153">
        <f>INDIRECT(ADDRESS(153,22))+INDIRECT(ADDRESS(151,23))-INDIRECT(ADDRESS(152,23))</f>
        <v>0</v>
      </c>
      <c r="X153">
        <f>INDIRECT(ADDRESS(153,23))+INDIRECT(ADDRESS(151,24))-INDIRECT(ADDRESS(152,24))</f>
        <v>0</v>
      </c>
      <c r="Y153">
        <f>INDIRECT(ADDRESS(153,24))+INDIRECT(ADDRESS(151,25))-INDIRECT(ADDRESS(152,25))</f>
        <v>0</v>
      </c>
      <c r="Z153">
        <f>INDIRECT(ADDRESS(153,25))+INDIRECT(ADDRESS(151,26))-INDIRECT(ADDRESS(152,26))</f>
        <v>0</v>
      </c>
      <c r="AA153">
        <f>INDIRECT(ADDRESS(153,26))+INDIRECT(ADDRESS(151,27))-INDIRECT(ADDRESS(152,27))</f>
        <v>0</v>
      </c>
      <c r="AB153">
        <f>INDIRECT(ADDRESS(153,27))+INDIRECT(ADDRESS(151,28))-INDIRECT(ADDRESS(152,28))</f>
        <v>0</v>
      </c>
      <c r="AC153">
        <f>INDIRECT(ADDRESS(153,28))+INDIRECT(ADDRESS(151,29))-INDIRECT(ADDRESS(152,29))</f>
        <v>0</v>
      </c>
      <c r="AD153">
        <f>INDIRECT(ADDRESS(153,29))+INDIRECT(ADDRESS(151,30))-INDIRECT(ADDRESS(152,30))</f>
        <v>0</v>
      </c>
      <c r="AE153">
        <f>INDIRECT(ADDRESS(153,30))+INDIRECT(ADDRESS(151,31))-INDIRECT(ADDRESS(152,31))</f>
        <v>0</v>
      </c>
      <c r="AF153">
        <f>INDIRECT(ADDRESS(153,31))+INDIRECT(ADDRESS(151,32))-INDIRECT(ADDRESS(152,32))</f>
        <v>0</v>
      </c>
      <c r="AG153">
        <f>INDIRECT(ADDRESS(153,32))+INDIRECT(ADDRESS(151,33))-INDIRECT(ADDRESS(152,33))</f>
        <v>0</v>
      </c>
      <c r="AH153">
        <f>INDIRECT(ADDRESS(153,33))+INDIRECT(ADDRESS(151,34))-INDIRECT(ADDRESS(152,34))</f>
        <v>0</v>
      </c>
      <c r="AI153">
        <f>INDIRECT(ADDRESS(153,34))+INDIRECT(ADDRESS(151,35))-INDIRECT(ADDRESS(152,35))</f>
        <v>0</v>
      </c>
      <c r="AJ153">
        <f>INDIRECT(ADDRESS(153,35))+INDIRECT(ADDRESS(151,36))-INDIRECT(ADDRESS(152,36))</f>
        <v>0</v>
      </c>
      <c r="AK153">
        <f>INDIRECT(ADDRESS(153,36))+INDIRECT(ADDRESS(151,37))-INDIRECT(ADDRESS(152,37))</f>
        <v>0</v>
      </c>
      <c r="AL153">
        <f>INDIRECT(ADDRESS(153,37))+INDIRECT(ADDRESS(151,38))-INDIRECT(ADDRESS(152,38))</f>
        <v>0</v>
      </c>
      <c r="AM153">
        <f>INDIRECT(ADDRESS(153,38))+INDIRECT(ADDRESS(151,39))-INDIRECT(ADDRESS(152,39))</f>
        <v>0</v>
      </c>
      <c r="AN153">
        <f>INDIRECT(ADDRESS(153,39))+INDIRECT(ADDRESS(151,40))-INDIRECT(ADDRESS(152,40))</f>
        <v>0</v>
      </c>
      <c r="AO153">
        <f>SUM(INDIRECT(ADDRESS(152,8)):INDIRECT(ADDRESS(152,39)))</f>
        <v>0</v>
      </c>
    </row>
    <row r="154" spans="1:41">
      <c r="A154" t="s">
        <v>206</v>
      </c>
      <c r="B154" t="s">
        <v>245</v>
      </c>
      <c r="C154" t="s">
        <v>246</v>
      </c>
      <c r="E154">
        <v>0.17</v>
      </c>
      <c r="F154" t="s">
        <v>11</v>
      </c>
      <c r="I154" t="s">
        <v>177</v>
      </c>
    </row>
    <row r="155" spans="1:41">
      <c r="I155" t="s">
        <v>178</v>
      </c>
      <c r="J155">
        <f>IFERROR(VLOOKUP("927-054000-100",B:AB,1+8,0),0)</f>
        <v>0</v>
      </c>
      <c r="K155">
        <f>IFERROR(VLOOKUP("927-054000-100",B:AB,2+8,0),0)</f>
        <v>0</v>
      </c>
      <c r="L155">
        <f>IFERROR(VLOOKUP("927-054000-100",B:AB,3+8,0),0)</f>
        <v>0</v>
      </c>
      <c r="M155">
        <f>IFERROR(VLOOKUP("927-054000-100",B:AB,4+8,0),0)</f>
        <v>0</v>
      </c>
      <c r="N155">
        <f>IFERROR(VLOOKUP("927-054000-100",B:AB,5+8,0),0)</f>
        <v>0</v>
      </c>
      <c r="O155">
        <f>IFERROR(VLOOKUP("927-054000-100",B:AB,6+8,0),0)</f>
        <v>0</v>
      </c>
      <c r="P155">
        <f>IFERROR(VLOOKUP("927-054000-100",B:AB,7+8,0),0)</f>
        <v>0</v>
      </c>
      <c r="Q155">
        <f>IFERROR(VLOOKUP("927-054000-100",B:AB,8+8,0),0)</f>
        <v>0</v>
      </c>
      <c r="R155">
        <f>IFERROR(VLOOKUP("927-054000-100",B:AB,9+8,0),0)</f>
        <v>0</v>
      </c>
      <c r="S155">
        <f>IFERROR(VLOOKUP("927-054000-100",B:AB,10+8,0),0)</f>
        <v>0</v>
      </c>
      <c r="T155">
        <f>IFERROR(VLOOKUP("927-054000-100",B:AB,11+8,0),0)</f>
        <v>0</v>
      </c>
      <c r="U155">
        <f>IFERROR(VLOOKUP("927-054000-100",B:AB,12+8,0),0)</f>
        <v>0</v>
      </c>
      <c r="V155">
        <f>IFERROR(VLOOKUP("927-054000-100",B:AB,13+8,0),0)</f>
        <v>0</v>
      </c>
      <c r="W155">
        <f>IFERROR(VLOOKUP("927-054000-100",B:AB,14+8,0),0)</f>
        <v>0</v>
      </c>
      <c r="X155">
        <f>IFERROR(VLOOKUP("927-054000-100",B:AB,15+8,0),0)</f>
        <v>0</v>
      </c>
      <c r="Y155">
        <f>IFERROR(VLOOKUP("927-054000-100",B:AB,16+8,0),0)</f>
        <v>0</v>
      </c>
      <c r="Z155">
        <f>IFERROR(VLOOKUP("927-054000-100",B:AB,17+8,0),0)</f>
        <v>0</v>
      </c>
      <c r="AA155">
        <f>IFERROR(VLOOKUP("927-054000-100",B:AB,18+8,0),0)</f>
        <v>0</v>
      </c>
      <c r="AB155">
        <f>IFERROR(VLOOKUP("927-054000-100",B:AB,19+8,0),0)</f>
        <v>0</v>
      </c>
      <c r="AC155">
        <f>IFERROR(VLOOKUP("927-054000-100",B:AB,20+8,0),0)</f>
        <v>0</v>
      </c>
      <c r="AD155">
        <f>IFERROR(VLOOKUP("927-054000-100",B:AB,21+8,0),0)</f>
        <v>0</v>
      </c>
      <c r="AE155">
        <f>IFERROR(VLOOKUP("927-054000-100",B:AB,22+8,0),0)</f>
        <v>0</v>
      </c>
      <c r="AF155">
        <f>IFERROR(VLOOKUP("927-054000-100",B:AB,23+8,0),0)</f>
        <v>0</v>
      </c>
      <c r="AG155">
        <f>IFERROR(VLOOKUP("927-054000-100",B:AB,24+8,0),0)</f>
        <v>0</v>
      </c>
      <c r="AH155">
        <f>IFERROR(VLOOKUP("927-054000-100",B:AB,25+8,0),0)</f>
        <v>0</v>
      </c>
      <c r="AI155">
        <f>IFERROR(VLOOKUP("927-054000-100",B:AB,26+8,0),0)</f>
        <v>0</v>
      </c>
      <c r="AJ155">
        <f>IFERROR(VLOOKUP("927-054000-100",B:AB,27+8,0),0)</f>
        <v>0</v>
      </c>
      <c r="AK155">
        <f>IFERROR(VLOOKUP("927-054000-100",B:AB,28+8,0),0)</f>
        <v>0</v>
      </c>
      <c r="AL155">
        <f>IFERROR(VLOOKUP("927-054000-100",B:AB,29+8,0),0)</f>
        <v>0</v>
      </c>
      <c r="AM155">
        <f>IFERROR(VLOOKUP("927-054000-100",B:AB,30+8,0),0)</f>
        <v>0</v>
      </c>
      <c r="AN155">
        <f>IFERROR(VLOOKUP("927-054000-100",B:AB,31+8,0),0)</f>
        <v>0</v>
      </c>
      <c r="AO155">
        <f>SUN(INDIRECT(ADDRESS(154,8)):INDIRECT(ADDRESS(154,39)))</f>
        <v>0</v>
      </c>
    </row>
    <row r="156" spans="1:41">
      <c r="H156" t="s">
        <v>179</v>
      </c>
      <c r="J156">
        <f>INDIRECT(ADDRESS(156,9))+INDIRECT(ADDRESS(154,10))-INDIRECT(ADDRESS(155,10))</f>
        <v>0</v>
      </c>
      <c r="K156">
        <f>INDIRECT(ADDRESS(156,10))+INDIRECT(ADDRESS(154,11))-INDIRECT(ADDRESS(155,11))</f>
        <v>0</v>
      </c>
      <c r="L156">
        <f>INDIRECT(ADDRESS(156,11))+INDIRECT(ADDRESS(154,12))-INDIRECT(ADDRESS(155,12))</f>
        <v>0</v>
      </c>
      <c r="M156">
        <f>INDIRECT(ADDRESS(156,12))+INDIRECT(ADDRESS(154,13))-INDIRECT(ADDRESS(155,13))</f>
        <v>0</v>
      </c>
      <c r="N156">
        <f>INDIRECT(ADDRESS(156,13))+INDIRECT(ADDRESS(154,14))-INDIRECT(ADDRESS(155,14))</f>
        <v>0</v>
      </c>
      <c r="O156">
        <f>INDIRECT(ADDRESS(156,14))+INDIRECT(ADDRESS(154,15))-INDIRECT(ADDRESS(155,15))</f>
        <v>0</v>
      </c>
      <c r="P156">
        <f>INDIRECT(ADDRESS(156,15))+INDIRECT(ADDRESS(154,16))-INDIRECT(ADDRESS(155,16))</f>
        <v>0</v>
      </c>
      <c r="Q156">
        <f>INDIRECT(ADDRESS(156,16))+INDIRECT(ADDRESS(154,17))-INDIRECT(ADDRESS(155,17))</f>
        <v>0</v>
      </c>
      <c r="R156">
        <f>INDIRECT(ADDRESS(156,17))+INDIRECT(ADDRESS(154,18))-INDIRECT(ADDRESS(155,18))</f>
        <v>0</v>
      </c>
      <c r="S156">
        <f>INDIRECT(ADDRESS(156,18))+INDIRECT(ADDRESS(154,19))-INDIRECT(ADDRESS(155,19))</f>
        <v>0</v>
      </c>
      <c r="T156">
        <f>INDIRECT(ADDRESS(156,19))+INDIRECT(ADDRESS(154,20))-INDIRECT(ADDRESS(155,20))</f>
        <v>0</v>
      </c>
      <c r="U156">
        <f>INDIRECT(ADDRESS(156,20))+INDIRECT(ADDRESS(154,21))-INDIRECT(ADDRESS(155,21))</f>
        <v>0</v>
      </c>
      <c r="V156">
        <f>INDIRECT(ADDRESS(156,21))+INDIRECT(ADDRESS(154,22))-INDIRECT(ADDRESS(155,22))</f>
        <v>0</v>
      </c>
      <c r="W156">
        <f>INDIRECT(ADDRESS(156,22))+INDIRECT(ADDRESS(154,23))-INDIRECT(ADDRESS(155,23))</f>
        <v>0</v>
      </c>
      <c r="X156">
        <f>INDIRECT(ADDRESS(156,23))+INDIRECT(ADDRESS(154,24))-INDIRECT(ADDRESS(155,24))</f>
        <v>0</v>
      </c>
      <c r="Y156">
        <f>INDIRECT(ADDRESS(156,24))+INDIRECT(ADDRESS(154,25))-INDIRECT(ADDRESS(155,25))</f>
        <v>0</v>
      </c>
      <c r="Z156">
        <f>INDIRECT(ADDRESS(156,25))+INDIRECT(ADDRESS(154,26))-INDIRECT(ADDRESS(155,26))</f>
        <v>0</v>
      </c>
      <c r="AA156">
        <f>INDIRECT(ADDRESS(156,26))+INDIRECT(ADDRESS(154,27))-INDIRECT(ADDRESS(155,27))</f>
        <v>0</v>
      </c>
      <c r="AB156">
        <f>INDIRECT(ADDRESS(156,27))+INDIRECT(ADDRESS(154,28))-INDIRECT(ADDRESS(155,28))</f>
        <v>0</v>
      </c>
      <c r="AC156">
        <f>INDIRECT(ADDRESS(156,28))+INDIRECT(ADDRESS(154,29))-INDIRECT(ADDRESS(155,29))</f>
        <v>0</v>
      </c>
      <c r="AD156">
        <f>INDIRECT(ADDRESS(156,29))+INDIRECT(ADDRESS(154,30))-INDIRECT(ADDRESS(155,30))</f>
        <v>0</v>
      </c>
      <c r="AE156">
        <f>INDIRECT(ADDRESS(156,30))+INDIRECT(ADDRESS(154,31))-INDIRECT(ADDRESS(155,31))</f>
        <v>0</v>
      </c>
      <c r="AF156">
        <f>INDIRECT(ADDRESS(156,31))+INDIRECT(ADDRESS(154,32))-INDIRECT(ADDRESS(155,32))</f>
        <v>0</v>
      </c>
      <c r="AG156">
        <f>INDIRECT(ADDRESS(156,32))+INDIRECT(ADDRESS(154,33))-INDIRECT(ADDRESS(155,33))</f>
        <v>0</v>
      </c>
      <c r="AH156">
        <f>INDIRECT(ADDRESS(156,33))+INDIRECT(ADDRESS(154,34))-INDIRECT(ADDRESS(155,34))</f>
        <v>0</v>
      </c>
      <c r="AI156">
        <f>INDIRECT(ADDRESS(156,34))+INDIRECT(ADDRESS(154,35))-INDIRECT(ADDRESS(155,35))</f>
        <v>0</v>
      </c>
      <c r="AJ156">
        <f>INDIRECT(ADDRESS(156,35))+INDIRECT(ADDRESS(154,36))-INDIRECT(ADDRESS(155,36))</f>
        <v>0</v>
      </c>
      <c r="AK156">
        <f>INDIRECT(ADDRESS(156,36))+INDIRECT(ADDRESS(154,37))-INDIRECT(ADDRESS(155,37))</f>
        <v>0</v>
      </c>
      <c r="AL156">
        <f>INDIRECT(ADDRESS(156,37))+INDIRECT(ADDRESS(154,38))-INDIRECT(ADDRESS(155,38))</f>
        <v>0</v>
      </c>
      <c r="AM156">
        <f>INDIRECT(ADDRESS(156,38))+INDIRECT(ADDRESS(154,39))-INDIRECT(ADDRESS(155,39))</f>
        <v>0</v>
      </c>
      <c r="AN156">
        <f>INDIRECT(ADDRESS(156,39))+INDIRECT(ADDRESS(154,40))-INDIRECT(ADDRESS(155,40))</f>
        <v>0</v>
      </c>
      <c r="AO156">
        <f>SUM(INDIRECT(ADDRESS(155,8)):INDIRECT(ADDRESS(155,39)))</f>
        <v>0</v>
      </c>
    </row>
    <row r="157" spans="1:41">
      <c r="A157" t="s">
        <v>8</v>
      </c>
      <c r="B157" t="s">
        <v>19</v>
      </c>
      <c r="C157" t="s">
        <v>20</v>
      </c>
      <c r="E157">
        <v>1</v>
      </c>
      <c r="F157" t="s">
        <v>11</v>
      </c>
      <c r="I157" t="s">
        <v>177</v>
      </c>
    </row>
    <row r="158" spans="1:41">
      <c r="I158" t="s">
        <v>178</v>
      </c>
      <c r="J158">
        <f>IFERROR(VLOOKUP("927-007000-500",Out!B:AB,1+8,0),0)</f>
        <v>0</v>
      </c>
      <c r="K158">
        <f>IFERROR(VLOOKUP("927-007000-500",Out!B:AB,2+8,0),0)</f>
        <v>0</v>
      </c>
      <c r="L158">
        <f>IFERROR(VLOOKUP("927-007000-500",Out!B:AB,3+8,0),0)</f>
        <v>0</v>
      </c>
      <c r="M158">
        <f>IFERROR(VLOOKUP("927-007000-500",Out!B:AB,4+8,0),0)</f>
        <v>0</v>
      </c>
      <c r="N158">
        <f>IFERROR(VLOOKUP("927-007000-500",Out!B:AB,5+8,0),0)</f>
        <v>0</v>
      </c>
      <c r="O158">
        <f>IFERROR(VLOOKUP("927-007000-500",Out!B:AB,6+8,0),0)</f>
        <v>0</v>
      </c>
      <c r="P158">
        <f>IFERROR(VLOOKUP("927-007000-500",Out!B:AB,7+8,0),0)</f>
        <v>0</v>
      </c>
      <c r="Q158">
        <f>IFERROR(VLOOKUP("927-007000-500",Out!B:AB,8+8,0),0)</f>
        <v>0</v>
      </c>
      <c r="R158">
        <f>IFERROR(VLOOKUP("927-007000-500",Out!B:AB,9+8,0),0)</f>
        <v>0</v>
      </c>
      <c r="S158">
        <f>IFERROR(VLOOKUP("927-007000-500",Out!B:AB,10+8,0),0)</f>
        <v>0</v>
      </c>
      <c r="T158">
        <f>IFERROR(VLOOKUP("927-007000-500",Out!B:AB,11+8,0),0)</f>
        <v>0</v>
      </c>
      <c r="U158">
        <f>IFERROR(VLOOKUP("927-007000-500",Out!B:AB,12+8,0),0)</f>
        <v>0</v>
      </c>
      <c r="V158">
        <f>IFERROR(VLOOKUP("927-007000-500",Out!B:AB,13+8,0),0)</f>
        <v>0</v>
      </c>
      <c r="W158">
        <f>IFERROR(VLOOKUP("927-007000-500",Out!B:AB,14+8,0),0)</f>
        <v>0</v>
      </c>
      <c r="X158">
        <f>IFERROR(VLOOKUP("927-007000-500",Out!B:AB,15+8,0),0)</f>
        <v>0</v>
      </c>
      <c r="Y158">
        <f>IFERROR(VLOOKUP("927-007000-500",Out!B:AB,16+8,0),0)</f>
        <v>0</v>
      </c>
      <c r="Z158">
        <f>IFERROR(VLOOKUP("927-007000-500",Out!B:AB,17+8,0),0)</f>
        <v>0</v>
      </c>
      <c r="AA158">
        <f>IFERROR(VLOOKUP("927-007000-500",Out!B:AB,18+8,0),0)</f>
        <v>0</v>
      </c>
      <c r="AB158">
        <f>IFERROR(VLOOKUP("927-007000-500",Out!B:AB,19+8,0),0)</f>
        <v>0</v>
      </c>
      <c r="AC158">
        <f>IFERROR(VLOOKUP("927-007000-500",Out!B:AB,20+8,0),0)</f>
        <v>0</v>
      </c>
      <c r="AD158">
        <f>IFERROR(VLOOKUP("927-007000-500",Out!B:AB,21+8,0),0)</f>
        <v>0</v>
      </c>
      <c r="AE158">
        <f>IFERROR(VLOOKUP("927-007000-500",Out!B:AB,22+8,0),0)</f>
        <v>0</v>
      </c>
      <c r="AF158">
        <f>IFERROR(VLOOKUP("927-007000-500",Out!B:AB,23+8,0),0)</f>
        <v>0</v>
      </c>
      <c r="AG158">
        <f>IFERROR(VLOOKUP("927-007000-500",Out!B:AB,24+8,0),0)</f>
        <v>0</v>
      </c>
      <c r="AH158">
        <f>IFERROR(VLOOKUP("927-007000-500",Out!B:AB,25+8,0),0)</f>
        <v>0</v>
      </c>
      <c r="AI158">
        <f>IFERROR(VLOOKUP("927-007000-500",Out!B:AB,26+8,0),0)</f>
        <v>0</v>
      </c>
      <c r="AJ158">
        <f>IFERROR(VLOOKUP("927-007000-500",Out!B:AB,27+8,0),0)</f>
        <v>0</v>
      </c>
      <c r="AK158">
        <f>IFERROR(VLOOKUP("927-007000-500",Out!B:AB,28+8,0),0)</f>
        <v>0</v>
      </c>
      <c r="AL158">
        <f>IFERROR(VLOOKUP("927-007000-500",Out!B:AB,29+8,0),0)</f>
        <v>0</v>
      </c>
      <c r="AM158">
        <f>IFERROR(VLOOKUP("927-007000-500",Out!B:AB,30+8,0),0)</f>
        <v>0</v>
      </c>
      <c r="AN158">
        <f>IFERROR(VLOOKUP("927-007000-500",Out!B:AB,31+8,0),0)</f>
        <v>0</v>
      </c>
      <c r="AO158">
        <f>SUN(INDIRECT(ADDRESS(157,8)):INDIRECT(ADDRESS(157,39)))</f>
        <v>0</v>
      </c>
    </row>
    <row r="159" spans="1:41">
      <c r="H159" t="s">
        <v>179</v>
      </c>
      <c r="J159">
        <f>INDIRECT(ADDRESS(159,9))+INDIRECT(ADDRESS(157,10))-INDIRECT(ADDRESS(158,10))</f>
        <v>0</v>
      </c>
      <c r="K159">
        <f>INDIRECT(ADDRESS(159,10))+INDIRECT(ADDRESS(157,11))-INDIRECT(ADDRESS(158,11))</f>
        <v>0</v>
      </c>
      <c r="L159">
        <f>INDIRECT(ADDRESS(159,11))+INDIRECT(ADDRESS(157,12))-INDIRECT(ADDRESS(158,12))</f>
        <v>0</v>
      </c>
      <c r="M159">
        <f>INDIRECT(ADDRESS(159,12))+INDIRECT(ADDRESS(157,13))-INDIRECT(ADDRESS(158,13))</f>
        <v>0</v>
      </c>
      <c r="N159">
        <f>INDIRECT(ADDRESS(159,13))+INDIRECT(ADDRESS(157,14))-INDIRECT(ADDRESS(158,14))</f>
        <v>0</v>
      </c>
      <c r="O159">
        <f>INDIRECT(ADDRESS(159,14))+INDIRECT(ADDRESS(157,15))-INDIRECT(ADDRESS(158,15))</f>
        <v>0</v>
      </c>
      <c r="P159">
        <f>INDIRECT(ADDRESS(159,15))+INDIRECT(ADDRESS(157,16))-INDIRECT(ADDRESS(158,16))</f>
        <v>0</v>
      </c>
      <c r="Q159">
        <f>INDIRECT(ADDRESS(159,16))+INDIRECT(ADDRESS(157,17))-INDIRECT(ADDRESS(158,17))</f>
        <v>0</v>
      </c>
      <c r="R159">
        <f>INDIRECT(ADDRESS(159,17))+INDIRECT(ADDRESS(157,18))-INDIRECT(ADDRESS(158,18))</f>
        <v>0</v>
      </c>
      <c r="S159">
        <f>INDIRECT(ADDRESS(159,18))+INDIRECT(ADDRESS(157,19))-INDIRECT(ADDRESS(158,19))</f>
        <v>0</v>
      </c>
      <c r="T159">
        <f>INDIRECT(ADDRESS(159,19))+INDIRECT(ADDRESS(157,20))-INDIRECT(ADDRESS(158,20))</f>
        <v>0</v>
      </c>
      <c r="U159">
        <f>INDIRECT(ADDRESS(159,20))+INDIRECT(ADDRESS(157,21))-INDIRECT(ADDRESS(158,21))</f>
        <v>0</v>
      </c>
      <c r="V159">
        <f>INDIRECT(ADDRESS(159,21))+INDIRECT(ADDRESS(157,22))-INDIRECT(ADDRESS(158,22))</f>
        <v>0</v>
      </c>
      <c r="W159">
        <f>INDIRECT(ADDRESS(159,22))+INDIRECT(ADDRESS(157,23))-INDIRECT(ADDRESS(158,23))</f>
        <v>0</v>
      </c>
      <c r="X159">
        <f>INDIRECT(ADDRESS(159,23))+INDIRECT(ADDRESS(157,24))-INDIRECT(ADDRESS(158,24))</f>
        <v>0</v>
      </c>
      <c r="Y159">
        <f>INDIRECT(ADDRESS(159,24))+INDIRECT(ADDRESS(157,25))-INDIRECT(ADDRESS(158,25))</f>
        <v>0</v>
      </c>
      <c r="Z159">
        <f>INDIRECT(ADDRESS(159,25))+INDIRECT(ADDRESS(157,26))-INDIRECT(ADDRESS(158,26))</f>
        <v>0</v>
      </c>
      <c r="AA159">
        <f>INDIRECT(ADDRESS(159,26))+INDIRECT(ADDRESS(157,27))-INDIRECT(ADDRESS(158,27))</f>
        <v>0</v>
      </c>
      <c r="AB159">
        <f>INDIRECT(ADDRESS(159,27))+INDIRECT(ADDRESS(157,28))-INDIRECT(ADDRESS(158,28))</f>
        <v>0</v>
      </c>
      <c r="AC159">
        <f>INDIRECT(ADDRESS(159,28))+INDIRECT(ADDRESS(157,29))-INDIRECT(ADDRESS(158,29))</f>
        <v>0</v>
      </c>
      <c r="AD159">
        <f>INDIRECT(ADDRESS(159,29))+INDIRECT(ADDRESS(157,30))-INDIRECT(ADDRESS(158,30))</f>
        <v>0</v>
      </c>
      <c r="AE159">
        <f>INDIRECT(ADDRESS(159,30))+INDIRECT(ADDRESS(157,31))-INDIRECT(ADDRESS(158,31))</f>
        <v>0</v>
      </c>
      <c r="AF159">
        <f>INDIRECT(ADDRESS(159,31))+INDIRECT(ADDRESS(157,32))-INDIRECT(ADDRESS(158,32))</f>
        <v>0</v>
      </c>
      <c r="AG159">
        <f>INDIRECT(ADDRESS(159,32))+INDIRECT(ADDRESS(157,33))-INDIRECT(ADDRESS(158,33))</f>
        <v>0</v>
      </c>
      <c r="AH159">
        <f>INDIRECT(ADDRESS(159,33))+INDIRECT(ADDRESS(157,34))-INDIRECT(ADDRESS(158,34))</f>
        <v>0</v>
      </c>
      <c r="AI159">
        <f>INDIRECT(ADDRESS(159,34))+INDIRECT(ADDRESS(157,35))-INDIRECT(ADDRESS(158,35))</f>
        <v>0</v>
      </c>
      <c r="AJ159">
        <f>INDIRECT(ADDRESS(159,35))+INDIRECT(ADDRESS(157,36))-INDIRECT(ADDRESS(158,36))</f>
        <v>0</v>
      </c>
      <c r="AK159">
        <f>INDIRECT(ADDRESS(159,36))+INDIRECT(ADDRESS(157,37))-INDIRECT(ADDRESS(158,37))</f>
        <v>0</v>
      </c>
      <c r="AL159">
        <f>INDIRECT(ADDRESS(159,37))+INDIRECT(ADDRESS(157,38))-INDIRECT(ADDRESS(158,38))</f>
        <v>0</v>
      </c>
      <c r="AM159">
        <f>INDIRECT(ADDRESS(159,38))+INDIRECT(ADDRESS(157,39))-INDIRECT(ADDRESS(158,39))</f>
        <v>0</v>
      </c>
      <c r="AN159">
        <f>INDIRECT(ADDRESS(159,39))+INDIRECT(ADDRESS(157,40))-INDIRECT(ADDRESS(158,40))</f>
        <v>0</v>
      </c>
      <c r="AO159">
        <f>SUM(INDIRECT(ADDRESS(158,8)):INDIRECT(ADDRESS(158,39)))</f>
        <v>0</v>
      </c>
    </row>
    <row r="160" spans="1:41">
      <c r="A160" t="s">
        <v>180</v>
      </c>
      <c r="B160" t="s">
        <v>247</v>
      </c>
      <c r="C160" t="s">
        <v>248</v>
      </c>
      <c r="E160">
        <v>1</v>
      </c>
      <c r="F160" t="s">
        <v>11</v>
      </c>
      <c r="I160" t="s">
        <v>177</v>
      </c>
    </row>
    <row r="161" spans="1:41">
      <c r="I161" t="s">
        <v>178</v>
      </c>
      <c r="J161">
        <f>IFERROR(VLOOKUP("927-007000-500",B:AB,1+8,0),0)</f>
        <v>0</v>
      </c>
      <c r="K161">
        <f>IFERROR(VLOOKUP("927-007000-500",B:AB,2+8,0),0)</f>
        <v>0</v>
      </c>
      <c r="L161">
        <f>IFERROR(VLOOKUP("927-007000-500",B:AB,3+8,0),0)</f>
        <v>0</v>
      </c>
      <c r="M161">
        <f>IFERROR(VLOOKUP("927-007000-500",B:AB,4+8,0),0)</f>
        <v>0</v>
      </c>
      <c r="N161">
        <f>IFERROR(VLOOKUP("927-007000-500",B:AB,5+8,0),0)</f>
        <v>0</v>
      </c>
      <c r="O161">
        <f>IFERROR(VLOOKUP("927-007000-500",B:AB,6+8,0),0)</f>
        <v>0</v>
      </c>
      <c r="P161">
        <f>IFERROR(VLOOKUP("927-007000-500",B:AB,7+8,0),0)</f>
        <v>0</v>
      </c>
      <c r="Q161">
        <f>IFERROR(VLOOKUP("927-007000-500",B:AB,8+8,0),0)</f>
        <v>0</v>
      </c>
      <c r="R161">
        <f>IFERROR(VLOOKUP("927-007000-500",B:AB,9+8,0),0)</f>
        <v>0</v>
      </c>
      <c r="S161">
        <f>IFERROR(VLOOKUP("927-007000-500",B:AB,10+8,0),0)</f>
        <v>0</v>
      </c>
      <c r="T161">
        <f>IFERROR(VLOOKUP("927-007000-500",B:AB,11+8,0),0)</f>
        <v>0</v>
      </c>
      <c r="U161">
        <f>IFERROR(VLOOKUP("927-007000-500",B:AB,12+8,0),0)</f>
        <v>0</v>
      </c>
      <c r="V161">
        <f>IFERROR(VLOOKUP("927-007000-500",B:AB,13+8,0),0)</f>
        <v>0</v>
      </c>
      <c r="W161">
        <f>IFERROR(VLOOKUP("927-007000-500",B:AB,14+8,0),0)</f>
        <v>0</v>
      </c>
      <c r="X161">
        <f>IFERROR(VLOOKUP("927-007000-500",B:AB,15+8,0),0)</f>
        <v>0</v>
      </c>
      <c r="Y161">
        <f>IFERROR(VLOOKUP("927-007000-500",B:AB,16+8,0),0)</f>
        <v>0</v>
      </c>
      <c r="Z161">
        <f>IFERROR(VLOOKUP("927-007000-500",B:AB,17+8,0),0)</f>
        <v>0</v>
      </c>
      <c r="AA161">
        <f>IFERROR(VLOOKUP("927-007000-500",B:AB,18+8,0),0)</f>
        <v>0</v>
      </c>
      <c r="AB161">
        <f>IFERROR(VLOOKUP("927-007000-500",B:AB,19+8,0),0)</f>
        <v>0</v>
      </c>
      <c r="AC161">
        <f>IFERROR(VLOOKUP("927-007000-500",B:AB,20+8,0),0)</f>
        <v>0</v>
      </c>
      <c r="AD161">
        <f>IFERROR(VLOOKUP("927-007000-500",B:AB,21+8,0),0)</f>
        <v>0</v>
      </c>
      <c r="AE161">
        <f>IFERROR(VLOOKUP("927-007000-500",B:AB,22+8,0),0)</f>
        <v>0</v>
      </c>
      <c r="AF161">
        <f>IFERROR(VLOOKUP("927-007000-500",B:AB,23+8,0),0)</f>
        <v>0</v>
      </c>
      <c r="AG161">
        <f>IFERROR(VLOOKUP("927-007000-500",B:AB,24+8,0),0)</f>
        <v>0</v>
      </c>
      <c r="AH161">
        <f>IFERROR(VLOOKUP("927-007000-500",B:AB,25+8,0),0)</f>
        <v>0</v>
      </c>
      <c r="AI161">
        <f>IFERROR(VLOOKUP("927-007000-500",B:AB,26+8,0),0)</f>
        <v>0</v>
      </c>
      <c r="AJ161">
        <f>IFERROR(VLOOKUP("927-007000-500",B:AB,27+8,0),0)</f>
        <v>0</v>
      </c>
      <c r="AK161">
        <f>IFERROR(VLOOKUP("927-007000-500",B:AB,28+8,0),0)</f>
        <v>0</v>
      </c>
      <c r="AL161">
        <f>IFERROR(VLOOKUP("927-007000-500",B:AB,29+8,0),0)</f>
        <v>0</v>
      </c>
      <c r="AM161">
        <f>IFERROR(VLOOKUP("927-007000-500",B:AB,30+8,0),0)</f>
        <v>0</v>
      </c>
      <c r="AN161">
        <f>IFERROR(VLOOKUP("927-007000-500",B:AB,31+8,0),0)</f>
        <v>0</v>
      </c>
      <c r="AO161">
        <f>SUN(INDIRECT(ADDRESS(160,8)):INDIRECT(ADDRESS(160,39)))</f>
        <v>0</v>
      </c>
    </row>
    <row r="162" spans="1:41">
      <c r="H162" t="s">
        <v>179</v>
      </c>
      <c r="J162">
        <f>INDIRECT(ADDRESS(162,9))+INDIRECT(ADDRESS(160,10))-INDIRECT(ADDRESS(161,10))</f>
        <v>0</v>
      </c>
      <c r="K162">
        <f>INDIRECT(ADDRESS(162,10))+INDIRECT(ADDRESS(160,11))-INDIRECT(ADDRESS(161,11))</f>
        <v>0</v>
      </c>
      <c r="L162">
        <f>INDIRECT(ADDRESS(162,11))+INDIRECT(ADDRESS(160,12))-INDIRECT(ADDRESS(161,12))</f>
        <v>0</v>
      </c>
      <c r="M162">
        <f>INDIRECT(ADDRESS(162,12))+INDIRECT(ADDRESS(160,13))-INDIRECT(ADDRESS(161,13))</f>
        <v>0</v>
      </c>
      <c r="N162">
        <f>INDIRECT(ADDRESS(162,13))+INDIRECT(ADDRESS(160,14))-INDIRECT(ADDRESS(161,14))</f>
        <v>0</v>
      </c>
      <c r="O162">
        <f>INDIRECT(ADDRESS(162,14))+INDIRECT(ADDRESS(160,15))-INDIRECT(ADDRESS(161,15))</f>
        <v>0</v>
      </c>
      <c r="P162">
        <f>INDIRECT(ADDRESS(162,15))+INDIRECT(ADDRESS(160,16))-INDIRECT(ADDRESS(161,16))</f>
        <v>0</v>
      </c>
      <c r="Q162">
        <f>INDIRECT(ADDRESS(162,16))+INDIRECT(ADDRESS(160,17))-INDIRECT(ADDRESS(161,17))</f>
        <v>0</v>
      </c>
      <c r="R162">
        <f>INDIRECT(ADDRESS(162,17))+INDIRECT(ADDRESS(160,18))-INDIRECT(ADDRESS(161,18))</f>
        <v>0</v>
      </c>
      <c r="S162">
        <f>INDIRECT(ADDRESS(162,18))+INDIRECT(ADDRESS(160,19))-INDIRECT(ADDRESS(161,19))</f>
        <v>0</v>
      </c>
      <c r="T162">
        <f>INDIRECT(ADDRESS(162,19))+INDIRECT(ADDRESS(160,20))-INDIRECT(ADDRESS(161,20))</f>
        <v>0</v>
      </c>
      <c r="U162">
        <f>INDIRECT(ADDRESS(162,20))+INDIRECT(ADDRESS(160,21))-INDIRECT(ADDRESS(161,21))</f>
        <v>0</v>
      </c>
      <c r="V162">
        <f>INDIRECT(ADDRESS(162,21))+INDIRECT(ADDRESS(160,22))-INDIRECT(ADDRESS(161,22))</f>
        <v>0</v>
      </c>
      <c r="W162">
        <f>INDIRECT(ADDRESS(162,22))+INDIRECT(ADDRESS(160,23))-INDIRECT(ADDRESS(161,23))</f>
        <v>0</v>
      </c>
      <c r="X162">
        <f>INDIRECT(ADDRESS(162,23))+INDIRECT(ADDRESS(160,24))-INDIRECT(ADDRESS(161,24))</f>
        <v>0</v>
      </c>
      <c r="Y162">
        <f>INDIRECT(ADDRESS(162,24))+INDIRECT(ADDRESS(160,25))-INDIRECT(ADDRESS(161,25))</f>
        <v>0</v>
      </c>
      <c r="Z162">
        <f>INDIRECT(ADDRESS(162,25))+INDIRECT(ADDRESS(160,26))-INDIRECT(ADDRESS(161,26))</f>
        <v>0</v>
      </c>
      <c r="AA162">
        <f>INDIRECT(ADDRESS(162,26))+INDIRECT(ADDRESS(160,27))-INDIRECT(ADDRESS(161,27))</f>
        <v>0</v>
      </c>
      <c r="AB162">
        <f>INDIRECT(ADDRESS(162,27))+INDIRECT(ADDRESS(160,28))-INDIRECT(ADDRESS(161,28))</f>
        <v>0</v>
      </c>
      <c r="AC162">
        <f>INDIRECT(ADDRESS(162,28))+INDIRECT(ADDRESS(160,29))-INDIRECT(ADDRESS(161,29))</f>
        <v>0</v>
      </c>
      <c r="AD162">
        <f>INDIRECT(ADDRESS(162,29))+INDIRECT(ADDRESS(160,30))-INDIRECT(ADDRESS(161,30))</f>
        <v>0</v>
      </c>
      <c r="AE162">
        <f>INDIRECT(ADDRESS(162,30))+INDIRECT(ADDRESS(160,31))-INDIRECT(ADDRESS(161,31))</f>
        <v>0</v>
      </c>
      <c r="AF162">
        <f>INDIRECT(ADDRESS(162,31))+INDIRECT(ADDRESS(160,32))-INDIRECT(ADDRESS(161,32))</f>
        <v>0</v>
      </c>
      <c r="AG162">
        <f>INDIRECT(ADDRESS(162,32))+INDIRECT(ADDRESS(160,33))-INDIRECT(ADDRESS(161,33))</f>
        <v>0</v>
      </c>
      <c r="AH162">
        <f>INDIRECT(ADDRESS(162,33))+INDIRECT(ADDRESS(160,34))-INDIRECT(ADDRESS(161,34))</f>
        <v>0</v>
      </c>
      <c r="AI162">
        <f>INDIRECT(ADDRESS(162,34))+INDIRECT(ADDRESS(160,35))-INDIRECT(ADDRESS(161,35))</f>
        <v>0</v>
      </c>
      <c r="AJ162">
        <f>INDIRECT(ADDRESS(162,35))+INDIRECT(ADDRESS(160,36))-INDIRECT(ADDRESS(161,36))</f>
        <v>0</v>
      </c>
      <c r="AK162">
        <f>INDIRECT(ADDRESS(162,36))+INDIRECT(ADDRESS(160,37))-INDIRECT(ADDRESS(161,37))</f>
        <v>0</v>
      </c>
      <c r="AL162">
        <f>INDIRECT(ADDRESS(162,37))+INDIRECT(ADDRESS(160,38))-INDIRECT(ADDRESS(161,38))</f>
        <v>0</v>
      </c>
      <c r="AM162">
        <f>INDIRECT(ADDRESS(162,38))+INDIRECT(ADDRESS(160,39))-INDIRECT(ADDRESS(161,39))</f>
        <v>0</v>
      </c>
      <c r="AN162">
        <f>INDIRECT(ADDRESS(162,39))+INDIRECT(ADDRESS(160,40))-INDIRECT(ADDRESS(161,40))</f>
        <v>0</v>
      </c>
      <c r="AO162">
        <f>SUM(INDIRECT(ADDRESS(161,8)):INDIRECT(ADDRESS(161,39)))</f>
        <v>0</v>
      </c>
    </row>
    <row r="163" spans="1:41">
      <c r="A163" t="s">
        <v>185</v>
      </c>
      <c r="B163" t="s">
        <v>249</v>
      </c>
      <c r="C163" t="s">
        <v>250</v>
      </c>
      <c r="E163">
        <v>1</v>
      </c>
      <c r="F163" t="s">
        <v>11</v>
      </c>
      <c r="I163" t="s">
        <v>177</v>
      </c>
    </row>
    <row r="164" spans="1:41">
      <c r="I164" t="s">
        <v>178</v>
      </c>
      <c r="J164">
        <f>IFERROR(VLOOKUP("927-007000-500",B:AB,1+8,0),0)</f>
        <v>0</v>
      </c>
      <c r="K164">
        <f>IFERROR(VLOOKUP("927-007000-500",B:AB,2+8,0),0)</f>
        <v>0</v>
      </c>
      <c r="L164">
        <f>IFERROR(VLOOKUP("927-007000-500",B:AB,3+8,0),0)</f>
        <v>0</v>
      </c>
      <c r="M164">
        <f>IFERROR(VLOOKUP("927-007000-500",B:AB,4+8,0),0)</f>
        <v>0</v>
      </c>
      <c r="N164">
        <f>IFERROR(VLOOKUP("927-007000-500",B:AB,5+8,0),0)</f>
        <v>0</v>
      </c>
      <c r="O164">
        <f>IFERROR(VLOOKUP("927-007000-500",B:AB,6+8,0),0)</f>
        <v>0</v>
      </c>
      <c r="P164">
        <f>IFERROR(VLOOKUP("927-007000-500",B:AB,7+8,0),0)</f>
        <v>0</v>
      </c>
      <c r="Q164">
        <f>IFERROR(VLOOKUP("927-007000-500",B:AB,8+8,0),0)</f>
        <v>0</v>
      </c>
      <c r="R164">
        <f>IFERROR(VLOOKUP("927-007000-500",B:AB,9+8,0),0)</f>
        <v>0</v>
      </c>
      <c r="S164">
        <f>IFERROR(VLOOKUP("927-007000-500",B:AB,10+8,0),0)</f>
        <v>0</v>
      </c>
      <c r="T164">
        <f>IFERROR(VLOOKUP("927-007000-500",B:AB,11+8,0),0)</f>
        <v>0</v>
      </c>
      <c r="U164">
        <f>IFERROR(VLOOKUP("927-007000-500",B:AB,12+8,0),0)</f>
        <v>0</v>
      </c>
      <c r="V164">
        <f>IFERROR(VLOOKUP("927-007000-500",B:AB,13+8,0),0)</f>
        <v>0</v>
      </c>
      <c r="W164">
        <f>IFERROR(VLOOKUP("927-007000-500",B:AB,14+8,0),0)</f>
        <v>0</v>
      </c>
      <c r="X164">
        <f>IFERROR(VLOOKUP("927-007000-500",B:AB,15+8,0),0)</f>
        <v>0</v>
      </c>
      <c r="Y164">
        <f>IFERROR(VLOOKUP("927-007000-500",B:AB,16+8,0),0)</f>
        <v>0</v>
      </c>
      <c r="Z164">
        <f>IFERROR(VLOOKUP("927-007000-500",B:AB,17+8,0),0)</f>
        <v>0</v>
      </c>
      <c r="AA164">
        <f>IFERROR(VLOOKUP("927-007000-500",B:AB,18+8,0),0)</f>
        <v>0</v>
      </c>
      <c r="AB164">
        <f>IFERROR(VLOOKUP("927-007000-500",B:AB,19+8,0),0)</f>
        <v>0</v>
      </c>
      <c r="AC164">
        <f>IFERROR(VLOOKUP("927-007000-500",B:AB,20+8,0),0)</f>
        <v>0</v>
      </c>
      <c r="AD164">
        <f>IFERROR(VLOOKUP("927-007000-500",B:AB,21+8,0),0)</f>
        <v>0</v>
      </c>
      <c r="AE164">
        <f>IFERROR(VLOOKUP("927-007000-500",B:AB,22+8,0),0)</f>
        <v>0</v>
      </c>
      <c r="AF164">
        <f>IFERROR(VLOOKUP("927-007000-500",B:AB,23+8,0),0)</f>
        <v>0</v>
      </c>
      <c r="AG164">
        <f>IFERROR(VLOOKUP("927-007000-500",B:AB,24+8,0),0)</f>
        <v>0</v>
      </c>
      <c r="AH164">
        <f>IFERROR(VLOOKUP("927-007000-500",B:AB,25+8,0),0)</f>
        <v>0</v>
      </c>
      <c r="AI164">
        <f>IFERROR(VLOOKUP("927-007000-500",B:AB,26+8,0),0)</f>
        <v>0</v>
      </c>
      <c r="AJ164">
        <f>IFERROR(VLOOKUP("927-007000-500",B:AB,27+8,0),0)</f>
        <v>0</v>
      </c>
      <c r="AK164">
        <f>IFERROR(VLOOKUP("927-007000-500",B:AB,28+8,0),0)</f>
        <v>0</v>
      </c>
      <c r="AL164">
        <f>IFERROR(VLOOKUP("927-007000-500",B:AB,29+8,0),0)</f>
        <v>0</v>
      </c>
      <c r="AM164">
        <f>IFERROR(VLOOKUP("927-007000-500",B:AB,30+8,0),0)</f>
        <v>0</v>
      </c>
      <c r="AN164">
        <f>IFERROR(VLOOKUP("927-007000-500",B:AB,31+8,0),0)</f>
        <v>0</v>
      </c>
      <c r="AO164">
        <f>SUN(INDIRECT(ADDRESS(163,8)):INDIRECT(ADDRESS(163,39)))</f>
        <v>0</v>
      </c>
    </row>
    <row r="165" spans="1:41">
      <c r="H165" t="s">
        <v>179</v>
      </c>
      <c r="J165">
        <f>INDIRECT(ADDRESS(165,9))+INDIRECT(ADDRESS(163,10))-INDIRECT(ADDRESS(164,10))</f>
        <v>0</v>
      </c>
      <c r="K165">
        <f>INDIRECT(ADDRESS(165,10))+INDIRECT(ADDRESS(163,11))-INDIRECT(ADDRESS(164,11))</f>
        <v>0</v>
      </c>
      <c r="L165">
        <f>INDIRECT(ADDRESS(165,11))+INDIRECT(ADDRESS(163,12))-INDIRECT(ADDRESS(164,12))</f>
        <v>0</v>
      </c>
      <c r="M165">
        <f>INDIRECT(ADDRESS(165,12))+INDIRECT(ADDRESS(163,13))-INDIRECT(ADDRESS(164,13))</f>
        <v>0</v>
      </c>
      <c r="N165">
        <f>INDIRECT(ADDRESS(165,13))+INDIRECT(ADDRESS(163,14))-INDIRECT(ADDRESS(164,14))</f>
        <v>0</v>
      </c>
      <c r="O165">
        <f>INDIRECT(ADDRESS(165,14))+INDIRECT(ADDRESS(163,15))-INDIRECT(ADDRESS(164,15))</f>
        <v>0</v>
      </c>
      <c r="P165">
        <f>INDIRECT(ADDRESS(165,15))+INDIRECT(ADDRESS(163,16))-INDIRECT(ADDRESS(164,16))</f>
        <v>0</v>
      </c>
      <c r="Q165">
        <f>INDIRECT(ADDRESS(165,16))+INDIRECT(ADDRESS(163,17))-INDIRECT(ADDRESS(164,17))</f>
        <v>0</v>
      </c>
      <c r="R165">
        <f>INDIRECT(ADDRESS(165,17))+INDIRECT(ADDRESS(163,18))-INDIRECT(ADDRESS(164,18))</f>
        <v>0</v>
      </c>
      <c r="S165">
        <f>INDIRECT(ADDRESS(165,18))+INDIRECT(ADDRESS(163,19))-INDIRECT(ADDRESS(164,19))</f>
        <v>0</v>
      </c>
      <c r="T165">
        <f>INDIRECT(ADDRESS(165,19))+INDIRECT(ADDRESS(163,20))-INDIRECT(ADDRESS(164,20))</f>
        <v>0</v>
      </c>
      <c r="U165">
        <f>INDIRECT(ADDRESS(165,20))+INDIRECT(ADDRESS(163,21))-INDIRECT(ADDRESS(164,21))</f>
        <v>0</v>
      </c>
      <c r="V165">
        <f>INDIRECT(ADDRESS(165,21))+INDIRECT(ADDRESS(163,22))-INDIRECT(ADDRESS(164,22))</f>
        <v>0</v>
      </c>
      <c r="W165">
        <f>INDIRECT(ADDRESS(165,22))+INDIRECT(ADDRESS(163,23))-INDIRECT(ADDRESS(164,23))</f>
        <v>0</v>
      </c>
      <c r="X165">
        <f>INDIRECT(ADDRESS(165,23))+INDIRECT(ADDRESS(163,24))-INDIRECT(ADDRESS(164,24))</f>
        <v>0</v>
      </c>
      <c r="Y165">
        <f>INDIRECT(ADDRESS(165,24))+INDIRECT(ADDRESS(163,25))-INDIRECT(ADDRESS(164,25))</f>
        <v>0</v>
      </c>
      <c r="Z165">
        <f>INDIRECT(ADDRESS(165,25))+INDIRECT(ADDRESS(163,26))-INDIRECT(ADDRESS(164,26))</f>
        <v>0</v>
      </c>
      <c r="AA165">
        <f>INDIRECT(ADDRESS(165,26))+INDIRECT(ADDRESS(163,27))-INDIRECT(ADDRESS(164,27))</f>
        <v>0</v>
      </c>
      <c r="AB165">
        <f>INDIRECT(ADDRESS(165,27))+INDIRECT(ADDRESS(163,28))-INDIRECT(ADDRESS(164,28))</f>
        <v>0</v>
      </c>
      <c r="AC165">
        <f>INDIRECT(ADDRESS(165,28))+INDIRECT(ADDRESS(163,29))-INDIRECT(ADDRESS(164,29))</f>
        <v>0</v>
      </c>
      <c r="AD165">
        <f>INDIRECT(ADDRESS(165,29))+INDIRECT(ADDRESS(163,30))-INDIRECT(ADDRESS(164,30))</f>
        <v>0</v>
      </c>
      <c r="AE165">
        <f>INDIRECT(ADDRESS(165,30))+INDIRECT(ADDRESS(163,31))-INDIRECT(ADDRESS(164,31))</f>
        <v>0</v>
      </c>
      <c r="AF165">
        <f>INDIRECT(ADDRESS(165,31))+INDIRECT(ADDRESS(163,32))-INDIRECT(ADDRESS(164,32))</f>
        <v>0</v>
      </c>
      <c r="AG165">
        <f>INDIRECT(ADDRESS(165,32))+INDIRECT(ADDRESS(163,33))-INDIRECT(ADDRESS(164,33))</f>
        <v>0</v>
      </c>
      <c r="AH165">
        <f>INDIRECT(ADDRESS(165,33))+INDIRECT(ADDRESS(163,34))-INDIRECT(ADDRESS(164,34))</f>
        <v>0</v>
      </c>
      <c r="AI165">
        <f>INDIRECT(ADDRESS(165,34))+INDIRECT(ADDRESS(163,35))-INDIRECT(ADDRESS(164,35))</f>
        <v>0</v>
      </c>
      <c r="AJ165">
        <f>INDIRECT(ADDRESS(165,35))+INDIRECT(ADDRESS(163,36))-INDIRECT(ADDRESS(164,36))</f>
        <v>0</v>
      </c>
      <c r="AK165">
        <f>INDIRECT(ADDRESS(165,36))+INDIRECT(ADDRESS(163,37))-INDIRECT(ADDRESS(164,37))</f>
        <v>0</v>
      </c>
      <c r="AL165">
        <f>INDIRECT(ADDRESS(165,37))+INDIRECT(ADDRESS(163,38))-INDIRECT(ADDRESS(164,38))</f>
        <v>0</v>
      </c>
      <c r="AM165">
        <f>INDIRECT(ADDRESS(165,38))+INDIRECT(ADDRESS(163,39))-INDIRECT(ADDRESS(164,39))</f>
        <v>0</v>
      </c>
      <c r="AN165">
        <f>INDIRECT(ADDRESS(165,39))+INDIRECT(ADDRESS(163,40))-INDIRECT(ADDRESS(164,40))</f>
        <v>0</v>
      </c>
      <c r="AO165">
        <f>SUM(INDIRECT(ADDRESS(164,8)):INDIRECT(ADDRESS(164,39)))</f>
        <v>0</v>
      </c>
    </row>
    <row r="166" spans="1:41">
      <c r="A166" t="s">
        <v>185</v>
      </c>
      <c r="B166" t="s">
        <v>251</v>
      </c>
      <c r="C166" t="s">
        <v>252</v>
      </c>
      <c r="E166">
        <v>2</v>
      </c>
      <c r="F166" t="s">
        <v>11</v>
      </c>
      <c r="I166" t="s">
        <v>177</v>
      </c>
    </row>
    <row r="167" spans="1:41">
      <c r="I167" t="s">
        <v>178</v>
      </c>
      <c r="J167">
        <f>IFERROR(VLOOKUP("927-007000-500",B:AB,1+8,0),0)</f>
        <v>0</v>
      </c>
      <c r="K167">
        <f>IFERROR(VLOOKUP("927-007000-500",B:AB,2+8,0),0)</f>
        <v>0</v>
      </c>
      <c r="L167">
        <f>IFERROR(VLOOKUP("927-007000-500",B:AB,3+8,0),0)</f>
        <v>0</v>
      </c>
      <c r="M167">
        <f>IFERROR(VLOOKUP("927-007000-500",B:AB,4+8,0),0)</f>
        <v>0</v>
      </c>
      <c r="N167">
        <f>IFERROR(VLOOKUP("927-007000-500",B:AB,5+8,0),0)</f>
        <v>0</v>
      </c>
      <c r="O167">
        <f>IFERROR(VLOOKUP("927-007000-500",B:AB,6+8,0),0)</f>
        <v>0</v>
      </c>
      <c r="P167">
        <f>IFERROR(VLOOKUP("927-007000-500",B:AB,7+8,0),0)</f>
        <v>0</v>
      </c>
      <c r="Q167">
        <f>IFERROR(VLOOKUP("927-007000-500",B:AB,8+8,0),0)</f>
        <v>0</v>
      </c>
      <c r="R167">
        <f>IFERROR(VLOOKUP("927-007000-500",B:AB,9+8,0),0)</f>
        <v>0</v>
      </c>
      <c r="S167">
        <f>IFERROR(VLOOKUP("927-007000-500",B:AB,10+8,0),0)</f>
        <v>0</v>
      </c>
      <c r="T167">
        <f>IFERROR(VLOOKUP("927-007000-500",B:AB,11+8,0),0)</f>
        <v>0</v>
      </c>
      <c r="U167">
        <f>IFERROR(VLOOKUP("927-007000-500",B:AB,12+8,0),0)</f>
        <v>0</v>
      </c>
      <c r="V167">
        <f>IFERROR(VLOOKUP("927-007000-500",B:AB,13+8,0),0)</f>
        <v>0</v>
      </c>
      <c r="W167">
        <f>IFERROR(VLOOKUP("927-007000-500",B:AB,14+8,0),0)</f>
        <v>0</v>
      </c>
      <c r="X167">
        <f>IFERROR(VLOOKUP("927-007000-500",B:AB,15+8,0),0)</f>
        <v>0</v>
      </c>
      <c r="Y167">
        <f>IFERROR(VLOOKUP("927-007000-500",B:AB,16+8,0),0)</f>
        <v>0</v>
      </c>
      <c r="Z167">
        <f>IFERROR(VLOOKUP("927-007000-500",B:AB,17+8,0),0)</f>
        <v>0</v>
      </c>
      <c r="AA167">
        <f>IFERROR(VLOOKUP("927-007000-500",B:AB,18+8,0),0)</f>
        <v>0</v>
      </c>
      <c r="AB167">
        <f>IFERROR(VLOOKUP("927-007000-500",B:AB,19+8,0),0)</f>
        <v>0</v>
      </c>
      <c r="AC167">
        <f>IFERROR(VLOOKUP("927-007000-500",B:AB,20+8,0),0)</f>
        <v>0</v>
      </c>
      <c r="AD167">
        <f>IFERROR(VLOOKUP("927-007000-500",B:AB,21+8,0),0)</f>
        <v>0</v>
      </c>
      <c r="AE167">
        <f>IFERROR(VLOOKUP("927-007000-500",B:AB,22+8,0),0)</f>
        <v>0</v>
      </c>
      <c r="AF167">
        <f>IFERROR(VLOOKUP("927-007000-500",B:AB,23+8,0),0)</f>
        <v>0</v>
      </c>
      <c r="AG167">
        <f>IFERROR(VLOOKUP("927-007000-500",B:AB,24+8,0),0)</f>
        <v>0</v>
      </c>
      <c r="AH167">
        <f>IFERROR(VLOOKUP("927-007000-500",B:AB,25+8,0),0)</f>
        <v>0</v>
      </c>
      <c r="AI167">
        <f>IFERROR(VLOOKUP("927-007000-500",B:AB,26+8,0),0)</f>
        <v>0</v>
      </c>
      <c r="AJ167">
        <f>IFERROR(VLOOKUP("927-007000-500",B:AB,27+8,0),0)</f>
        <v>0</v>
      </c>
      <c r="AK167">
        <f>IFERROR(VLOOKUP("927-007000-500",B:AB,28+8,0),0)</f>
        <v>0</v>
      </c>
      <c r="AL167">
        <f>IFERROR(VLOOKUP("927-007000-500",B:AB,29+8,0),0)</f>
        <v>0</v>
      </c>
      <c r="AM167">
        <f>IFERROR(VLOOKUP("927-007000-500",B:AB,30+8,0),0)</f>
        <v>0</v>
      </c>
      <c r="AN167">
        <f>IFERROR(VLOOKUP("927-007000-500",B:AB,31+8,0),0)</f>
        <v>0</v>
      </c>
      <c r="AO167">
        <f>SUN(INDIRECT(ADDRESS(166,8)):INDIRECT(ADDRESS(166,39)))</f>
        <v>0</v>
      </c>
    </row>
    <row r="168" spans="1:41">
      <c r="H168" t="s">
        <v>179</v>
      </c>
      <c r="J168">
        <f>INDIRECT(ADDRESS(168,9))+INDIRECT(ADDRESS(166,10))-INDIRECT(ADDRESS(167,10))</f>
        <v>0</v>
      </c>
      <c r="K168">
        <f>INDIRECT(ADDRESS(168,10))+INDIRECT(ADDRESS(166,11))-INDIRECT(ADDRESS(167,11))</f>
        <v>0</v>
      </c>
      <c r="L168">
        <f>INDIRECT(ADDRESS(168,11))+INDIRECT(ADDRESS(166,12))-INDIRECT(ADDRESS(167,12))</f>
        <v>0</v>
      </c>
      <c r="M168">
        <f>INDIRECT(ADDRESS(168,12))+INDIRECT(ADDRESS(166,13))-INDIRECT(ADDRESS(167,13))</f>
        <v>0</v>
      </c>
      <c r="N168">
        <f>INDIRECT(ADDRESS(168,13))+INDIRECT(ADDRESS(166,14))-INDIRECT(ADDRESS(167,14))</f>
        <v>0</v>
      </c>
      <c r="O168">
        <f>INDIRECT(ADDRESS(168,14))+INDIRECT(ADDRESS(166,15))-INDIRECT(ADDRESS(167,15))</f>
        <v>0</v>
      </c>
      <c r="P168">
        <f>INDIRECT(ADDRESS(168,15))+INDIRECT(ADDRESS(166,16))-INDIRECT(ADDRESS(167,16))</f>
        <v>0</v>
      </c>
      <c r="Q168">
        <f>INDIRECT(ADDRESS(168,16))+INDIRECT(ADDRESS(166,17))-INDIRECT(ADDRESS(167,17))</f>
        <v>0</v>
      </c>
      <c r="R168">
        <f>INDIRECT(ADDRESS(168,17))+INDIRECT(ADDRESS(166,18))-INDIRECT(ADDRESS(167,18))</f>
        <v>0</v>
      </c>
      <c r="S168">
        <f>INDIRECT(ADDRESS(168,18))+INDIRECT(ADDRESS(166,19))-INDIRECT(ADDRESS(167,19))</f>
        <v>0</v>
      </c>
      <c r="T168">
        <f>INDIRECT(ADDRESS(168,19))+INDIRECT(ADDRESS(166,20))-INDIRECT(ADDRESS(167,20))</f>
        <v>0</v>
      </c>
      <c r="U168">
        <f>INDIRECT(ADDRESS(168,20))+INDIRECT(ADDRESS(166,21))-INDIRECT(ADDRESS(167,21))</f>
        <v>0</v>
      </c>
      <c r="V168">
        <f>INDIRECT(ADDRESS(168,21))+INDIRECT(ADDRESS(166,22))-INDIRECT(ADDRESS(167,22))</f>
        <v>0</v>
      </c>
      <c r="W168">
        <f>INDIRECT(ADDRESS(168,22))+INDIRECT(ADDRESS(166,23))-INDIRECT(ADDRESS(167,23))</f>
        <v>0</v>
      </c>
      <c r="X168">
        <f>INDIRECT(ADDRESS(168,23))+INDIRECT(ADDRESS(166,24))-INDIRECT(ADDRESS(167,24))</f>
        <v>0</v>
      </c>
      <c r="Y168">
        <f>INDIRECT(ADDRESS(168,24))+INDIRECT(ADDRESS(166,25))-INDIRECT(ADDRESS(167,25))</f>
        <v>0</v>
      </c>
      <c r="Z168">
        <f>INDIRECT(ADDRESS(168,25))+INDIRECT(ADDRESS(166,26))-INDIRECT(ADDRESS(167,26))</f>
        <v>0</v>
      </c>
      <c r="AA168">
        <f>INDIRECT(ADDRESS(168,26))+INDIRECT(ADDRESS(166,27))-INDIRECT(ADDRESS(167,27))</f>
        <v>0</v>
      </c>
      <c r="AB168">
        <f>INDIRECT(ADDRESS(168,27))+INDIRECT(ADDRESS(166,28))-INDIRECT(ADDRESS(167,28))</f>
        <v>0</v>
      </c>
      <c r="AC168">
        <f>INDIRECT(ADDRESS(168,28))+INDIRECT(ADDRESS(166,29))-INDIRECT(ADDRESS(167,29))</f>
        <v>0</v>
      </c>
      <c r="AD168">
        <f>INDIRECT(ADDRESS(168,29))+INDIRECT(ADDRESS(166,30))-INDIRECT(ADDRESS(167,30))</f>
        <v>0</v>
      </c>
      <c r="AE168">
        <f>INDIRECT(ADDRESS(168,30))+INDIRECT(ADDRESS(166,31))-INDIRECT(ADDRESS(167,31))</f>
        <v>0</v>
      </c>
      <c r="AF168">
        <f>INDIRECT(ADDRESS(168,31))+INDIRECT(ADDRESS(166,32))-INDIRECT(ADDRESS(167,32))</f>
        <v>0</v>
      </c>
      <c r="AG168">
        <f>INDIRECT(ADDRESS(168,32))+INDIRECT(ADDRESS(166,33))-INDIRECT(ADDRESS(167,33))</f>
        <v>0</v>
      </c>
      <c r="AH168">
        <f>INDIRECT(ADDRESS(168,33))+INDIRECT(ADDRESS(166,34))-INDIRECT(ADDRESS(167,34))</f>
        <v>0</v>
      </c>
      <c r="AI168">
        <f>INDIRECT(ADDRESS(168,34))+INDIRECT(ADDRESS(166,35))-INDIRECT(ADDRESS(167,35))</f>
        <v>0</v>
      </c>
      <c r="AJ168">
        <f>INDIRECT(ADDRESS(168,35))+INDIRECT(ADDRESS(166,36))-INDIRECT(ADDRESS(167,36))</f>
        <v>0</v>
      </c>
      <c r="AK168">
        <f>INDIRECT(ADDRESS(168,36))+INDIRECT(ADDRESS(166,37))-INDIRECT(ADDRESS(167,37))</f>
        <v>0</v>
      </c>
      <c r="AL168">
        <f>INDIRECT(ADDRESS(168,37))+INDIRECT(ADDRESS(166,38))-INDIRECT(ADDRESS(167,38))</f>
        <v>0</v>
      </c>
      <c r="AM168">
        <f>INDIRECT(ADDRESS(168,38))+INDIRECT(ADDRESS(166,39))-INDIRECT(ADDRESS(167,39))</f>
        <v>0</v>
      </c>
      <c r="AN168">
        <f>INDIRECT(ADDRESS(168,39))+INDIRECT(ADDRESS(166,40))-INDIRECT(ADDRESS(167,40))</f>
        <v>0</v>
      </c>
      <c r="AO168">
        <f>SUM(INDIRECT(ADDRESS(167,8)):INDIRECT(ADDRESS(167,39)))</f>
        <v>0</v>
      </c>
    </row>
    <row r="169" spans="1:41">
      <c r="A169" t="s">
        <v>185</v>
      </c>
      <c r="B169" t="s">
        <v>196</v>
      </c>
      <c r="C169" t="s">
        <v>197</v>
      </c>
      <c r="E169">
        <v>2</v>
      </c>
      <c r="F169" t="s">
        <v>11</v>
      </c>
      <c r="I169" t="s">
        <v>177</v>
      </c>
    </row>
    <row r="170" spans="1:41">
      <c r="I170" t="s">
        <v>178</v>
      </c>
      <c r="J170">
        <f>IFERROR(VLOOKUP("927-007000-500",B:AB,1+8,0),0)</f>
        <v>0</v>
      </c>
      <c r="K170">
        <f>IFERROR(VLOOKUP("927-007000-500",B:AB,2+8,0),0)</f>
        <v>0</v>
      </c>
      <c r="L170">
        <f>IFERROR(VLOOKUP("927-007000-500",B:AB,3+8,0),0)</f>
        <v>0</v>
      </c>
      <c r="M170">
        <f>IFERROR(VLOOKUP("927-007000-500",B:AB,4+8,0),0)</f>
        <v>0</v>
      </c>
      <c r="N170">
        <f>IFERROR(VLOOKUP("927-007000-500",B:AB,5+8,0),0)</f>
        <v>0</v>
      </c>
      <c r="O170">
        <f>IFERROR(VLOOKUP("927-007000-500",B:AB,6+8,0),0)</f>
        <v>0</v>
      </c>
      <c r="P170">
        <f>IFERROR(VLOOKUP("927-007000-500",B:AB,7+8,0),0)</f>
        <v>0</v>
      </c>
      <c r="Q170">
        <f>IFERROR(VLOOKUP("927-007000-500",B:AB,8+8,0),0)</f>
        <v>0</v>
      </c>
      <c r="R170">
        <f>IFERROR(VLOOKUP("927-007000-500",B:AB,9+8,0),0)</f>
        <v>0</v>
      </c>
      <c r="S170">
        <f>IFERROR(VLOOKUP("927-007000-500",B:AB,10+8,0),0)</f>
        <v>0</v>
      </c>
      <c r="T170">
        <f>IFERROR(VLOOKUP("927-007000-500",B:AB,11+8,0),0)</f>
        <v>0</v>
      </c>
      <c r="U170">
        <f>IFERROR(VLOOKUP("927-007000-500",B:AB,12+8,0),0)</f>
        <v>0</v>
      </c>
      <c r="V170">
        <f>IFERROR(VLOOKUP("927-007000-500",B:AB,13+8,0),0)</f>
        <v>0</v>
      </c>
      <c r="W170">
        <f>IFERROR(VLOOKUP("927-007000-500",B:AB,14+8,0),0)</f>
        <v>0</v>
      </c>
      <c r="X170">
        <f>IFERROR(VLOOKUP("927-007000-500",B:AB,15+8,0),0)</f>
        <v>0</v>
      </c>
      <c r="Y170">
        <f>IFERROR(VLOOKUP("927-007000-500",B:AB,16+8,0),0)</f>
        <v>0</v>
      </c>
      <c r="Z170">
        <f>IFERROR(VLOOKUP("927-007000-500",B:AB,17+8,0),0)</f>
        <v>0</v>
      </c>
      <c r="AA170">
        <f>IFERROR(VLOOKUP("927-007000-500",B:AB,18+8,0),0)</f>
        <v>0</v>
      </c>
      <c r="AB170">
        <f>IFERROR(VLOOKUP("927-007000-500",B:AB,19+8,0),0)</f>
        <v>0</v>
      </c>
      <c r="AC170">
        <f>IFERROR(VLOOKUP("927-007000-500",B:AB,20+8,0),0)</f>
        <v>0</v>
      </c>
      <c r="AD170">
        <f>IFERROR(VLOOKUP("927-007000-500",B:AB,21+8,0),0)</f>
        <v>0</v>
      </c>
      <c r="AE170">
        <f>IFERROR(VLOOKUP("927-007000-500",B:AB,22+8,0),0)</f>
        <v>0</v>
      </c>
      <c r="AF170">
        <f>IFERROR(VLOOKUP("927-007000-500",B:AB,23+8,0),0)</f>
        <v>0</v>
      </c>
      <c r="AG170">
        <f>IFERROR(VLOOKUP("927-007000-500",B:AB,24+8,0),0)</f>
        <v>0</v>
      </c>
      <c r="AH170">
        <f>IFERROR(VLOOKUP("927-007000-500",B:AB,25+8,0),0)</f>
        <v>0</v>
      </c>
      <c r="AI170">
        <f>IFERROR(VLOOKUP("927-007000-500",B:AB,26+8,0),0)</f>
        <v>0</v>
      </c>
      <c r="AJ170">
        <f>IFERROR(VLOOKUP("927-007000-500",B:AB,27+8,0),0)</f>
        <v>0</v>
      </c>
      <c r="AK170">
        <f>IFERROR(VLOOKUP("927-007000-500",B:AB,28+8,0),0)</f>
        <v>0</v>
      </c>
      <c r="AL170">
        <f>IFERROR(VLOOKUP("927-007000-500",B:AB,29+8,0),0)</f>
        <v>0</v>
      </c>
      <c r="AM170">
        <f>IFERROR(VLOOKUP("927-007000-500",B:AB,30+8,0),0)</f>
        <v>0</v>
      </c>
      <c r="AN170">
        <f>IFERROR(VLOOKUP("927-007000-500",B:AB,31+8,0),0)</f>
        <v>0</v>
      </c>
      <c r="AO170">
        <f>SUN(INDIRECT(ADDRESS(169,8)):INDIRECT(ADDRESS(169,39)))</f>
        <v>0</v>
      </c>
    </row>
    <row r="171" spans="1:41">
      <c r="H171" t="s">
        <v>179</v>
      </c>
      <c r="J171">
        <f>INDIRECT(ADDRESS(171,9))+INDIRECT(ADDRESS(169,10))-INDIRECT(ADDRESS(170,10))</f>
        <v>0</v>
      </c>
      <c r="K171">
        <f>INDIRECT(ADDRESS(171,10))+INDIRECT(ADDRESS(169,11))-INDIRECT(ADDRESS(170,11))</f>
        <v>0</v>
      </c>
      <c r="L171">
        <f>INDIRECT(ADDRESS(171,11))+INDIRECT(ADDRESS(169,12))-INDIRECT(ADDRESS(170,12))</f>
        <v>0</v>
      </c>
      <c r="M171">
        <f>INDIRECT(ADDRESS(171,12))+INDIRECT(ADDRESS(169,13))-INDIRECT(ADDRESS(170,13))</f>
        <v>0</v>
      </c>
      <c r="N171">
        <f>INDIRECT(ADDRESS(171,13))+INDIRECT(ADDRESS(169,14))-INDIRECT(ADDRESS(170,14))</f>
        <v>0</v>
      </c>
      <c r="O171">
        <f>INDIRECT(ADDRESS(171,14))+INDIRECT(ADDRESS(169,15))-INDIRECT(ADDRESS(170,15))</f>
        <v>0</v>
      </c>
      <c r="P171">
        <f>INDIRECT(ADDRESS(171,15))+INDIRECT(ADDRESS(169,16))-INDIRECT(ADDRESS(170,16))</f>
        <v>0</v>
      </c>
      <c r="Q171">
        <f>INDIRECT(ADDRESS(171,16))+INDIRECT(ADDRESS(169,17))-INDIRECT(ADDRESS(170,17))</f>
        <v>0</v>
      </c>
      <c r="R171">
        <f>INDIRECT(ADDRESS(171,17))+INDIRECT(ADDRESS(169,18))-INDIRECT(ADDRESS(170,18))</f>
        <v>0</v>
      </c>
      <c r="S171">
        <f>INDIRECT(ADDRESS(171,18))+INDIRECT(ADDRESS(169,19))-INDIRECT(ADDRESS(170,19))</f>
        <v>0</v>
      </c>
      <c r="T171">
        <f>INDIRECT(ADDRESS(171,19))+INDIRECT(ADDRESS(169,20))-INDIRECT(ADDRESS(170,20))</f>
        <v>0</v>
      </c>
      <c r="U171">
        <f>INDIRECT(ADDRESS(171,20))+INDIRECT(ADDRESS(169,21))-INDIRECT(ADDRESS(170,21))</f>
        <v>0</v>
      </c>
      <c r="V171">
        <f>INDIRECT(ADDRESS(171,21))+INDIRECT(ADDRESS(169,22))-INDIRECT(ADDRESS(170,22))</f>
        <v>0</v>
      </c>
      <c r="W171">
        <f>INDIRECT(ADDRESS(171,22))+INDIRECT(ADDRESS(169,23))-INDIRECT(ADDRESS(170,23))</f>
        <v>0</v>
      </c>
      <c r="X171">
        <f>INDIRECT(ADDRESS(171,23))+INDIRECT(ADDRESS(169,24))-INDIRECT(ADDRESS(170,24))</f>
        <v>0</v>
      </c>
      <c r="Y171">
        <f>INDIRECT(ADDRESS(171,24))+INDIRECT(ADDRESS(169,25))-INDIRECT(ADDRESS(170,25))</f>
        <v>0</v>
      </c>
      <c r="Z171">
        <f>INDIRECT(ADDRESS(171,25))+INDIRECT(ADDRESS(169,26))-INDIRECT(ADDRESS(170,26))</f>
        <v>0</v>
      </c>
      <c r="AA171">
        <f>INDIRECT(ADDRESS(171,26))+INDIRECT(ADDRESS(169,27))-INDIRECT(ADDRESS(170,27))</f>
        <v>0</v>
      </c>
      <c r="AB171">
        <f>INDIRECT(ADDRESS(171,27))+INDIRECT(ADDRESS(169,28))-INDIRECT(ADDRESS(170,28))</f>
        <v>0</v>
      </c>
      <c r="AC171">
        <f>INDIRECT(ADDRESS(171,28))+INDIRECT(ADDRESS(169,29))-INDIRECT(ADDRESS(170,29))</f>
        <v>0</v>
      </c>
      <c r="AD171">
        <f>INDIRECT(ADDRESS(171,29))+INDIRECT(ADDRESS(169,30))-INDIRECT(ADDRESS(170,30))</f>
        <v>0</v>
      </c>
      <c r="AE171">
        <f>INDIRECT(ADDRESS(171,30))+INDIRECT(ADDRESS(169,31))-INDIRECT(ADDRESS(170,31))</f>
        <v>0</v>
      </c>
      <c r="AF171">
        <f>INDIRECT(ADDRESS(171,31))+INDIRECT(ADDRESS(169,32))-INDIRECT(ADDRESS(170,32))</f>
        <v>0</v>
      </c>
      <c r="AG171">
        <f>INDIRECT(ADDRESS(171,32))+INDIRECT(ADDRESS(169,33))-INDIRECT(ADDRESS(170,33))</f>
        <v>0</v>
      </c>
      <c r="AH171">
        <f>INDIRECT(ADDRESS(171,33))+INDIRECT(ADDRESS(169,34))-INDIRECT(ADDRESS(170,34))</f>
        <v>0</v>
      </c>
      <c r="AI171">
        <f>INDIRECT(ADDRESS(171,34))+INDIRECT(ADDRESS(169,35))-INDIRECT(ADDRESS(170,35))</f>
        <v>0</v>
      </c>
      <c r="AJ171">
        <f>INDIRECT(ADDRESS(171,35))+INDIRECT(ADDRESS(169,36))-INDIRECT(ADDRESS(170,36))</f>
        <v>0</v>
      </c>
      <c r="AK171">
        <f>INDIRECT(ADDRESS(171,36))+INDIRECT(ADDRESS(169,37))-INDIRECT(ADDRESS(170,37))</f>
        <v>0</v>
      </c>
      <c r="AL171">
        <f>INDIRECT(ADDRESS(171,37))+INDIRECT(ADDRESS(169,38))-INDIRECT(ADDRESS(170,38))</f>
        <v>0</v>
      </c>
      <c r="AM171">
        <f>INDIRECT(ADDRESS(171,38))+INDIRECT(ADDRESS(169,39))-INDIRECT(ADDRESS(170,39))</f>
        <v>0</v>
      </c>
      <c r="AN171">
        <f>INDIRECT(ADDRESS(171,39))+INDIRECT(ADDRESS(169,40))-INDIRECT(ADDRESS(170,40))</f>
        <v>0</v>
      </c>
      <c r="AO171">
        <f>SUM(INDIRECT(ADDRESS(170,8)):INDIRECT(ADDRESS(170,39)))</f>
        <v>0</v>
      </c>
    </row>
    <row r="172" spans="1:41">
      <c r="A172" t="s">
        <v>180</v>
      </c>
      <c r="B172" t="s">
        <v>253</v>
      </c>
      <c r="C172" t="s">
        <v>254</v>
      </c>
      <c r="E172">
        <v>1</v>
      </c>
      <c r="F172" t="s">
        <v>11</v>
      </c>
      <c r="I172" t="s">
        <v>177</v>
      </c>
    </row>
    <row r="173" spans="1:41">
      <c r="I173" t="s">
        <v>178</v>
      </c>
      <c r="J173">
        <f>IFERROR(VLOOKUP("927-007000-500",B:AB,1+8,0),0)</f>
        <v>0</v>
      </c>
      <c r="K173">
        <f>IFERROR(VLOOKUP("927-007000-500",B:AB,2+8,0),0)</f>
        <v>0</v>
      </c>
      <c r="L173">
        <f>IFERROR(VLOOKUP("927-007000-500",B:AB,3+8,0),0)</f>
        <v>0</v>
      </c>
      <c r="M173">
        <f>IFERROR(VLOOKUP("927-007000-500",B:AB,4+8,0),0)</f>
        <v>0</v>
      </c>
      <c r="N173">
        <f>IFERROR(VLOOKUP("927-007000-500",B:AB,5+8,0),0)</f>
        <v>0</v>
      </c>
      <c r="O173">
        <f>IFERROR(VLOOKUP("927-007000-500",B:AB,6+8,0),0)</f>
        <v>0</v>
      </c>
      <c r="P173">
        <f>IFERROR(VLOOKUP("927-007000-500",B:AB,7+8,0),0)</f>
        <v>0</v>
      </c>
      <c r="Q173">
        <f>IFERROR(VLOOKUP("927-007000-500",B:AB,8+8,0),0)</f>
        <v>0</v>
      </c>
      <c r="R173">
        <f>IFERROR(VLOOKUP("927-007000-500",B:AB,9+8,0),0)</f>
        <v>0</v>
      </c>
      <c r="S173">
        <f>IFERROR(VLOOKUP("927-007000-500",B:AB,10+8,0),0)</f>
        <v>0</v>
      </c>
      <c r="T173">
        <f>IFERROR(VLOOKUP("927-007000-500",B:AB,11+8,0),0)</f>
        <v>0</v>
      </c>
      <c r="U173">
        <f>IFERROR(VLOOKUP("927-007000-500",B:AB,12+8,0),0)</f>
        <v>0</v>
      </c>
      <c r="V173">
        <f>IFERROR(VLOOKUP("927-007000-500",B:AB,13+8,0),0)</f>
        <v>0</v>
      </c>
      <c r="W173">
        <f>IFERROR(VLOOKUP("927-007000-500",B:AB,14+8,0),0)</f>
        <v>0</v>
      </c>
      <c r="X173">
        <f>IFERROR(VLOOKUP("927-007000-500",B:AB,15+8,0),0)</f>
        <v>0</v>
      </c>
      <c r="Y173">
        <f>IFERROR(VLOOKUP("927-007000-500",B:AB,16+8,0),0)</f>
        <v>0</v>
      </c>
      <c r="Z173">
        <f>IFERROR(VLOOKUP("927-007000-500",B:AB,17+8,0),0)</f>
        <v>0</v>
      </c>
      <c r="AA173">
        <f>IFERROR(VLOOKUP("927-007000-500",B:AB,18+8,0),0)</f>
        <v>0</v>
      </c>
      <c r="AB173">
        <f>IFERROR(VLOOKUP("927-007000-500",B:AB,19+8,0),0)</f>
        <v>0</v>
      </c>
      <c r="AC173">
        <f>IFERROR(VLOOKUP("927-007000-500",B:AB,20+8,0),0)</f>
        <v>0</v>
      </c>
      <c r="AD173">
        <f>IFERROR(VLOOKUP("927-007000-500",B:AB,21+8,0),0)</f>
        <v>0</v>
      </c>
      <c r="AE173">
        <f>IFERROR(VLOOKUP("927-007000-500",B:AB,22+8,0),0)</f>
        <v>0</v>
      </c>
      <c r="AF173">
        <f>IFERROR(VLOOKUP("927-007000-500",B:AB,23+8,0),0)</f>
        <v>0</v>
      </c>
      <c r="AG173">
        <f>IFERROR(VLOOKUP("927-007000-500",B:AB,24+8,0),0)</f>
        <v>0</v>
      </c>
      <c r="AH173">
        <f>IFERROR(VLOOKUP("927-007000-500",B:AB,25+8,0),0)</f>
        <v>0</v>
      </c>
      <c r="AI173">
        <f>IFERROR(VLOOKUP("927-007000-500",B:AB,26+8,0),0)</f>
        <v>0</v>
      </c>
      <c r="AJ173">
        <f>IFERROR(VLOOKUP("927-007000-500",B:AB,27+8,0),0)</f>
        <v>0</v>
      </c>
      <c r="AK173">
        <f>IFERROR(VLOOKUP("927-007000-500",B:AB,28+8,0),0)</f>
        <v>0</v>
      </c>
      <c r="AL173">
        <f>IFERROR(VLOOKUP("927-007000-500",B:AB,29+8,0),0)</f>
        <v>0</v>
      </c>
      <c r="AM173">
        <f>IFERROR(VLOOKUP("927-007000-500",B:AB,30+8,0),0)</f>
        <v>0</v>
      </c>
      <c r="AN173">
        <f>IFERROR(VLOOKUP("927-007000-500",B:AB,31+8,0),0)</f>
        <v>0</v>
      </c>
      <c r="AO173">
        <f>SUN(INDIRECT(ADDRESS(172,8)):INDIRECT(ADDRESS(172,39)))</f>
        <v>0</v>
      </c>
    </row>
    <row r="174" spans="1:41">
      <c r="H174" t="s">
        <v>179</v>
      </c>
      <c r="J174">
        <f>INDIRECT(ADDRESS(174,9))+INDIRECT(ADDRESS(172,10))-INDIRECT(ADDRESS(173,10))</f>
        <v>0</v>
      </c>
      <c r="K174">
        <f>INDIRECT(ADDRESS(174,10))+INDIRECT(ADDRESS(172,11))-INDIRECT(ADDRESS(173,11))</f>
        <v>0</v>
      </c>
      <c r="L174">
        <f>INDIRECT(ADDRESS(174,11))+INDIRECT(ADDRESS(172,12))-INDIRECT(ADDRESS(173,12))</f>
        <v>0</v>
      </c>
      <c r="M174">
        <f>INDIRECT(ADDRESS(174,12))+INDIRECT(ADDRESS(172,13))-INDIRECT(ADDRESS(173,13))</f>
        <v>0</v>
      </c>
      <c r="N174">
        <f>INDIRECT(ADDRESS(174,13))+INDIRECT(ADDRESS(172,14))-INDIRECT(ADDRESS(173,14))</f>
        <v>0</v>
      </c>
      <c r="O174">
        <f>INDIRECT(ADDRESS(174,14))+INDIRECT(ADDRESS(172,15))-INDIRECT(ADDRESS(173,15))</f>
        <v>0</v>
      </c>
      <c r="P174">
        <f>INDIRECT(ADDRESS(174,15))+INDIRECT(ADDRESS(172,16))-INDIRECT(ADDRESS(173,16))</f>
        <v>0</v>
      </c>
      <c r="Q174">
        <f>INDIRECT(ADDRESS(174,16))+INDIRECT(ADDRESS(172,17))-INDIRECT(ADDRESS(173,17))</f>
        <v>0</v>
      </c>
      <c r="R174">
        <f>INDIRECT(ADDRESS(174,17))+INDIRECT(ADDRESS(172,18))-INDIRECT(ADDRESS(173,18))</f>
        <v>0</v>
      </c>
      <c r="S174">
        <f>INDIRECT(ADDRESS(174,18))+INDIRECT(ADDRESS(172,19))-INDIRECT(ADDRESS(173,19))</f>
        <v>0</v>
      </c>
      <c r="T174">
        <f>INDIRECT(ADDRESS(174,19))+INDIRECT(ADDRESS(172,20))-INDIRECT(ADDRESS(173,20))</f>
        <v>0</v>
      </c>
      <c r="U174">
        <f>INDIRECT(ADDRESS(174,20))+INDIRECT(ADDRESS(172,21))-INDIRECT(ADDRESS(173,21))</f>
        <v>0</v>
      </c>
      <c r="V174">
        <f>INDIRECT(ADDRESS(174,21))+INDIRECT(ADDRESS(172,22))-INDIRECT(ADDRESS(173,22))</f>
        <v>0</v>
      </c>
      <c r="W174">
        <f>INDIRECT(ADDRESS(174,22))+INDIRECT(ADDRESS(172,23))-INDIRECT(ADDRESS(173,23))</f>
        <v>0</v>
      </c>
      <c r="X174">
        <f>INDIRECT(ADDRESS(174,23))+INDIRECT(ADDRESS(172,24))-INDIRECT(ADDRESS(173,24))</f>
        <v>0</v>
      </c>
      <c r="Y174">
        <f>INDIRECT(ADDRESS(174,24))+INDIRECT(ADDRESS(172,25))-INDIRECT(ADDRESS(173,25))</f>
        <v>0</v>
      </c>
      <c r="Z174">
        <f>INDIRECT(ADDRESS(174,25))+INDIRECT(ADDRESS(172,26))-INDIRECT(ADDRESS(173,26))</f>
        <v>0</v>
      </c>
      <c r="AA174">
        <f>INDIRECT(ADDRESS(174,26))+INDIRECT(ADDRESS(172,27))-INDIRECT(ADDRESS(173,27))</f>
        <v>0</v>
      </c>
      <c r="AB174">
        <f>INDIRECT(ADDRESS(174,27))+INDIRECT(ADDRESS(172,28))-INDIRECT(ADDRESS(173,28))</f>
        <v>0</v>
      </c>
      <c r="AC174">
        <f>INDIRECT(ADDRESS(174,28))+INDIRECT(ADDRESS(172,29))-INDIRECT(ADDRESS(173,29))</f>
        <v>0</v>
      </c>
      <c r="AD174">
        <f>INDIRECT(ADDRESS(174,29))+INDIRECT(ADDRESS(172,30))-INDIRECT(ADDRESS(173,30))</f>
        <v>0</v>
      </c>
      <c r="AE174">
        <f>INDIRECT(ADDRESS(174,30))+INDIRECT(ADDRESS(172,31))-INDIRECT(ADDRESS(173,31))</f>
        <v>0</v>
      </c>
      <c r="AF174">
        <f>INDIRECT(ADDRESS(174,31))+INDIRECT(ADDRESS(172,32))-INDIRECT(ADDRESS(173,32))</f>
        <v>0</v>
      </c>
      <c r="AG174">
        <f>INDIRECT(ADDRESS(174,32))+INDIRECT(ADDRESS(172,33))-INDIRECT(ADDRESS(173,33))</f>
        <v>0</v>
      </c>
      <c r="AH174">
        <f>INDIRECT(ADDRESS(174,33))+INDIRECT(ADDRESS(172,34))-INDIRECT(ADDRESS(173,34))</f>
        <v>0</v>
      </c>
      <c r="AI174">
        <f>INDIRECT(ADDRESS(174,34))+INDIRECT(ADDRESS(172,35))-INDIRECT(ADDRESS(173,35))</f>
        <v>0</v>
      </c>
      <c r="AJ174">
        <f>INDIRECT(ADDRESS(174,35))+INDIRECT(ADDRESS(172,36))-INDIRECT(ADDRESS(173,36))</f>
        <v>0</v>
      </c>
      <c r="AK174">
        <f>INDIRECT(ADDRESS(174,36))+INDIRECT(ADDRESS(172,37))-INDIRECT(ADDRESS(173,37))</f>
        <v>0</v>
      </c>
      <c r="AL174">
        <f>INDIRECT(ADDRESS(174,37))+INDIRECT(ADDRESS(172,38))-INDIRECT(ADDRESS(173,38))</f>
        <v>0</v>
      </c>
      <c r="AM174">
        <f>INDIRECT(ADDRESS(174,38))+INDIRECT(ADDRESS(172,39))-INDIRECT(ADDRESS(173,39))</f>
        <v>0</v>
      </c>
      <c r="AN174">
        <f>INDIRECT(ADDRESS(174,39))+INDIRECT(ADDRESS(172,40))-INDIRECT(ADDRESS(173,40))</f>
        <v>0</v>
      </c>
      <c r="AO174">
        <f>SUM(INDIRECT(ADDRESS(173,8)):INDIRECT(ADDRESS(173,39)))</f>
        <v>0</v>
      </c>
    </row>
    <row r="175" spans="1:41">
      <c r="A175" t="s">
        <v>180</v>
      </c>
      <c r="B175" t="s">
        <v>255</v>
      </c>
      <c r="C175" t="s">
        <v>256</v>
      </c>
      <c r="E175">
        <v>1</v>
      </c>
      <c r="F175" t="s">
        <v>11</v>
      </c>
      <c r="I175" t="s">
        <v>177</v>
      </c>
    </row>
    <row r="176" spans="1:41">
      <c r="I176" t="s">
        <v>178</v>
      </c>
      <c r="J176">
        <f>IFERROR(VLOOKUP("927-007000-500",B:AB,1+8,0),0)</f>
        <v>0</v>
      </c>
      <c r="K176">
        <f>IFERROR(VLOOKUP("927-007000-500",B:AB,2+8,0),0)</f>
        <v>0</v>
      </c>
      <c r="L176">
        <f>IFERROR(VLOOKUP("927-007000-500",B:AB,3+8,0),0)</f>
        <v>0</v>
      </c>
      <c r="M176">
        <f>IFERROR(VLOOKUP("927-007000-500",B:AB,4+8,0),0)</f>
        <v>0</v>
      </c>
      <c r="N176">
        <f>IFERROR(VLOOKUP("927-007000-500",B:AB,5+8,0),0)</f>
        <v>0</v>
      </c>
      <c r="O176">
        <f>IFERROR(VLOOKUP("927-007000-500",B:AB,6+8,0),0)</f>
        <v>0</v>
      </c>
      <c r="P176">
        <f>IFERROR(VLOOKUP("927-007000-500",B:AB,7+8,0),0)</f>
        <v>0</v>
      </c>
      <c r="Q176">
        <f>IFERROR(VLOOKUP("927-007000-500",B:AB,8+8,0),0)</f>
        <v>0</v>
      </c>
      <c r="R176">
        <f>IFERROR(VLOOKUP("927-007000-500",B:AB,9+8,0),0)</f>
        <v>0</v>
      </c>
      <c r="S176">
        <f>IFERROR(VLOOKUP("927-007000-500",B:AB,10+8,0),0)</f>
        <v>0</v>
      </c>
      <c r="T176">
        <f>IFERROR(VLOOKUP("927-007000-500",B:AB,11+8,0),0)</f>
        <v>0</v>
      </c>
      <c r="U176">
        <f>IFERROR(VLOOKUP("927-007000-500",B:AB,12+8,0),0)</f>
        <v>0</v>
      </c>
      <c r="V176">
        <f>IFERROR(VLOOKUP("927-007000-500",B:AB,13+8,0),0)</f>
        <v>0</v>
      </c>
      <c r="W176">
        <f>IFERROR(VLOOKUP("927-007000-500",B:AB,14+8,0),0)</f>
        <v>0</v>
      </c>
      <c r="X176">
        <f>IFERROR(VLOOKUP("927-007000-500",B:AB,15+8,0),0)</f>
        <v>0</v>
      </c>
      <c r="Y176">
        <f>IFERROR(VLOOKUP("927-007000-500",B:AB,16+8,0),0)</f>
        <v>0</v>
      </c>
      <c r="Z176">
        <f>IFERROR(VLOOKUP("927-007000-500",B:AB,17+8,0),0)</f>
        <v>0</v>
      </c>
      <c r="AA176">
        <f>IFERROR(VLOOKUP("927-007000-500",B:AB,18+8,0),0)</f>
        <v>0</v>
      </c>
      <c r="AB176">
        <f>IFERROR(VLOOKUP("927-007000-500",B:AB,19+8,0),0)</f>
        <v>0</v>
      </c>
      <c r="AC176">
        <f>IFERROR(VLOOKUP("927-007000-500",B:AB,20+8,0),0)</f>
        <v>0</v>
      </c>
      <c r="AD176">
        <f>IFERROR(VLOOKUP("927-007000-500",B:AB,21+8,0),0)</f>
        <v>0</v>
      </c>
      <c r="AE176">
        <f>IFERROR(VLOOKUP("927-007000-500",B:AB,22+8,0),0)</f>
        <v>0</v>
      </c>
      <c r="AF176">
        <f>IFERROR(VLOOKUP("927-007000-500",B:AB,23+8,0),0)</f>
        <v>0</v>
      </c>
      <c r="AG176">
        <f>IFERROR(VLOOKUP("927-007000-500",B:AB,24+8,0),0)</f>
        <v>0</v>
      </c>
      <c r="AH176">
        <f>IFERROR(VLOOKUP("927-007000-500",B:AB,25+8,0),0)</f>
        <v>0</v>
      </c>
      <c r="AI176">
        <f>IFERROR(VLOOKUP("927-007000-500",B:AB,26+8,0),0)</f>
        <v>0</v>
      </c>
      <c r="AJ176">
        <f>IFERROR(VLOOKUP("927-007000-500",B:AB,27+8,0),0)</f>
        <v>0</v>
      </c>
      <c r="AK176">
        <f>IFERROR(VLOOKUP("927-007000-500",B:AB,28+8,0),0)</f>
        <v>0</v>
      </c>
      <c r="AL176">
        <f>IFERROR(VLOOKUP("927-007000-500",B:AB,29+8,0),0)</f>
        <v>0</v>
      </c>
      <c r="AM176">
        <f>IFERROR(VLOOKUP("927-007000-500",B:AB,30+8,0),0)</f>
        <v>0</v>
      </c>
      <c r="AN176">
        <f>IFERROR(VLOOKUP("927-007000-500",B:AB,31+8,0),0)</f>
        <v>0</v>
      </c>
      <c r="AO176">
        <f>SUN(INDIRECT(ADDRESS(175,8)):INDIRECT(ADDRESS(175,39)))</f>
        <v>0</v>
      </c>
    </row>
    <row r="177" spans="1:41">
      <c r="H177" t="s">
        <v>179</v>
      </c>
      <c r="J177">
        <f>INDIRECT(ADDRESS(177,9))+INDIRECT(ADDRESS(175,10))-INDIRECT(ADDRESS(176,10))</f>
        <v>0</v>
      </c>
      <c r="K177">
        <f>INDIRECT(ADDRESS(177,10))+INDIRECT(ADDRESS(175,11))-INDIRECT(ADDRESS(176,11))</f>
        <v>0</v>
      </c>
      <c r="L177">
        <f>INDIRECT(ADDRESS(177,11))+INDIRECT(ADDRESS(175,12))-INDIRECT(ADDRESS(176,12))</f>
        <v>0</v>
      </c>
      <c r="M177">
        <f>INDIRECT(ADDRESS(177,12))+INDIRECT(ADDRESS(175,13))-INDIRECT(ADDRESS(176,13))</f>
        <v>0</v>
      </c>
      <c r="N177">
        <f>INDIRECT(ADDRESS(177,13))+INDIRECT(ADDRESS(175,14))-INDIRECT(ADDRESS(176,14))</f>
        <v>0</v>
      </c>
      <c r="O177">
        <f>INDIRECT(ADDRESS(177,14))+INDIRECT(ADDRESS(175,15))-INDIRECT(ADDRESS(176,15))</f>
        <v>0</v>
      </c>
      <c r="P177">
        <f>INDIRECT(ADDRESS(177,15))+INDIRECT(ADDRESS(175,16))-INDIRECT(ADDRESS(176,16))</f>
        <v>0</v>
      </c>
      <c r="Q177">
        <f>INDIRECT(ADDRESS(177,16))+INDIRECT(ADDRESS(175,17))-INDIRECT(ADDRESS(176,17))</f>
        <v>0</v>
      </c>
      <c r="R177">
        <f>INDIRECT(ADDRESS(177,17))+INDIRECT(ADDRESS(175,18))-INDIRECT(ADDRESS(176,18))</f>
        <v>0</v>
      </c>
      <c r="S177">
        <f>INDIRECT(ADDRESS(177,18))+INDIRECT(ADDRESS(175,19))-INDIRECT(ADDRESS(176,19))</f>
        <v>0</v>
      </c>
      <c r="T177">
        <f>INDIRECT(ADDRESS(177,19))+INDIRECT(ADDRESS(175,20))-INDIRECT(ADDRESS(176,20))</f>
        <v>0</v>
      </c>
      <c r="U177">
        <f>INDIRECT(ADDRESS(177,20))+INDIRECT(ADDRESS(175,21))-INDIRECT(ADDRESS(176,21))</f>
        <v>0</v>
      </c>
      <c r="V177">
        <f>INDIRECT(ADDRESS(177,21))+INDIRECT(ADDRESS(175,22))-INDIRECT(ADDRESS(176,22))</f>
        <v>0</v>
      </c>
      <c r="W177">
        <f>INDIRECT(ADDRESS(177,22))+INDIRECT(ADDRESS(175,23))-INDIRECT(ADDRESS(176,23))</f>
        <v>0</v>
      </c>
      <c r="X177">
        <f>INDIRECT(ADDRESS(177,23))+INDIRECT(ADDRESS(175,24))-INDIRECT(ADDRESS(176,24))</f>
        <v>0</v>
      </c>
      <c r="Y177">
        <f>INDIRECT(ADDRESS(177,24))+INDIRECT(ADDRESS(175,25))-INDIRECT(ADDRESS(176,25))</f>
        <v>0</v>
      </c>
      <c r="Z177">
        <f>INDIRECT(ADDRESS(177,25))+INDIRECT(ADDRESS(175,26))-INDIRECT(ADDRESS(176,26))</f>
        <v>0</v>
      </c>
      <c r="AA177">
        <f>INDIRECT(ADDRESS(177,26))+INDIRECT(ADDRESS(175,27))-INDIRECT(ADDRESS(176,27))</f>
        <v>0</v>
      </c>
      <c r="AB177">
        <f>INDIRECT(ADDRESS(177,27))+INDIRECT(ADDRESS(175,28))-INDIRECT(ADDRESS(176,28))</f>
        <v>0</v>
      </c>
      <c r="AC177">
        <f>INDIRECT(ADDRESS(177,28))+INDIRECT(ADDRESS(175,29))-INDIRECT(ADDRESS(176,29))</f>
        <v>0</v>
      </c>
      <c r="AD177">
        <f>INDIRECT(ADDRESS(177,29))+INDIRECT(ADDRESS(175,30))-INDIRECT(ADDRESS(176,30))</f>
        <v>0</v>
      </c>
      <c r="AE177">
        <f>INDIRECT(ADDRESS(177,30))+INDIRECT(ADDRESS(175,31))-INDIRECT(ADDRESS(176,31))</f>
        <v>0</v>
      </c>
      <c r="AF177">
        <f>INDIRECT(ADDRESS(177,31))+INDIRECT(ADDRESS(175,32))-INDIRECT(ADDRESS(176,32))</f>
        <v>0</v>
      </c>
      <c r="AG177">
        <f>INDIRECT(ADDRESS(177,32))+INDIRECT(ADDRESS(175,33))-INDIRECT(ADDRESS(176,33))</f>
        <v>0</v>
      </c>
      <c r="AH177">
        <f>INDIRECT(ADDRESS(177,33))+INDIRECT(ADDRESS(175,34))-INDIRECT(ADDRESS(176,34))</f>
        <v>0</v>
      </c>
      <c r="AI177">
        <f>INDIRECT(ADDRESS(177,34))+INDIRECT(ADDRESS(175,35))-INDIRECT(ADDRESS(176,35))</f>
        <v>0</v>
      </c>
      <c r="AJ177">
        <f>INDIRECT(ADDRESS(177,35))+INDIRECT(ADDRESS(175,36))-INDIRECT(ADDRESS(176,36))</f>
        <v>0</v>
      </c>
      <c r="AK177">
        <f>INDIRECT(ADDRESS(177,36))+INDIRECT(ADDRESS(175,37))-INDIRECT(ADDRESS(176,37))</f>
        <v>0</v>
      </c>
      <c r="AL177">
        <f>INDIRECT(ADDRESS(177,37))+INDIRECT(ADDRESS(175,38))-INDIRECT(ADDRESS(176,38))</f>
        <v>0</v>
      </c>
      <c r="AM177">
        <f>INDIRECT(ADDRESS(177,38))+INDIRECT(ADDRESS(175,39))-INDIRECT(ADDRESS(176,39))</f>
        <v>0</v>
      </c>
      <c r="AN177">
        <f>INDIRECT(ADDRESS(177,39))+INDIRECT(ADDRESS(175,40))-INDIRECT(ADDRESS(176,40))</f>
        <v>0</v>
      </c>
      <c r="AO177">
        <f>SUM(INDIRECT(ADDRESS(176,8)):INDIRECT(ADDRESS(176,39)))</f>
        <v>0</v>
      </c>
    </row>
    <row r="178" spans="1:41">
      <c r="A178" t="s">
        <v>238</v>
      </c>
      <c r="B178" t="s">
        <v>257</v>
      </c>
      <c r="C178" t="s">
        <v>258</v>
      </c>
      <c r="E178">
        <v>0.1</v>
      </c>
      <c r="F178" t="s">
        <v>11</v>
      </c>
      <c r="I178" t="s">
        <v>177</v>
      </c>
    </row>
    <row r="179" spans="1:41">
      <c r="I179" t="s">
        <v>178</v>
      </c>
      <c r="J179">
        <f>IFERROR(VLOOKUP("927-007000-500",B:AB,1+8,0),0)</f>
        <v>0</v>
      </c>
      <c r="K179">
        <f>IFERROR(VLOOKUP("927-007000-500",B:AB,2+8,0),0)</f>
        <v>0</v>
      </c>
      <c r="L179">
        <f>IFERROR(VLOOKUP("927-007000-500",B:AB,3+8,0),0)</f>
        <v>0</v>
      </c>
      <c r="M179">
        <f>IFERROR(VLOOKUP("927-007000-500",B:AB,4+8,0),0)</f>
        <v>0</v>
      </c>
      <c r="N179">
        <f>IFERROR(VLOOKUP("927-007000-500",B:AB,5+8,0),0)</f>
        <v>0</v>
      </c>
      <c r="O179">
        <f>IFERROR(VLOOKUP("927-007000-500",B:AB,6+8,0),0)</f>
        <v>0</v>
      </c>
      <c r="P179">
        <f>IFERROR(VLOOKUP("927-007000-500",B:AB,7+8,0),0)</f>
        <v>0</v>
      </c>
      <c r="Q179">
        <f>IFERROR(VLOOKUP("927-007000-500",B:AB,8+8,0),0)</f>
        <v>0</v>
      </c>
      <c r="R179">
        <f>IFERROR(VLOOKUP("927-007000-500",B:AB,9+8,0),0)</f>
        <v>0</v>
      </c>
      <c r="S179">
        <f>IFERROR(VLOOKUP("927-007000-500",B:AB,10+8,0),0)</f>
        <v>0</v>
      </c>
      <c r="T179">
        <f>IFERROR(VLOOKUP("927-007000-500",B:AB,11+8,0),0)</f>
        <v>0</v>
      </c>
      <c r="U179">
        <f>IFERROR(VLOOKUP("927-007000-500",B:AB,12+8,0),0)</f>
        <v>0</v>
      </c>
      <c r="V179">
        <f>IFERROR(VLOOKUP("927-007000-500",B:AB,13+8,0),0)</f>
        <v>0</v>
      </c>
      <c r="W179">
        <f>IFERROR(VLOOKUP("927-007000-500",B:AB,14+8,0),0)</f>
        <v>0</v>
      </c>
      <c r="X179">
        <f>IFERROR(VLOOKUP("927-007000-500",B:AB,15+8,0),0)</f>
        <v>0</v>
      </c>
      <c r="Y179">
        <f>IFERROR(VLOOKUP("927-007000-500",B:AB,16+8,0),0)</f>
        <v>0</v>
      </c>
      <c r="Z179">
        <f>IFERROR(VLOOKUP("927-007000-500",B:AB,17+8,0),0)</f>
        <v>0</v>
      </c>
      <c r="AA179">
        <f>IFERROR(VLOOKUP("927-007000-500",B:AB,18+8,0),0)</f>
        <v>0</v>
      </c>
      <c r="AB179">
        <f>IFERROR(VLOOKUP("927-007000-500",B:AB,19+8,0),0)</f>
        <v>0</v>
      </c>
      <c r="AC179">
        <f>IFERROR(VLOOKUP("927-007000-500",B:AB,20+8,0),0)</f>
        <v>0</v>
      </c>
      <c r="AD179">
        <f>IFERROR(VLOOKUP("927-007000-500",B:AB,21+8,0),0)</f>
        <v>0</v>
      </c>
      <c r="AE179">
        <f>IFERROR(VLOOKUP("927-007000-500",B:AB,22+8,0),0)</f>
        <v>0</v>
      </c>
      <c r="AF179">
        <f>IFERROR(VLOOKUP("927-007000-500",B:AB,23+8,0),0)</f>
        <v>0</v>
      </c>
      <c r="AG179">
        <f>IFERROR(VLOOKUP("927-007000-500",B:AB,24+8,0),0)</f>
        <v>0</v>
      </c>
      <c r="AH179">
        <f>IFERROR(VLOOKUP("927-007000-500",B:AB,25+8,0),0)</f>
        <v>0</v>
      </c>
      <c r="AI179">
        <f>IFERROR(VLOOKUP("927-007000-500",B:AB,26+8,0),0)</f>
        <v>0</v>
      </c>
      <c r="AJ179">
        <f>IFERROR(VLOOKUP("927-007000-500",B:AB,27+8,0),0)</f>
        <v>0</v>
      </c>
      <c r="AK179">
        <f>IFERROR(VLOOKUP("927-007000-500",B:AB,28+8,0),0)</f>
        <v>0</v>
      </c>
      <c r="AL179">
        <f>IFERROR(VLOOKUP("927-007000-500",B:AB,29+8,0),0)</f>
        <v>0</v>
      </c>
      <c r="AM179">
        <f>IFERROR(VLOOKUP("927-007000-500",B:AB,30+8,0),0)</f>
        <v>0</v>
      </c>
      <c r="AN179">
        <f>IFERROR(VLOOKUP("927-007000-500",B:AB,31+8,0),0)</f>
        <v>0</v>
      </c>
      <c r="AO179">
        <f>SUN(INDIRECT(ADDRESS(178,8)):INDIRECT(ADDRESS(178,39)))</f>
        <v>0</v>
      </c>
    </row>
    <row r="180" spans="1:41">
      <c r="H180" t="s">
        <v>179</v>
      </c>
      <c r="J180">
        <f>INDIRECT(ADDRESS(180,9))+INDIRECT(ADDRESS(178,10))-INDIRECT(ADDRESS(179,10))</f>
        <v>0</v>
      </c>
      <c r="K180">
        <f>INDIRECT(ADDRESS(180,10))+INDIRECT(ADDRESS(178,11))-INDIRECT(ADDRESS(179,11))</f>
        <v>0</v>
      </c>
      <c r="L180">
        <f>INDIRECT(ADDRESS(180,11))+INDIRECT(ADDRESS(178,12))-INDIRECT(ADDRESS(179,12))</f>
        <v>0</v>
      </c>
      <c r="M180">
        <f>INDIRECT(ADDRESS(180,12))+INDIRECT(ADDRESS(178,13))-INDIRECT(ADDRESS(179,13))</f>
        <v>0</v>
      </c>
      <c r="N180">
        <f>INDIRECT(ADDRESS(180,13))+INDIRECT(ADDRESS(178,14))-INDIRECT(ADDRESS(179,14))</f>
        <v>0</v>
      </c>
      <c r="O180">
        <f>INDIRECT(ADDRESS(180,14))+INDIRECT(ADDRESS(178,15))-INDIRECT(ADDRESS(179,15))</f>
        <v>0</v>
      </c>
      <c r="P180">
        <f>INDIRECT(ADDRESS(180,15))+INDIRECT(ADDRESS(178,16))-INDIRECT(ADDRESS(179,16))</f>
        <v>0</v>
      </c>
      <c r="Q180">
        <f>INDIRECT(ADDRESS(180,16))+INDIRECT(ADDRESS(178,17))-INDIRECT(ADDRESS(179,17))</f>
        <v>0</v>
      </c>
      <c r="R180">
        <f>INDIRECT(ADDRESS(180,17))+INDIRECT(ADDRESS(178,18))-INDIRECT(ADDRESS(179,18))</f>
        <v>0</v>
      </c>
      <c r="S180">
        <f>INDIRECT(ADDRESS(180,18))+INDIRECT(ADDRESS(178,19))-INDIRECT(ADDRESS(179,19))</f>
        <v>0</v>
      </c>
      <c r="T180">
        <f>INDIRECT(ADDRESS(180,19))+INDIRECT(ADDRESS(178,20))-INDIRECT(ADDRESS(179,20))</f>
        <v>0</v>
      </c>
      <c r="U180">
        <f>INDIRECT(ADDRESS(180,20))+INDIRECT(ADDRESS(178,21))-INDIRECT(ADDRESS(179,21))</f>
        <v>0</v>
      </c>
      <c r="V180">
        <f>INDIRECT(ADDRESS(180,21))+INDIRECT(ADDRESS(178,22))-INDIRECT(ADDRESS(179,22))</f>
        <v>0</v>
      </c>
      <c r="W180">
        <f>INDIRECT(ADDRESS(180,22))+INDIRECT(ADDRESS(178,23))-INDIRECT(ADDRESS(179,23))</f>
        <v>0</v>
      </c>
      <c r="X180">
        <f>INDIRECT(ADDRESS(180,23))+INDIRECT(ADDRESS(178,24))-INDIRECT(ADDRESS(179,24))</f>
        <v>0</v>
      </c>
      <c r="Y180">
        <f>INDIRECT(ADDRESS(180,24))+INDIRECT(ADDRESS(178,25))-INDIRECT(ADDRESS(179,25))</f>
        <v>0</v>
      </c>
      <c r="Z180">
        <f>INDIRECT(ADDRESS(180,25))+INDIRECT(ADDRESS(178,26))-INDIRECT(ADDRESS(179,26))</f>
        <v>0</v>
      </c>
      <c r="AA180">
        <f>INDIRECT(ADDRESS(180,26))+INDIRECT(ADDRESS(178,27))-INDIRECT(ADDRESS(179,27))</f>
        <v>0</v>
      </c>
      <c r="AB180">
        <f>INDIRECT(ADDRESS(180,27))+INDIRECT(ADDRESS(178,28))-INDIRECT(ADDRESS(179,28))</f>
        <v>0</v>
      </c>
      <c r="AC180">
        <f>INDIRECT(ADDRESS(180,28))+INDIRECT(ADDRESS(178,29))-INDIRECT(ADDRESS(179,29))</f>
        <v>0</v>
      </c>
      <c r="AD180">
        <f>INDIRECT(ADDRESS(180,29))+INDIRECT(ADDRESS(178,30))-INDIRECT(ADDRESS(179,30))</f>
        <v>0</v>
      </c>
      <c r="AE180">
        <f>INDIRECT(ADDRESS(180,30))+INDIRECT(ADDRESS(178,31))-INDIRECT(ADDRESS(179,31))</f>
        <v>0</v>
      </c>
      <c r="AF180">
        <f>INDIRECT(ADDRESS(180,31))+INDIRECT(ADDRESS(178,32))-INDIRECT(ADDRESS(179,32))</f>
        <v>0</v>
      </c>
      <c r="AG180">
        <f>INDIRECT(ADDRESS(180,32))+INDIRECT(ADDRESS(178,33))-INDIRECT(ADDRESS(179,33))</f>
        <v>0</v>
      </c>
      <c r="AH180">
        <f>INDIRECT(ADDRESS(180,33))+INDIRECT(ADDRESS(178,34))-INDIRECT(ADDRESS(179,34))</f>
        <v>0</v>
      </c>
      <c r="AI180">
        <f>INDIRECT(ADDRESS(180,34))+INDIRECT(ADDRESS(178,35))-INDIRECT(ADDRESS(179,35))</f>
        <v>0</v>
      </c>
      <c r="AJ180">
        <f>INDIRECT(ADDRESS(180,35))+INDIRECT(ADDRESS(178,36))-INDIRECT(ADDRESS(179,36))</f>
        <v>0</v>
      </c>
      <c r="AK180">
        <f>INDIRECT(ADDRESS(180,36))+INDIRECT(ADDRESS(178,37))-INDIRECT(ADDRESS(179,37))</f>
        <v>0</v>
      </c>
      <c r="AL180">
        <f>INDIRECT(ADDRESS(180,37))+INDIRECT(ADDRESS(178,38))-INDIRECT(ADDRESS(179,38))</f>
        <v>0</v>
      </c>
      <c r="AM180">
        <f>INDIRECT(ADDRESS(180,38))+INDIRECT(ADDRESS(178,39))-INDIRECT(ADDRESS(179,39))</f>
        <v>0</v>
      </c>
      <c r="AN180">
        <f>INDIRECT(ADDRESS(180,39))+INDIRECT(ADDRESS(178,40))-INDIRECT(ADDRESS(179,40))</f>
        <v>0</v>
      </c>
      <c r="AO180">
        <f>SUM(INDIRECT(ADDRESS(179,8)):INDIRECT(ADDRESS(179,39)))</f>
        <v>0</v>
      </c>
    </row>
    <row r="181" spans="1:41">
      <c r="A181" t="s">
        <v>238</v>
      </c>
      <c r="B181" t="s">
        <v>259</v>
      </c>
      <c r="C181" t="s">
        <v>260</v>
      </c>
      <c r="E181">
        <v>1</v>
      </c>
      <c r="F181" t="s">
        <v>11</v>
      </c>
      <c r="I181" t="s">
        <v>177</v>
      </c>
    </row>
    <row r="182" spans="1:41">
      <c r="I182" t="s">
        <v>178</v>
      </c>
      <c r="J182">
        <f>IFERROR(VLOOKUP("927-007000-500",B:AB,1+8,0),0)</f>
        <v>0</v>
      </c>
      <c r="K182">
        <f>IFERROR(VLOOKUP("927-007000-500",B:AB,2+8,0),0)</f>
        <v>0</v>
      </c>
      <c r="L182">
        <f>IFERROR(VLOOKUP("927-007000-500",B:AB,3+8,0),0)</f>
        <v>0</v>
      </c>
      <c r="M182">
        <f>IFERROR(VLOOKUP("927-007000-500",B:AB,4+8,0),0)</f>
        <v>0</v>
      </c>
      <c r="N182">
        <f>IFERROR(VLOOKUP("927-007000-500",B:AB,5+8,0),0)</f>
        <v>0</v>
      </c>
      <c r="O182">
        <f>IFERROR(VLOOKUP("927-007000-500",B:AB,6+8,0),0)</f>
        <v>0</v>
      </c>
      <c r="P182">
        <f>IFERROR(VLOOKUP("927-007000-500",B:AB,7+8,0),0)</f>
        <v>0</v>
      </c>
      <c r="Q182">
        <f>IFERROR(VLOOKUP("927-007000-500",B:AB,8+8,0),0)</f>
        <v>0</v>
      </c>
      <c r="R182">
        <f>IFERROR(VLOOKUP("927-007000-500",B:AB,9+8,0),0)</f>
        <v>0</v>
      </c>
      <c r="S182">
        <f>IFERROR(VLOOKUP("927-007000-500",B:AB,10+8,0),0)</f>
        <v>0</v>
      </c>
      <c r="T182">
        <f>IFERROR(VLOOKUP("927-007000-500",B:AB,11+8,0),0)</f>
        <v>0</v>
      </c>
      <c r="U182">
        <f>IFERROR(VLOOKUP("927-007000-500",B:AB,12+8,0),0)</f>
        <v>0</v>
      </c>
      <c r="V182">
        <f>IFERROR(VLOOKUP("927-007000-500",B:AB,13+8,0),0)</f>
        <v>0</v>
      </c>
      <c r="W182">
        <f>IFERROR(VLOOKUP("927-007000-500",B:AB,14+8,0),0)</f>
        <v>0</v>
      </c>
      <c r="X182">
        <f>IFERROR(VLOOKUP("927-007000-500",B:AB,15+8,0),0)</f>
        <v>0</v>
      </c>
      <c r="Y182">
        <f>IFERROR(VLOOKUP("927-007000-500",B:AB,16+8,0),0)</f>
        <v>0</v>
      </c>
      <c r="Z182">
        <f>IFERROR(VLOOKUP("927-007000-500",B:AB,17+8,0),0)</f>
        <v>0</v>
      </c>
      <c r="AA182">
        <f>IFERROR(VLOOKUP("927-007000-500",B:AB,18+8,0),0)</f>
        <v>0</v>
      </c>
      <c r="AB182">
        <f>IFERROR(VLOOKUP("927-007000-500",B:AB,19+8,0),0)</f>
        <v>0</v>
      </c>
      <c r="AC182">
        <f>IFERROR(VLOOKUP("927-007000-500",B:AB,20+8,0),0)</f>
        <v>0</v>
      </c>
      <c r="AD182">
        <f>IFERROR(VLOOKUP("927-007000-500",B:AB,21+8,0),0)</f>
        <v>0</v>
      </c>
      <c r="AE182">
        <f>IFERROR(VLOOKUP("927-007000-500",B:AB,22+8,0),0)</f>
        <v>0</v>
      </c>
      <c r="AF182">
        <f>IFERROR(VLOOKUP("927-007000-500",B:AB,23+8,0),0)</f>
        <v>0</v>
      </c>
      <c r="AG182">
        <f>IFERROR(VLOOKUP("927-007000-500",B:AB,24+8,0),0)</f>
        <v>0</v>
      </c>
      <c r="AH182">
        <f>IFERROR(VLOOKUP("927-007000-500",B:AB,25+8,0),0)</f>
        <v>0</v>
      </c>
      <c r="AI182">
        <f>IFERROR(VLOOKUP("927-007000-500",B:AB,26+8,0),0)</f>
        <v>0</v>
      </c>
      <c r="AJ182">
        <f>IFERROR(VLOOKUP("927-007000-500",B:AB,27+8,0),0)</f>
        <v>0</v>
      </c>
      <c r="AK182">
        <f>IFERROR(VLOOKUP("927-007000-500",B:AB,28+8,0),0)</f>
        <v>0</v>
      </c>
      <c r="AL182">
        <f>IFERROR(VLOOKUP("927-007000-500",B:AB,29+8,0),0)</f>
        <v>0</v>
      </c>
      <c r="AM182">
        <f>IFERROR(VLOOKUP("927-007000-500",B:AB,30+8,0),0)</f>
        <v>0</v>
      </c>
      <c r="AN182">
        <f>IFERROR(VLOOKUP("927-007000-500",B:AB,31+8,0),0)</f>
        <v>0</v>
      </c>
      <c r="AO182">
        <f>SUN(INDIRECT(ADDRESS(181,8)):INDIRECT(ADDRESS(181,39)))</f>
        <v>0</v>
      </c>
    </row>
    <row r="183" spans="1:41">
      <c r="H183" t="s">
        <v>179</v>
      </c>
      <c r="J183">
        <f>INDIRECT(ADDRESS(183,9))+INDIRECT(ADDRESS(181,10))-INDIRECT(ADDRESS(182,10))</f>
        <v>0</v>
      </c>
      <c r="K183">
        <f>INDIRECT(ADDRESS(183,10))+INDIRECT(ADDRESS(181,11))-INDIRECT(ADDRESS(182,11))</f>
        <v>0</v>
      </c>
      <c r="L183">
        <f>INDIRECT(ADDRESS(183,11))+INDIRECT(ADDRESS(181,12))-INDIRECT(ADDRESS(182,12))</f>
        <v>0</v>
      </c>
      <c r="M183">
        <f>INDIRECT(ADDRESS(183,12))+INDIRECT(ADDRESS(181,13))-INDIRECT(ADDRESS(182,13))</f>
        <v>0</v>
      </c>
      <c r="N183">
        <f>INDIRECT(ADDRESS(183,13))+INDIRECT(ADDRESS(181,14))-INDIRECT(ADDRESS(182,14))</f>
        <v>0</v>
      </c>
      <c r="O183">
        <f>INDIRECT(ADDRESS(183,14))+INDIRECT(ADDRESS(181,15))-INDIRECT(ADDRESS(182,15))</f>
        <v>0</v>
      </c>
      <c r="P183">
        <f>INDIRECT(ADDRESS(183,15))+INDIRECT(ADDRESS(181,16))-INDIRECT(ADDRESS(182,16))</f>
        <v>0</v>
      </c>
      <c r="Q183">
        <f>INDIRECT(ADDRESS(183,16))+INDIRECT(ADDRESS(181,17))-INDIRECT(ADDRESS(182,17))</f>
        <v>0</v>
      </c>
      <c r="R183">
        <f>INDIRECT(ADDRESS(183,17))+INDIRECT(ADDRESS(181,18))-INDIRECT(ADDRESS(182,18))</f>
        <v>0</v>
      </c>
      <c r="S183">
        <f>INDIRECT(ADDRESS(183,18))+INDIRECT(ADDRESS(181,19))-INDIRECT(ADDRESS(182,19))</f>
        <v>0</v>
      </c>
      <c r="T183">
        <f>INDIRECT(ADDRESS(183,19))+INDIRECT(ADDRESS(181,20))-INDIRECT(ADDRESS(182,20))</f>
        <v>0</v>
      </c>
      <c r="U183">
        <f>INDIRECT(ADDRESS(183,20))+INDIRECT(ADDRESS(181,21))-INDIRECT(ADDRESS(182,21))</f>
        <v>0</v>
      </c>
      <c r="V183">
        <f>INDIRECT(ADDRESS(183,21))+INDIRECT(ADDRESS(181,22))-INDIRECT(ADDRESS(182,22))</f>
        <v>0</v>
      </c>
      <c r="W183">
        <f>INDIRECT(ADDRESS(183,22))+INDIRECT(ADDRESS(181,23))-INDIRECT(ADDRESS(182,23))</f>
        <v>0</v>
      </c>
      <c r="X183">
        <f>INDIRECT(ADDRESS(183,23))+INDIRECT(ADDRESS(181,24))-INDIRECT(ADDRESS(182,24))</f>
        <v>0</v>
      </c>
      <c r="Y183">
        <f>INDIRECT(ADDRESS(183,24))+INDIRECT(ADDRESS(181,25))-INDIRECT(ADDRESS(182,25))</f>
        <v>0</v>
      </c>
      <c r="Z183">
        <f>INDIRECT(ADDRESS(183,25))+INDIRECT(ADDRESS(181,26))-INDIRECT(ADDRESS(182,26))</f>
        <v>0</v>
      </c>
      <c r="AA183">
        <f>INDIRECT(ADDRESS(183,26))+INDIRECT(ADDRESS(181,27))-INDIRECT(ADDRESS(182,27))</f>
        <v>0</v>
      </c>
      <c r="AB183">
        <f>INDIRECT(ADDRESS(183,27))+INDIRECT(ADDRESS(181,28))-INDIRECT(ADDRESS(182,28))</f>
        <v>0</v>
      </c>
      <c r="AC183">
        <f>INDIRECT(ADDRESS(183,28))+INDIRECT(ADDRESS(181,29))-INDIRECT(ADDRESS(182,29))</f>
        <v>0</v>
      </c>
      <c r="AD183">
        <f>INDIRECT(ADDRESS(183,29))+INDIRECT(ADDRESS(181,30))-INDIRECT(ADDRESS(182,30))</f>
        <v>0</v>
      </c>
      <c r="AE183">
        <f>INDIRECT(ADDRESS(183,30))+INDIRECT(ADDRESS(181,31))-INDIRECT(ADDRESS(182,31))</f>
        <v>0</v>
      </c>
      <c r="AF183">
        <f>INDIRECT(ADDRESS(183,31))+INDIRECT(ADDRESS(181,32))-INDIRECT(ADDRESS(182,32))</f>
        <v>0</v>
      </c>
      <c r="AG183">
        <f>INDIRECT(ADDRESS(183,32))+INDIRECT(ADDRESS(181,33))-INDIRECT(ADDRESS(182,33))</f>
        <v>0</v>
      </c>
      <c r="AH183">
        <f>INDIRECT(ADDRESS(183,33))+INDIRECT(ADDRESS(181,34))-INDIRECT(ADDRESS(182,34))</f>
        <v>0</v>
      </c>
      <c r="AI183">
        <f>INDIRECT(ADDRESS(183,34))+INDIRECT(ADDRESS(181,35))-INDIRECT(ADDRESS(182,35))</f>
        <v>0</v>
      </c>
      <c r="AJ183">
        <f>INDIRECT(ADDRESS(183,35))+INDIRECT(ADDRESS(181,36))-INDIRECT(ADDRESS(182,36))</f>
        <v>0</v>
      </c>
      <c r="AK183">
        <f>INDIRECT(ADDRESS(183,36))+INDIRECT(ADDRESS(181,37))-INDIRECT(ADDRESS(182,37))</f>
        <v>0</v>
      </c>
      <c r="AL183">
        <f>INDIRECT(ADDRESS(183,37))+INDIRECT(ADDRESS(181,38))-INDIRECT(ADDRESS(182,38))</f>
        <v>0</v>
      </c>
      <c r="AM183">
        <f>INDIRECT(ADDRESS(183,38))+INDIRECT(ADDRESS(181,39))-INDIRECT(ADDRESS(182,39))</f>
        <v>0</v>
      </c>
      <c r="AN183">
        <f>INDIRECT(ADDRESS(183,39))+INDIRECT(ADDRESS(181,40))-INDIRECT(ADDRESS(182,40))</f>
        <v>0</v>
      </c>
      <c r="AO183">
        <f>SUM(INDIRECT(ADDRESS(182,8)):INDIRECT(ADDRESS(182,39)))</f>
        <v>0</v>
      </c>
    </row>
    <row r="184" spans="1:41">
      <c r="A184" t="s">
        <v>206</v>
      </c>
      <c r="B184" t="s">
        <v>261</v>
      </c>
      <c r="C184" t="s">
        <v>262</v>
      </c>
      <c r="E184">
        <v>0.1</v>
      </c>
      <c r="F184" t="s">
        <v>11</v>
      </c>
      <c r="I184" t="s">
        <v>177</v>
      </c>
    </row>
    <row r="185" spans="1:41">
      <c r="I185" t="s">
        <v>178</v>
      </c>
      <c r="J185">
        <f>IFERROR(VLOOKUP("927-007000-500",B:AB,1+8,0),0)</f>
        <v>0</v>
      </c>
      <c r="K185">
        <f>IFERROR(VLOOKUP("927-007000-500",B:AB,2+8,0),0)</f>
        <v>0</v>
      </c>
      <c r="L185">
        <f>IFERROR(VLOOKUP("927-007000-500",B:AB,3+8,0),0)</f>
        <v>0</v>
      </c>
      <c r="M185">
        <f>IFERROR(VLOOKUP("927-007000-500",B:AB,4+8,0),0)</f>
        <v>0</v>
      </c>
      <c r="N185">
        <f>IFERROR(VLOOKUP("927-007000-500",B:AB,5+8,0),0)</f>
        <v>0</v>
      </c>
      <c r="O185">
        <f>IFERROR(VLOOKUP("927-007000-500",B:AB,6+8,0),0)</f>
        <v>0</v>
      </c>
      <c r="P185">
        <f>IFERROR(VLOOKUP("927-007000-500",B:AB,7+8,0),0)</f>
        <v>0</v>
      </c>
      <c r="Q185">
        <f>IFERROR(VLOOKUP("927-007000-500",B:AB,8+8,0),0)</f>
        <v>0</v>
      </c>
      <c r="R185">
        <f>IFERROR(VLOOKUP("927-007000-500",B:AB,9+8,0),0)</f>
        <v>0</v>
      </c>
      <c r="S185">
        <f>IFERROR(VLOOKUP("927-007000-500",B:AB,10+8,0),0)</f>
        <v>0</v>
      </c>
      <c r="T185">
        <f>IFERROR(VLOOKUP("927-007000-500",B:AB,11+8,0),0)</f>
        <v>0</v>
      </c>
      <c r="U185">
        <f>IFERROR(VLOOKUP("927-007000-500",B:AB,12+8,0),0)</f>
        <v>0</v>
      </c>
      <c r="V185">
        <f>IFERROR(VLOOKUP("927-007000-500",B:AB,13+8,0),0)</f>
        <v>0</v>
      </c>
      <c r="W185">
        <f>IFERROR(VLOOKUP("927-007000-500",B:AB,14+8,0),0)</f>
        <v>0</v>
      </c>
      <c r="X185">
        <f>IFERROR(VLOOKUP("927-007000-500",B:AB,15+8,0),0)</f>
        <v>0</v>
      </c>
      <c r="Y185">
        <f>IFERROR(VLOOKUP("927-007000-500",B:AB,16+8,0),0)</f>
        <v>0</v>
      </c>
      <c r="Z185">
        <f>IFERROR(VLOOKUP("927-007000-500",B:AB,17+8,0),0)</f>
        <v>0</v>
      </c>
      <c r="AA185">
        <f>IFERROR(VLOOKUP("927-007000-500",B:AB,18+8,0),0)</f>
        <v>0</v>
      </c>
      <c r="AB185">
        <f>IFERROR(VLOOKUP("927-007000-500",B:AB,19+8,0),0)</f>
        <v>0</v>
      </c>
      <c r="AC185">
        <f>IFERROR(VLOOKUP("927-007000-500",B:AB,20+8,0),0)</f>
        <v>0</v>
      </c>
      <c r="AD185">
        <f>IFERROR(VLOOKUP("927-007000-500",B:AB,21+8,0),0)</f>
        <v>0</v>
      </c>
      <c r="AE185">
        <f>IFERROR(VLOOKUP("927-007000-500",B:AB,22+8,0),0)</f>
        <v>0</v>
      </c>
      <c r="AF185">
        <f>IFERROR(VLOOKUP("927-007000-500",B:AB,23+8,0),0)</f>
        <v>0</v>
      </c>
      <c r="AG185">
        <f>IFERROR(VLOOKUP("927-007000-500",B:AB,24+8,0),0)</f>
        <v>0</v>
      </c>
      <c r="AH185">
        <f>IFERROR(VLOOKUP("927-007000-500",B:AB,25+8,0),0)</f>
        <v>0</v>
      </c>
      <c r="AI185">
        <f>IFERROR(VLOOKUP("927-007000-500",B:AB,26+8,0),0)</f>
        <v>0</v>
      </c>
      <c r="AJ185">
        <f>IFERROR(VLOOKUP("927-007000-500",B:AB,27+8,0),0)</f>
        <v>0</v>
      </c>
      <c r="AK185">
        <f>IFERROR(VLOOKUP("927-007000-500",B:AB,28+8,0),0)</f>
        <v>0</v>
      </c>
      <c r="AL185">
        <f>IFERROR(VLOOKUP("927-007000-500",B:AB,29+8,0),0)</f>
        <v>0</v>
      </c>
      <c r="AM185">
        <f>IFERROR(VLOOKUP("927-007000-500",B:AB,30+8,0),0)</f>
        <v>0</v>
      </c>
      <c r="AN185">
        <f>IFERROR(VLOOKUP("927-007000-500",B:AB,31+8,0),0)</f>
        <v>0</v>
      </c>
      <c r="AO185">
        <f>SUN(INDIRECT(ADDRESS(184,8)):INDIRECT(ADDRESS(184,39)))</f>
        <v>0</v>
      </c>
    </row>
    <row r="186" spans="1:41">
      <c r="H186" t="s">
        <v>179</v>
      </c>
      <c r="J186">
        <f>INDIRECT(ADDRESS(186,9))+INDIRECT(ADDRESS(184,10))-INDIRECT(ADDRESS(185,10))</f>
        <v>0</v>
      </c>
      <c r="K186">
        <f>INDIRECT(ADDRESS(186,10))+INDIRECT(ADDRESS(184,11))-INDIRECT(ADDRESS(185,11))</f>
        <v>0</v>
      </c>
      <c r="L186">
        <f>INDIRECT(ADDRESS(186,11))+INDIRECT(ADDRESS(184,12))-INDIRECT(ADDRESS(185,12))</f>
        <v>0</v>
      </c>
      <c r="M186">
        <f>INDIRECT(ADDRESS(186,12))+INDIRECT(ADDRESS(184,13))-INDIRECT(ADDRESS(185,13))</f>
        <v>0</v>
      </c>
      <c r="N186">
        <f>INDIRECT(ADDRESS(186,13))+INDIRECT(ADDRESS(184,14))-INDIRECT(ADDRESS(185,14))</f>
        <v>0</v>
      </c>
      <c r="O186">
        <f>INDIRECT(ADDRESS(186,14))+INDIRECT(ADDRESS(184,15))-INDIRECT(ADDRESS(185,15))</f>
        <v>0</v>
      </c>
      <c r="P186">
        <f>INDIRECT(ADDRESS(186,15))+INDIRECT(ADDRESS(184,16))-INDIRECT(ADDRESS(185,16))</f>
        <v>0</v>
      </c>
      <c r="Q186">
        <f>INDIRECT(ADDRESS(186,16))+INDIRECT(ADDRESS(184,17))-INDIRECT(ADDRESS(185,17))</f>
        <v>0</v>
      </c>
      <c r="R186">
        <f>INDIRECT(ADDRESS(186,17))+INDIRECT(ADDRESS(184,18))-INDIRECT(ADDRESS(185,18))</f>
        <v>0</v>
      </c>
      <c r="S186">
        <f>INDIRECT(ADDRESS(186,18))+INDIRECT(ADDRESS(184,19))-INDIRECT(ADDRESS(185,19))</f>
        <v>0</v>
      </c>
      <c r="T186">
        <f>INDIRECT(ADDRESS(186,19))+INDIRECT(ADDRESS(184,20))-INDIRECT(ADDRESS(185,20))</f>
        <v>0</v>
      </c>
      <c r="U186">
        <f>INDIRECT(ADDRESS(186,20))+INDIRECT(ADDRESS(184,21))-INDIRECT(ADDRESS(185,21))</f>
        <v>0</v>
      </c>
      <c r="V186">
        <f>INDIRECT(ADDRESS(186,21))+INDIRECT(ADDRESS(184,22))-INDIRECT(ADDRESS(185,22))</f>
        <v>0</v>
      </c>
      <c r="W186">
        <f>INDIRECT(ADDRESS(186,22))+INDIRECT(ADDRESS(184,23))-INDIRECT(ADDRESS(185,23))</f>
        <v>0</v>
      </c>
      <c r="X186">
        <f>INDIRECT(ADDRESS(186,23))+INDIRECT(ADDRESS(184,24))-INDIRECT(ADDRESS(185,24))</f>
        <v>0</v>
      </c>
      <c r="Y186">
        <f>INDIRECT(ADDRESS(186,24))+INDIRECT(ADDRESS(184,25))-INDIRECT(ADDRESS(185,25))</f>
        <v>0</v>
      </c>
      <c r="Z186">
        <f>INDIRECT(ADDRESS(186,25))+INDIRECT(ADDRESS(184,26))-INDIRECT(ADDRESS(185,26))</f>
        <v>0</v>
      </c>
      <c r="AA186">
        <f>INDIRECT(ADDRESS(186,26))+INDIRECT(ADDRESS(184,27))-INDIRECT(ADDRESS(185,27))</f>
        <v>0</v>
      </c>
      <c r="AB186">
        <f>INDIRECT(ADDRESS(186,27))+INDIRECT(ADDRESS(184,28))-INDIRECT(ADDRESS(185,28))</f>
        <v>0</v>
      </c>
      <c r="AC186">
        <f>INDIRECT(ADDRESS(186,28))+INDIRECT(ADDRESS(184,29))-INDIRECT(ADDRESS(185,29))</f>
        <v>0</v>
      </c>
      <c r="AD186">
        <f>INDIRECT(ADDRESS(186,29))+INDIRECT(ADDRESS(184,30))-INDIRECT(ADDRESS(185,30))</f>
        <v>0</v>
      </c>
      <c r="AE186">
        <f>INDIRECT(ADDRESS(186,30))+INDIRECT(ADDRESS(184,31))-INDIRECT(ADDRESS(185,31))</f>
        <v>0</v>
      </c>
      <c r="AF186">
        <f>INDIRECT(ADDRESS(186,31))+INDIRECT(ADDRESS(184,32))-INDIRECT(ADDRESS(185,32))</f>
        <v>0</v>
      </c>
      <c r="AG186">
        <f>INDIRECT(ADDRESS(186,32))+INDIRECT(ADDRESS(184,33))-INDIRECT(ADDRESS(185,33))</f>
        <v>0</v>
      </c>
      <c r="AH186">
        <f>INDIRECT(ADDRESS(186,33))+INDIRECT(ADDRESS(184,34))-INDIRECT(ADDRESS(185,34))</f>
        <v>0</v>
      </c>
      <c r="AI186">
        <f>INDIRECT(ADDRESS(186,34))+INDIRECT(ADDRESS(184,35))-INDIRECT(ADDRESS(185,35))</f>
        <v>0</v>
      </c>
      <c r="AJ186">
        <f>INDIRECT(ADDRESS(186,35))+INDIRECT(ADDRESS(184,36))-INDIRECT(ADDRESS(185,36))</f>
        <v>0</v>
      </c>
      <c r="AK186">
        <f>INDIRECT(ADDRESS(186,36))+INDIRECT(ADDRESS(184,37))-INDIRECT(ADDRESS(185,37))</f>
        <v>0</v>
      </c>
      <c r="AL186">
        <f>INDIRECT(ADDRESS(186,37))+INDIRECT(ADDRESS(184,38))-INDIRECT(ADDRESS(185,38))</f>
        <v>0</v>
      </c>
      <c r="AM186">
        <f>INDIRECT(ADDRESS(186,38))+INDIRECT(ADDRESS(184,39))-INDIRECT(ADDRESS(185,39))</f>
        <v>0</v>
      </c>
      <c r="AN186">
        <f>INDIRECT(ADDRESS(186,39))+INDIRECT(ADDRESS(184,40))-INDIRECT(ADDRESS(185,40))</f>
        <v>0</v>
      </c>
      <c r="AO186">
        <f>SUM(INDIRECT(ADDRESS(185,8)):INDIRECT(ADDRESS(185,39)))</f>
        <v>0</v>
      </c>
    </row>
    <row r="187" spans="1:41">
      <c r="A187" t="s">
        <v>8</v>
      </c>
      <c r="B187" t="s">
        <v>21</v>
      </c>
      <c r="C187" t="s">
        <v>22</v>
      </c>
      <c r="E187">
        <v>1</v>
      </c>
      <c r="F187" t="s">
        <v>11</v>
      </c>
      <c r="I187" t="s">
        <v>177</v>
      </c>
    </row>
    <row r="188" spans="1:41">
      <c r="I188" t="s">
        <v>178</v>
      </c>
      <c r="J188">
        <f>IFERROR(VLOOKUP("927-004856-300",Out!B:AB,1+8,0),0)</f>
        <v>0</v>
      </c>
      <c r="K188">
        <f>IFERROR(VLOOKUP("927-004856-300",Out!B:AB,2+8,0),0)</f>
        <v>0</v>
      </c>
      <c r="L188">
        <f>IFERROR(VLOOKUP("927-004856-300",Out!B:AB,3+8,0),0)</f>
        <v>0</v>
      </c>
      <c r="M188">
        <f>IFERROR(VLOOKUP("927-004856-300",Out!B:AB,4+8,0),0)</f>
        <v>0</v>
      </c>
      <c r="N188">
        <f>IFERROR(VLOOKUP("927-004856-300",Out!B:AB,5+8,0),0)</f>
        <v>0</v>
      </c>
      <c r="O188">
        <f>IFERROR(VLOOKUP("927-004856-300",Out!B:AB,6+8,0),0)</f>
        <v>0</v>
      </c>
      <c r="P188">
        <f>IFERROR(VLOOKUP("927-004856-300",Out!B:AB,7+8,0),0)</f>
        <v>0</v>
      </c>
      <c r="Q188">
        <f>IFERROR(VLOOKUP("927-004856-300",Out!B:AB,8+8,0),0)</f>
        <v>0</v>
      </c>
      <c r="R188">
        <f>IFERROR(VLOOKUP("927-004856-300",Out!B:AB,9+8,0),0)</f>
        <v>0</v>
      </c>
      <c r="S188">
        <f>IFERROR(VLOOKUP("927-004856-300",Out!B:AB,10+8,0),0)</f>
        <v>0</v>
      </c>
      <c r="T188">
        <f>IFERROR(VLOOKUP("927-004856-300",Out!B:AB,11+8,0),0)</f>
        <v>0</v>
      </c>
      <c r="U188">
        <f>IFERROR(VLOOKUP("927-004856-300",Out!B:AB,12+8,0),0)</f>
        <v>0</v>
      </c>
      <c r="V188">
        <f>IFERROR(VLOOKUP("927-004856-300",Out!B:AB,13+8,0),0)</f>
        <v>0</v>
      </c>
      <c r="W188">
        <f>IFERROR(VLOOKUP("927-004856-300",Out!B:AB,14+8,0),0)</f>
        <v>0</v>
      </c>
      <c r="X188">
        <f>IFERROR(VLOOKUP("927-004856-300",Out!B:AB,15+8,0),0)</f>
        <v>0</v>
      </c>
      <c r="Y188">
        <f>IFERROR(VLOOKUP("927-004856-300",Out!B:AB,16+8,0),0)</f>
        <v>0</v>
      </c>
      <c r="Z188">
        <f>IFERROR(VLOOKUP("927-004856-300",Out!B:AB,17+8,0),0)</f>
        <v>0</v>
      </c>
      <c r="AA188">
        <f>IFERROR(VLOOKUP("927-004856-300",Out!B:AB,18+8,0),0)</f>
        <v>0</v>
      </c>
      <c r="AB188">
        <f>IFERROR(VLOOKUP("927-004856-300",Out!B:AB,19+8,0),0)</f>
        <v>0</v>
      </c>
      <c r="AC188">
        <f>IFERROR(VLOOKUP("927-004856-300",Out!B:AB,20+8,0),0)</f>
        <v>0</v>
      </c>
      <c r="AD188">
        <f>IFERROR(VLOOKUP("927-004856-300",Out!B:AB,21+8,0),0)</f>
        <v>0</v>
      </c>
      <c r="AE188">
        <f>IFERROR(VLOOKUP("927-004856-300",Out!B:AB,22+8,0),0)</f>
        <v>0</v>
      </c>
      <c r="AF188">
        <f>IFERROR(VLOOKUP("927-004856-300",Out!B:AB,23+8,0),0)</f>
        <v>0</v>
      </c>
      <c r="AG188">
        <f>IFERROR(VLOOKUP("927-004856-300",Out!B:AB,24+8,0),0)</f>
        <v>0</v>
      </c>
      <c r="AH188">
        <f>IFERROR(VLOOKUP("927-004856-300",Out!B:AB,25+8,0),0)</f>
        <v>0</v>
      </c>
      <c r="AI188">
        <f>IFERROR(VLOOKUP("927-004856-300",Out!B:AB,26+8,0),0)</f>
        <v>0</v>
      </c>
      <c r="AJ188">
        <f>IFERROR(VLOOKUP("927-004856-300",Out!B:AB,27+8,0),0)</f>
        <v>0</v>
      </c>
      <c r="AK188">
        <f>IFERROR(VLOOKUP("927-004856-300",Out!B:AB,28+8,0),0)</f>
        <v>0</v>
      </c>
      <c r="AL188">
        <f>IFERROR(VLOOKUP("927-004856-300",Out!B:AB,29+8,0),0)</f>
        <v>0</v>
      </c>
      <c r="AM188">
        <f>IFERROR(VLOOKUP("927-004856-300",Out!B:AB,30+8,0),0)</f>
        <v>0</v>
      </c>
      <c r="AN188">
        <f>IFERROR(VLOOKUP("927-004856-300",Out!B:AB,31+8,0),0)</f>
        <v>0</v>
      </c>
      <c r="AO188">
        <f>SUN(INDIRECT(ADDRESS(187,8)):INDIRECT(ADDRESS(187,39)))</f>
        <v>0</v>
      </c>
    </row>
    <row r="189" spans="1:41">
      <c r="H189" t="s">
        <v>179</v>
      </c>
      <c r="J189">
        <f>INDIRECT(ADDRESS(189,9))+INDIRECT(ADDRESS(187,10))-INDIRECT(ADDRESS(188,10))</f>
        <v>0</v>
      </c>
      <c r="K189">
        <f>INDIRECT(ADDRESS(189,10))+INDIRECT(ADDRESS(187,11))-INDIRECT(ADDRESS(188,11))</f>
        <v>0</v>
      </c>
      <c r="L189">
        <f>INDIRECT(ADDRESS(189,11))+INDIRECT(ADDRESS(187,12))-INDIRECT(ADDRESS(188,12))</f>
        <v>0</v>
      </c>
      <c r="M189">
        <f>INDIRECT(ADDRESS(189,12))+INDIRECT(ADDRESS(187,13))-INDIRECT(ADDRESS(188,13))</f>
        <v>0</v>
      </c>
      <c r="N189">
        <f>INDIRECT(ADDRESS(189,13))+INDIRECT(ADDRESS(187,14))-INDIRECT(ADDRESS(188,14))</f>
        <v>0</v>
      </c>
      <c r="O189">
        <f>INDIRECT(ADDRESS(189,14))+INDIRECT(ADDRESS(187,15))-INDIRECT(ADDRESS(188,15))</f>
        <v>0</v>
      </c>
      <c r="P189">
        <f>INDIRECT(ADDRESS(189,15))+INDIRECT(ADDRESS(187,16))-INDIRECT(ADDRESS(188,16))</f>
        <v>0</v>
      </c>
      <c r="Q189">
        <f>INDIRECT(ADDRESS(189,16))+INDIRECT(ADDRESS(187,17))-INDIRECT(ADDRESS(188,17))</f>
        <v>0</v>
      </c>
      <c r="R189">
        <f>INDIRECT(ADDRESS(189,17))+INDIRECT(ADDRESS(187,18))-INDIRECT(ADDRESS(188,18))</f>
        <v>0</v>
      </c>
      <c r="S189">
        <f>INDIRECT(ADDRESS(189,18))+INDIRECT(ADDRESS(187,19))-INDIRECT(ADDRESS(188,19))</f>
        <v>0</v>
      </c>
      <c r="T189">
        <f>INDIRECT(ADDRESS(189,19))+INDIRECT(ADDRESS(187,20))-INDIRECT(ADDRESS(188,20))</f>
        <v>0</v>
      </c>
      <c r="U189">
        <f>INDIRECT(ADDRESS(189,20))+INDIRECT(ADDRESS(187,21))-INDIRECT(ADDRESS(188,21))</f>
        <v>0</v>
      </c>
      <c r="V189">
        <f>INDIRECT(ADDRESS(189,21))+INDIRECT(ADDRESS(187,22))-INDIRECT(ADDRESS(188,22))</f>
        <v>0</v>
      </c>
      <c r="W189">
        <f>INDIRECT(ADDRESS(189,22))+INDIRECT(ADDRESS(187,23))-INDIRECT(ADDRESS(188,23))</f>
        <v>0</v>
      </c>
      <c r="X189">
        <f>INDIRECT(ADDRESS(189,23))+INDIRECT(ADDRESS(187,24))-INDIRECT(ADDRESS(188,24))</f>
        <v>0</v>
      </c>
      <c r="Y189">
        <f>INDIRECT(ADDRESS(189,24))+INDIRECT(ADDRESS(187,25))-INDIRECT(ADDRESS(188,25))</f>
        <v>0</v>
      </c>
      <c r="Z189">
        <f>INDIRECT(ADDRESS(189,25))+INDIRECT(ADDRESS(187,26))-INDIRECT(ADDRESS(188,26))</f>
        <v>0</v>
      </c>
      <c r="AA189">
        <f>INDIRECT(ADDRESS(189,26))+INDIRECT(ADDRESS(187,27))-INDIRECT(ADDRESS(188,27))</f>
        <v>0</v>
      </c>
      <c r="AB189">
        <f>INDIRECT(ADDRESS(189,27))+INDIRECT(ADDRESS(187,28))-INDIRECT(ADDRESS(188,28))</f>
        <v>0</v>
      </c>
      <c r="AC189">
        <f>INDIRECT(ADDRESS(189,28))+INDIRECT(ADDRESS(187,29))-INDIRECT(ADDRESS(188,29))</f>
        <v>0</v>
      </c>
      <c r="AD189">
        <f>INDIRECT(ADDRESS(189,29))+INDIRECT(ADDRESS(187,30))-INDIRECT(ADDRESS(188,30))</f>
        <v>0</v>
      </c>
      <c r="AE189">
        <f>INDIRECT(ADDRESS(189,30))+INDIRECT(ADDRESS(187,31))-INDIRECT(ADDRESS(188,31))</f>
        <v>0</v>
      </c>
      <c r="AF189">
        <f>INDIRECT(ADDRESS(189,31))+INDIRECT(ADDRESS(187,32))-INDIRECT(ADDRESS(188,32))</f>
        <v>0</v>
      </c>
      <c r="AG189">
        <f>INDIRECT(ADDRESS(189,32))+INDIRECT(ADDRESS(187,33))-INDIRECT(ADDRESS(188,33))</f>
        <v>0</v>
      </c>
      <c r="AH189">
        <f>INDIRECT(ADDRESS(189,33))+INDIRECT(ADDRESS(187,34))-INDIRECT(ADDRESS(188,34))</f>
        <v>0</v>
      </c>
      <c r="AI189">
        <f>INDIRECT(ADDRESS(189,34))+INDIRECT(ADDRESS(187,35))-INDIRECT(ADDRESS(188,35))</f>
        <v>0</v>
      </c>
      <c r="AJ189">
        <f>INDIRECT(ADDRESS(189,35))+INDIRECT(ADDRESS(187,36))-INDIRECT(ADDRESS(188,36))</f>
        <v>0</v>
      </c>
      <c r="AK189">
        <f>INDIRECT(ADDRESS(189,36))+INDIRECT(ADDRESS(187,37))-INDIRECT(ADDRESS(188,37))</f>
        <v>0</v>
      </c>
      <c r="AL189">
        <f>INDIRECT(ADDRESS(189,37))+INDIRECT(ADDRESS(187,38))-INDIRECT(ADDRESS(188,38))</f>
        <v>0</v>
      </c>
      <c r="AM189">
        <f>INDIRECT(ADDRESS(189,38))+INDIRECT(ADDRESS(187,39))-INDIRECT(ADDRESS(188,39))</f>
        <v>0</v>
      </c>
      <c r="AN189">
        <f>INDIRECT(ADDRESS(189,39))+INDIRECT(ADDRESS(187,40))-INDIRECT(ADDRESS(188,40))</f>
        <v>0</v>
      </c>
      <c r="AO189">
        <f>SUM(INDIRECT(ADDRESS(188,8)):INDIRECT(ADDRESS(188,39)))</f>
        <v>0</v>
      </c>
    </row>
    <row r="190" spans="1:41">
      <c r="A190" t="s">
        <v>180</v>
      </c>
      <c r="B190" t="s">
        <v>263</v>
      </c>
      <c r="C190" t="s">
        <v>264</v>
      </c>
      <c r="E190">
        <v>1</v>
      </c>
      <c r="F190" t="s">
        <v>11</v>
      </c>
      <c r="I190" t="s">
        <v>177</v>
      </c>
    </row>
    <row r="191" spans="1:41">
      <c r="I191" t="s">
        <v>178</v>
      </c>
      <c r="J191">
        <f>IFERROR(VLOOKUP("927-004856-300",B:AB,1+8,0),0)</f>
        <v>0</v>
      </c>
      <c r="K191">
        <f>IFERROR(VLOOKUP("927-004856-300",B:AB,2+8,0),0)</f>
        <v>0</v>
      </c>
      <c r="L191">
        <f>IFERROR(VLOOKUP("927-004856-300",B:AB,3+8,0),0)</f>
        <v>0</v>
      </c>
      <c r="M191">
        <f>IFERROR(VLOOKUP("927-004856-300",B:AB,4+8,0),0)</f>
        <v>0</v>
      </c>
      <c r="N191">
        <f>IFERROR(VLOOKUP("927-004856-300",B:AB,5+8,0),0)</f>
        <v>0</v>
      </c>
      <c r="O191">
        <f>IFERROR(VLOOKUP("927-004856-300",B:AB,6+8,0),0)</f>
        <v>0</v>
      </c>
      <c r="P191">
        <f>IFERROR(VLOOKUP("927-004856-300",B:AB,7+8,0),0)</f>
        <v>0</v>
      </c>
      <c r="Q191">
        <f>IFERROR(VLOOKUP("927-004856-300",B:AB,8+8,0),0)</f>
        <v>0</v>
      </c>
      <c r="R191">
        <f>IFERROR(VLOOKUP("927-004856-300",B:AB,9+8,0),0)</f>
        <v>0</v>
      </c>
      <c r="S191">
        <f>IFERROR(VLOOKUP("927-004856-300",B:AB,10+8,0),0)</f>
        <v>0</v>
      </c>
      <c r="T191">
        <f>IFERROR(VLOOKUP("927-004856-300",B:AB,11+8,0),0)</f>
        <v>0</v>
      </c>
      <c r="U191">
        <f>IFERROR(VLOOKUP("927-004856-300",B:AB,12+8,0),0)</f>
        <v>0</v>
      </c>
      <c r="V191">
        <f>IFERROR(VLOOKUP("927-004856-300",B:AB,13+8,0),0)</f>
        <v>0</v>
      </c>
      <c r="W191">
        <f>IFERROR(VLOOKUP("927-004856-300",B:AB,14+8,0),0)</f>
        <v>0</v>
      </c>
      <c r="X191">
        <f>IFERROR(VLOOKUP("927-004856-300",B:AB,15+8,0),0)</f>
        <v>0</v>
      </c>
      <c r="Y191">
        <f>IFERROR(VLOOKUP("927-004856-300",B:AB,16+8,0),0)</f>
        <v>0</v>
      </c>
      <c r="Z191">
        <f>IFERROR(VLOOKUP("927-004856-300",B:AB,17+8,0),0)</f>
        <v>0</v>
      </c>
      <c r="AA191">
        <f>IFERROR(VLOOKUP("927-004856-300",B:AB,18+8,0),0)</f>
        <v>0</v>
      </c>
      <c r="AB191">
        <f>IFERROR(VLOOKUP("927-004856-300",B:AB,19+8,0),0)</f>
        <v>0</v>
      </c>
      <c r="AC191">
        <f>IFERROR(VLOOKUP("927-004856-300",B:AB,20+8,0),0)</f>
        <v>0</v>
      </c>
      <c r="AD191">
        <f>IFERROR(VLOOKUP("927-004856-300",B:AB,21+8,0),0)</f>
        <v>0</v>
      </c>
      <c r="AE191">
        <f>IFERROR(VLOOKUP("927-004856-300",B:AB,22+8,0),0)</f>
        <v>0</v>
      </c>
      <c r="AF191">
        <f>IFERROR(VLOOKUP("927-004856-300",B:AB,23+8,0),0)</f>
        <v>0</v>
      </c>
      <c r="AG191">
        <f>IFERROR(VLOOKUP("927-004856-300",B:AB,24+8,0),0)</f>
        <v>0</v>
      </c>
      <c r="AH191">
        <f>IFERROR(VLOOKUP("927-004856-300",B:AB,25+8,0),0)</f>
        <v>0</v>
      </c>
      <c r="AI191">
        <f>IFERROR(VLOOKUP("927-004856-300",B:AB,26+8,0),0)</f>
        <v>0</v>
      </c>
      <c r="AJ191">
        <f>IFERROR(VLOOKUP("927-004856-300",B:AB,27+8,0),0)</f>
        <v>0</v>
      </c>
      <c r="AK191">
        <f>IFERROR(VLOOKUP("927-004856-300",B:AB,28+8,0),0)</f>
        <v>0</v>
      </c>
      <c r="AL191">
        <f>IFERROR(VLOOKUP("927-004856-300",B:AB,29+8,0),0)</f>
        <v>0</v>
      </c>
      <c r="AM191">
        <f>IFERROR(VLOOKUP("927-004856-300",B:AB,30+8,0),0)</f>
        <v>0</v>
      </c>
      <c r="AN191">
        <f>IFERROR(VLOOKUP("927-004856-300",B:AB,31+8,0),0)</f>
        <v>0</v>
      </c>
      <c r="AO191">
        <f>SUN(INDIRECT(ADDRESS(190,8)):INDIRECT(ADDRESS(190,39)))</f>
        <v>0</v>
      </c>
    </row>
    <row r="192" spans="1:41">
      <c r="H192" t="s">
        <v>179</v>
      </c>
      <c r="J192">
        <f>INDIRECT(ADDRESS(192,9))+INDIRECT(ADDRESS(190,10))-INDIRECT(ADDRESS(191,10))</f>
        <v>0</v>
      </c>
      <c r="K192">
        <f>INDIRECT(ADDRESS(192,10))+INDIRECT(ADDRESS(190,11))-INDIRECT(ADDRESS(191,11))</f>
        <v>0</v>
      </c>
      <c r="L192">
        <f>INDIRECT(ADDRESS(192,11))+INDIRECT(ADDRESS(190,12))-INDIRECT(ADDRESS(191,12))</f>
        <v>0</v>
      </c>
      <c r="M192">
        <f>INDIRECT(ADDRESS(192,12))+INDIRECT(ADDRESS(190,13))-INDIRECT(ADDRESS(191,13))</f>
        <v>0</v>
      </c>
      <c r="N192">
        <f>INDIRECT(ADDRESS(192,13))+INDIRECT(ADDRESS(190,14))-INDIRECT(ADDRESS(191,14))</f>
        <v>0</v>
      </c>
      <c r="O192">
        <f>INDIRECT(ADDRESS(192,14))+INDIRECT(ADDRESS(190,15))-INDIRECT(ADDRESS(191,15))</f>
        <v>0</v>
      </c>
      <c r="P192">
        <f>INDIRECT(ADDRESS(192,15))+INDIRECT(ADDRESS(190,16))-INDIRECT(ADDRESS(191,16))</f>
        <v>0</v>
      </c>
      <c r="Q192">
        <f>INDIRECT(ADDRESS(192,16))+INDIRECT(ADDRESS(190,17))-INDIRECT(ADDRESS(191,17))</f>
        <v>0</v>
      </c>
      <c r="R192">
        <f>INDIRECT(ADDRESS(192,17))+INDIRECT(ADDRESS(190,18))-INDIRECT(ADDRESS(191,18))</f>
        <v>0</v>
      </c>
      <c r="S192">
        <f>INDIRECT(ADDRESS(192,18))+INDIRECT(ADDRESS(190,19))-INDIRECT(ADDRESS(191,19))</f>
        <v>0</v>
      </c>
      <c r="T192">
        <f>INDIRECT(ADDRESS(192,19))+INDIRECT(ADDRESS(190,20))-INDIRECT(ADDRESS(191,20))</f>
        <v>0</v>
      </c>
      <c r="U192">
        <f>INDIRECT(ADDRESS(192,20))+INDIRECT(ADDRESS(190,21))-INDIRECT(ADDRESS(191,21))</f>
        <v>0</v>
      </c>
      <c r="V192">
        <f>INDIRECT(ADDRESS(192,21))+INDIRECT(ADDRESS(190,22))-INDIRECT(ADDRESS(191,22))</f>
        <v>0</v>
      </c>
      <c r="W192">
        <f>INDIRECT(ADDRESS(192,22))+INDIRECT(ADDRESS(190,23))-INDIRECT(ADDRESS(191,23))</f>
        <v>0</v>
      </c>
      <c r="X192">
        <f>INDIRECT(ADDRESS(192,23))+INDIRECT(ADDRESS(190,24))-INDIRECT(ADDRESS(191,24))</f>
        <v>0</v>
      </c>
      <c r="Y192">
        <f>INDIRECT(ADDRESS(192,24))+INDIRECT(ADDRESS(190,25))-INDIRECT(ADDRESS(191,25))</f>
        <v>0</v>
      </c>
      <c r="Z192">
        <f>INDIRECT(ADDRESS(192,25))+INDIRECT(ADDRESS(190,26))-INDIRECT(ADDRESS(191,26))</f>
        <v>0</v>
      </c>
      <c r="AA192">
        <f>INDIRECT(ADDRESS(192,26))+INDIRECT(ADDRESS(190,27))-INDIRECT(ADDRESS(191,27))</f>
        <v>0</v>
      </c>
      <c r="AB192">
        <f>INDIRECT(ADDRESS(192,27))+INDIRECT(ADDRESS(190,28))-INDIRECT(ADDRESS(191,28))</f>
        <v>0</v>
      </c>
      <c r="AC192">
        <f>INDIRECT(ADDRESS(192,28))+INDIRECT(ADDRESS(190,29))-INDIRECT(ADDRESS(191,29))</f>
        <v>0</v>
      </c>
      <c r="AD192">
        <f>INDIRECT(ADDRESS(192,29))+INDIRECT(ADDRESS(190,30))-INDIRECT(ADDRESS(191,30))</f>
        <v>0</v>
      </c>
      <c r="AE192">
        <f>INDIRECT(ADDRESS(192,30))+INDIRECT(ADDRESS(190,31))-INDIRECT(ADDRESS(191,31))</f>
        <v>0</v>
      </c>
      <c r="AF192">
        <f>INDIRECT(ADDRESS(192,31))+INDIRECT(ADDRESS(190,32))-INDIRECT(ADDRESS(191,32))</f>
        <v>0</v>
      </c>
      <c r="AG192">
        <f>INDIRECT(ADDRESS(192,32))+INDIRECT(ADDRESS(190,33))-INDIRECT(ADDRESS(191,33))</f>
        <v>0</v>
      </c>
      <c r="AH192">
        <f>INDIRECT(ADDRESS(192,33))+INDIRECT(ADDRESS(190,34))-INDIRECT(ADDRESS(191,34))</f>
        <v>0</v>
      </c>
      <c r="AI192">
        <f>INDIRECT(ADDRESS(192,34))+INDIRECT(ADDRESS(190,35))-INDIRECT(ADDRESS(191,35))</f>
        <v>0</v>
      </c>
      <c r="AJ192">
        <f>INDIRECT(ADDRESS(192,35))+INDIRECT(ADDRESS(190,36))-INDIRECT(ADDRESS(191,36))</f>
        <v>0</v>
      </c>
      <c r="AK192">
        <f>INDIRECT(ADDRESS(192,36))+INDIRECT(ADDRESS(190,37))-INDIRECT(ADDRESS(191,37))</f>
        <v>0</v>
      </c>
      <c r="AL192">
        <f>INDIRECT(ADDRESS(192,37))+INDIRECT(ADDRESS(190,38))-INDIRECT(ADDRESS(191,38))</f>
        <v>0</v>
      </c>
      <c r="AM192">
        <f>INDIRECT(ADDRESS(192,38))+INDIRECT(ADDRESS(190,39))-INDIRECT(ADDRESS(191,39))</f>
        <v>0</v>
      </c>
      <c r="AN192">
        <f>INDIRECT(ADDRESS(192,39))+INDIRECT(ADDRESS(190,40))-INDIRECT(ADDRESS(191,40))</f>
        <v>0</v>
      </c>
      <c r="AO192">
        <f>SUM(INDIRECT(ADDRESS(191,8)):INDIRECT(ADDRESS(191,39)))</f>
        <v>0</v>
      </c>
    </row>
    <row r="193" spans="1:41">
      <c r="A193" t="s">
        <v>180</v>
      </c>
      <c r="B193" t="s">
        <v>265</v>
      </c>
      <c r="C193" t="s">
        <v>266</v>
      </c>
      <c r="E193">
        <v>1</v>
      </c>
      <c r="F193" t="s">
        <v>11</v>
      </c>
      <c r="I193" t="s">
        <v>177</v>
      </c>
    </row>
    <row r="194" spans="1:41">
      <c r="I194" t="s">
        <v>178</v>
      </c>
      <c r="J194">
        <f>IFERROR(VLOOKUP("927-004856-300",B:AB,1+8,0),0)</f>
        <v>0</v>
      </c>
      <c r="K194">
        <f>IFERROR(VLOOKUP("927-004856-300",B:AB,2+8,0),0)</f>
        <v>0</v>
      </c>
      <c r="L194">
        <f>IFERROR(VLOOKUP("927-004856-300",B:AB,3+8,0),0)</f>
        <v>0</v>
      </c>
      <c r="M194">
        <f>IFERROR(VLOOKUP("927-004856-300",B:AB,4+8,0),0)</f>
        <v>0</v>
      </c>
      <c r="N194">
        <f>IFERROR(VLOOKUP("927-004856-300",B:AB,5+8,0),0)</f>
        <v>0</v>
      </c>
      <c r="O194">
        <f>IFERROR(VLOOKUP("927-004856-300",B:AB,6+8,0),0)</f>
        <v>0</v>
      </c>
      <c r="P194">
        <f>IFERROR(VLOOKUP("927-004856-300",B:AB,7+8,0),0)</f>
        <v>0</v>
      </c>
      <c r="Q194">
        <f>IFERROR(VLOOKUP("927-004856-300",B:AB,8+8,0),0)</f>
        <v>0</v>
      </c>
      <c r="R194">
        <f>IFERROR(VLOOKUP("927-004856-300",B:AB,9+8,0),0)</f>
        <v>0</v>
      </c>
      <c r="S194">
        <f>IFERROR(VLOOKUP("927-004856-300",B:AB,10+8,0),0)</f>
        <v>0</v>
      </c>
      <c r="T194">
        <f>IFERROR(VLOOKUP("927-004856-300",B:AB,11+8,0),0)</f>
        <v>0</v>
      </c>
      <c r="U194">
        <f>IFERROR(VLOOKUP("927-004856-300",B:AB,12+8,0),0)</f>
        <v>0</v>
      </c>
      <c r="V194">
        <f>IFERROR(VLOOKUP("927-004856-300",B:AB,13+8,0),0)</f>
        <v>0</v>
      </c>
      <c r="W194">
        <f>IFERROR(VLOOKUP("927-004856-300",B:AB,14+8,0),0)</f>
        <v>0</v>
      </c>
      <c r="X194">
        <f>IFERROR(VLOOKUP("927-004856-300",B:AB,15+8,0),0)</f>
        <v>0</v>
      </c>
      <c r="Y194">
        <f>IFERROR(VLOOKUP("927-004856-300",B:AB,16+8,0),0)</f>
        <v>0</v>
      </c>
      <c r="Z194">
        <f>IFERROR(VLOOKUP("927-004856-300",B:AB,17+8,0),0)</f>
        <v>0</v>
      </c>
      <c r="AA194">
        <f>IFERROR(VLOOKUP("927-004856-300",B:AB,18+8,0),0)</f>
        <v>0</v>
      </c>
      <c r="AB194">
        <f>IFERROR(VLOOKUP("927-004856-300",B:AB,19+8,0),0)</f>
        <v>0</v>
      </c>
      <c r="AC194">
        <f>IFERROR(VLOOKUP("927-004856-300",B:AB,20+8,0),0)</f>
        <v>0</v>
      </c>
      <c r="AD194">
        <f>IFERROR(VLOOKUP("927-004856-300",B:AB,21+8,0),0)</f>
        <v>0</v>
      </c>
      <c r="AE194">
        <f>IFERROR(VLOOKUP("927-004856-300",B:AB,22+8,0),0)</f>
        <v>0</v>
      </c>
      <c r="AF194">
        <f>IFERROR(VLOOKUP("927-004856-300",B:AB,23+8,0),0)</f>
        <v>0</v>
      </c>
      <c r="AG194">
        <f>IFERROR(VLOOKUP("927-004856-300",B:AB,24+8,0),0)</f>
        <v>0</v>
      </c>
      <c r="AH194">
        <f>IFERROR(VLOOKUP("927-004856-300",B:AB,25+8,0),0)</f>
        <v>0</v>
      </c>
      <c r="AI194">
        <f>IFERROR(VLOOKUP("927-004856-300",B:AB,26+8,0),0)</f>
        <v>0</v>
      </c>
      <c r="AJ194">
        <f>IFERROR(VLOOKUP("927-004856-300",B:AB,27+8,0),0)</f>
        <v>0</v>
      </c>
      <c r="AK194">
        <f>IFERROR(VLOOKUP("927-004856-300",B:AB,28+8,0),0)</f>
        <v>0</v>
      </c>
      <c r="AL194">
        <f>IFERROR(VLOOKUP("927-004856-300",B:AB,29+8,0),0)</f>
        <v>0</v>
      </c>
      <c r="AM194">
        <f>IFERROR(VLOOKUP("927-004856-300",B:AB,30+8,0),0)</f>
        <v>0</v>
      </c>
      <c r="AN194">
        <f>IFERROR(VLOOKUP("927-004856-300",B:AB,31+8,0),0)</f>
        <v>0</v>
      </c>
      <c r="AO194">
        <f>SUN(INDIRECT(ADDRESS(193,8)):INDIRECT(ADDRESS(193,39)))</f>
        <v>0</v>
      </c>
    </row>
    <row r="195" spans="1:41">
      <c r="H195" t="s">
        <v>179</v>
      </c>
      <c r="J195">
        <f>INDIRECT(ADDRESS(195,9))+INDIRECT(ADDRESS(193,10))-INDIRECT(ADDRESS(194,10))</f>
        <v>0</v>
      </c>
      <c r="K195">
        <f>INDIRECT(ADDRESS(195,10))+INDIRECT(ADDRESS(193,11))-INDIRECT(ADDRESS(194,11))</f>
        <v>0</v>
      </c>
      <c r="L195">
        <f>INDIRECT(ADDRESS(195,11))+INDIRECT(ADDRESS(193,12))-INDIRECT(ADDRESS(194,12))</f>
        <v>0</v>
      </c>
      <c r="M195">
        <f>INDIRECT(ADDRESS(195,12))+INDIRECT(ADDRESS(193,13))-INDIRECT(ADDRESS(194,13))</f>
        <v>0</v>
      </c>
      <c r="N195">
        <f>INDIRECT(ADDRESS(195,13))+INDIRECT(ADDRESS(193,14))-INDIRECT(ADDRESS(194,14))</f>
        <v>0</v>
      </c>
      <c r="O195">
        <f>INDIRECT(ADDRESS(195,14))+INDIRECT(ADDRESS(193,15))-INDIRECT(ADDRESS(194,15))</f>
        <v>0</v>
      </c>
      <c r="P195">
        <f>INDIRECT(ADDRESS(195,15))+INDIRECT(ADDRESS(193,16))-INDIRECT(ADDRESS(194,16))</f>
        <v>0</v>
      </c>
      <c r="Q195">
        <f>INDIRECT(ADDRESS(195,16))+INDIRECT(ADDRESS(193,17))-INDIRECT(ADDRESS(194,17))</f>
        <v>0</v>
      </c>
      <c r="R195">
        <f>INDIRECT(ADDRESS(195,17))+INDIRECT(ADDRESS(193,18))-INDIRECT(ADDRESS(194,18))</f>
        <v>0</v>
      </c>
      <c r="S195">
        <f>INDIRECT(ADDRESS(195,18))+INDIRECT(ADDRESS(193,19))-INDIRECT(ADDRESS(194,19))</f>
        <v>0</v>
      </c>
      <c r="T195">
        <f>INDIRECT(ADDRESS(195,19))+INDIRECT(ADDRESS(193,20))-INDIRECT(ADDRESS(194,20))</f>
        <v>0</v>
      </c>
      <c r="U195">
        <f>INDIRECT(ADDRESS(195,20))+INDIRECT(ADDRESS(193,21))-INDIRECT(ADDRESS(194,21))</f>
        <v>0</v>
      </c>
      <c r="V195">
        <f>INDIRECT(ADDRESS(195,21))+INDIRECT(ADDRESS(193,22))-INDIRECT(ADDRESS(194,22))</f>
        <v>0</v>
      </c>
      <c r="W195">
        <f>INDIRECT(ADDRESS(195,22))+INDIRECT(ADDRESS(193,23))-INDIRECT(ADDRESS(194,23))</f>
        <v>0</v>
      </c>
      <c r="X195">
        <f>INDIRECT(ADDRESS(195,23))+INDIRECT(ADDRESS(193,24))-INDIRECT(ADDRESS(194,24))</f>
        <v>0</v>
      </c>
      <c r="Y195">
        <f>INDIRECT(ADDRESS(195,24))+INDIRECT(ADDRESS(193,25))-INDIRECT(ADDRESS(194,25))</f>
        <v>0</v>
      </c>
      <c r="Z195">
        <f>INDIRECT(ADDRESS(195,25))+INDIRECT(ADDRESS(193,26))-INDIRECT(ADDRESS(194,26))</f>
        <v>0</v>
      </c>
      <c r="AA195">
        <f>INDIRECT(ADDRESS(195,26))+INDIRECT(ADDRESS(193,27))-INDIRECT(ADDRESS(194,27))</f>
        <v>0</v>
      </c>
      <c r="AB195">
        <f>INDIRECT(ADDRESS(195,27))+INDIRECT(ADDRESS(193,28))-INDIRECT(ADDRESS(194,28))</f>
        <v>0</v>
      </c>
      <c r="AC195">
        <f>INDIRECT(ADDRESS(195,28))+INDIRECT(ADDRESS(193,29))-INDIRECT(ADDRESS(194,29))</f>
        <v>0</v>
      </c>
      <c r="AD195">
        <f>INDIRECT(ADDRESS(195,29))+INDIRECT(ADDRESS(193,30))-INDIRECT(ADDRESS(194,30))</f>
        <v>0</v>
      </c>
      <c r="AE195">
        <f>INDIRECT(ADDRESS(195,30))+INDIRECT(ADDRESS(193,31))-INDIRECT(ADDRESS(194,31))</f>
        <v>0</v>
      </c>
      <c r="AF195">
        <f>INDIRECT(ADDRESS(195,31))+INDIRECT(ADDRESS(193,32))-INDIRECT(ADDRESS(194,32))</f>
        <v>0</v>
      </c>
      <c r="AG195">
        <f>INDIRECT(ADDRESS(195,32))+INDIRECT(ADDRESS(193,33))-INDIRECT(ADDRESS(194,33))</f>
        <v>0</v>
      </c>
      <c r="AH195">
        <f>INDIRECT(ADDRESS(195,33))+INDIRECT(ADDRESS(193,34))-INDIRECT(ADDRESS(194,34))</f>
        <v>0</v>
      </c>
      <c r="AI195">
        <f>INDIRECT(ADDRESS(195,34))+INDIRECT(ADDRESS(193,35))-INDIRECT(ADDRESS(194,35))</f>
        <v>0</v>
      </c>
      <c r="AJ195">
        <f>INDIRECT(ADDRESS(195,35))+INDIRECT(ADDRESS(193,36))-INDIRECT(ADDRESS(194,36))</f>
        <v>0</v>
      </c>
      <c r="AK195">
        <f>INDIRECT(ADDRESS(195,36))+INDIRECT(ADDRESS(193,37))-INDIRECT(ADDRESS(194,37))</f>
        <v>0</v>
      </c>
      <c r="AL195">
        <f>INDIRECT(ADDRESS(195,37))+INDIRECT(ADDRESS(193,38))-INDIRECT(ADDRESS(194,38))</f>
        <v>0</v>
      </c>
      <c r="AM195">
        <f>INDIRECT(ADDRESS(195,38))+INDIRECT(ADDRESS(193,39))-INDIRECT(ADDRESS(194,39))</f>
        <v>0</v>
      </c>
      <c r="AN195">
        <f>INDIRECT(ADDRESS(195,39))+INDIRECT(ADDRESS(193,40))-INDIRECT(ADDRESS(194,40))</f>
        <v>0</v>
      </c>
      <c r="AO195">
        <f>SUM(INDIRECT(ADDRESS(194,8)):INDIRECT(ADDRESS(194,39)))</f>
        <v>0</v>
      </c>
    </row>
    <row r="196" spans="1:41">
      <c r="A196" t="s">
        <v>180</v>
      </c>
      <c r="B196" t="s">
        <v>255</v>
      </c>
      <c r="C196" t="s">
        <v>267</v>
      </c>
      <c r="E196">
        <v>2</v>
      </c>
      <c r="F196" t="s">
        <v>11</v>
      </c>
      <c r="I196" t="s">
        <v>177</v>
      </c>
    </row>
    <row r="197" spans="1:41">
      <c r="I197" t="s">
        <v>178</v>
      </c>
      <c r="J197">
        <f>IFERROR(VLOOKUP("927-004856-300",B:AB,1+8,0),0)</f>
        <v>0</v>
      </c>
      <c r="K197">
        <f>IFERROR(VLOOKUP("927-004856-300",B:AB,2+8,0),0)</f>
        <v>0</v>
      </c>
      <c r="L197">
        <f>IFERROR(VLOOKUP("927-004856-300",B:AB,3+8,0),0)</f>
        <v>0</v>
      </c>
      <c r="M197">
        <f>IFERROR(VLOOKUP("927-004856-300",B:AB,4+8,0),0)</f>
        <v>0</v>
      </c>
      <c r="N197">
        <f>IFERROR(VLOOKUP("927-004856-300",B:AB,5+8,0),0)</f>
        <v>0</v>
      </c>
      <c r="O197">
        <f>IFERROR(VLOOKUP("927-004856-300",B:AB,6+8,0),0)</f>
        <v>0</v>
      </c>
      <c r="P197">
        <f>IFERROR(VLOOKUP("927-004856-300",B:AB,7+8,0),0)</f>
        <v>0</v>
      </c>
      <c r="Q197">
        <f>IFERROR(VLOOKUP("927-004856-300",B:AB,8+8,0),0)</f>
        <v>0</v>
      </c>
      <c r="R197">
        <f>IFERROR(VLOOKUP("927-004856-300",B:AB,9+8,0),0)</f>
        <v>0</v>
      </c>
      <c r="S197">
        <f>IFERROR(VLOOKUP("927-004856-300",B:AB,10+8,0),0)</f>
        <v>0</v>
      </c>
      <c r="T197">
        <f>IFERROR(VLOOKUP("927-004856-300",B:AB,11+8,0),0)</f>
        <v>0</v>
      </c>
      <c r="U197">
        <f>IFERROR(VLOOKUP("927-004856-300",B:AB,12+8,0),0)</f>
        <v>0</v>
      </c>
      <c r="V197">
        <f>IFERROR(VLOOKUP("927-004856-300",B:AB,13+8,0),0)</f>
        <v>0</v>
      </c>
      <c r="W197">
        <f>IFERROR(VLOOKUP("927-004856-300",B:AB,14+8,0),0)</f>
        <v>0</v>
      </c>
      <c r="X197">
        <f>IFERROR(VLOOKUP("927-004856-300",B:AB,15+8,0),0)</f>
        <v>0</v>
      </c>
      <c r="Y197">
        <f>IFERROR(VLOOKUP("927-004856-300",B:AB,16+8,0),0)</f>
        <v>0</v>
      </c>
      <c r="Z197">
        <f>IFERROR(VLOOKUP("927-004856-300",B:AB,17+8,0),0)</f>
        <v>0</v>
      </c>
      <c r="AA197">
        <f>IFERROR(VLOOKUP("927-004856-300",B:AB,18+8,0),0)</f>
        <v>0</v>
      </c>
      <c r="AB197">
        <f>IFERROR(VLOOKUP("927-004856-300",B:AB,19+8,0),0)</f>
        <v>0</v>
      </c>
      <c r="AC197">
        <f>IFERROR(VLOOKUP("927-004856-300",B:AB,20+8,0),0)</f>
        <v>0</v>
      </c>
      <c r="AD197">
        <f>IFERROR(VLOOKUP("927-004856-300",B:AB,21+8,0),0)</f>
        <v>0</v>
      </c>
      <c r="AE197">
        <f>IFERROR(VLOOKUP("927-004856-300",B:AB,22+8,0),0)</f>
        <v>0</v>
      </c>
      <c r="AF197">
        <f>IFERROR(VLOOKUP("927-004856-300",B:AB,23+8,0),0)</f>
        <v>0</v>
      </c>
      <c r="AG197">
        <f>IFERROR(VLOOKUP("927-004856-300",B:AB,24+8,0),0)</f>
        <v>0</v>
      </c>
      <c r="AH197">
        <f>IFERROR(VLOOKUP("927-004856-300",B:AB,25+8,0),0)</f>
        <v>0</v>
      </c>
      <c r="AI197">
        <f>IFERROR(VLOOKUP("927-004856-300",B:AB,26+8,0),0)</f>
        <v>0</v>
      </c>
      <c r="AJ197">
        <f>IFERROR(VLOOKUP("927-004856-300",B:AB,27+8,0),0)</f>
        <v>0</v>
      </c>
      <c r="AK197">
        <f>IFERROR(VLOOKUP("927-004856-300",B:AB,28+8,0),0)</f>
        <v>0</v>
      </c>
      <c r="AL197">
        <f>IFERROR(VLOOKUP("927-004856-300",B:AB,29+8,0),0)</f>
        <v>0</v>
      </c>
      <c r="AM197">
        <f>IFERROR(VLOOKUP("927-004856-300",B:AB,30+8,0),0)</f>
        <v>0</v>
      </c>
      <c r="AN197">
        <f>IFERROR(VLOOKUP("927-004856-300",B:AB,31+8,0),0)</f>
        <v>0</v>
      </c>
      <c r="AO197">
        <f>SUN(INDIRECT(ADDRESS(196,8)):INDIRECT(ADDRESS(196,39)))</f>
        <v>0</v>
      </c>
    </row>
    <row r="198" spans="1:41">
      <c r="H198" t="s">
        <v>179</v>
      </c>
      <c r="J198">
        <f>INDIRECT(ADDRESS(198,9))+INDIRECT(ADDRESS(196,10))-INDIRECT(ADDRESS(197,10))</f>
        <v>0</v>
      </c>
      <c r="K198">
        <f>INDIRECT(ADDRESS(198,10))+INDIRECT(ADDRESS(196,11))-INDIRECT(ADDRESS(197,11))</f>
        <v>0</v>
      </c>
      <c r="L198">
        <f>INDIRECT(ADDRESS(198,11))+INDIRECT(ADDRESS(196,12))-INDIRECT(ADDRESS(197,12))</f>
        <v>0</v>
      </c>
      <c r="M198">
        <f>INDIRECT(ADDRESS(198,12))+INDIRECT(ADDRESS(196,13))-INDIRECT(ADDRESS(197,13))</f>
        <v>0</v>
      </c>
      <c r="N198">
        <f>INDIRECT(ADDRESS(198,13))+INDIRECT(ADDRESS(196,14))-INDIRECT(ADDRESS(197,14))</f>
        <v>0</v>
      </c>
      <c r="O198">
        <f>INDIRECT(ADDRESS(198,14))+INDIRECT(ADDRESS(196,15))-INDIRECT(ADDRESS(197,15))</f>
        <v>0</v>
      </c>
      <c r="P198">
        <f>INDIRECT(ADDRESS(198,15))+INDIRECT(ADDRESS(196,16))-INDIRECT(ADDRESS(197,16))</f>
        <v>0</v>
      </c>
      <c r="Q198">
        <f>INDIRECT(ADDRESS(198,16))+INDIRECT(ADDRESS(196,17))-INDIRECT(ADDRESS(197,17))</f>
        <v>0</v>
      </c>
      <c r="R198">
        <f>INDIRECT(ADDRESS(198,17))+INDIRECT(ADDRESS(196,18))-INDIRECT(ADDRESS(197,18))</f>
        <v>0</v>
      </c>
      <c r="S198">
        <f>INDIRECT(ADDRESS(198,18))+INDIRECT(ADDRESS(196,19))-INDIRECT(ADDRESS(197,19))</f>
        <v>0</v>
      </c>
      <c r="T198">
        <f>INDIRECT(ADDRESS(198,19))+INDIRECT(ADDRESS(196,20))-INDIRECT(ADDRESS(197,20))</f>
        <v>0</v>
      </c>
      <c r="U198">
        <f>INDIRECT(ADDRESS(198,20))+INDIRECT(ADDRESS(196,21))-INDIRECT(ADDRESS(197,21))</f>
        <v>0</v>
      </c>
      <c r="V198">
        <f>INDIRECT(ADDRESS(198,21))+INDIRECT(ADDRESS(196,22))-INDIRECT(ADDRESS(197,22))</f>
        <v>0</v>
      </c>
      <c r="W198">
        <f>INDIRECT(ADDRESS(198,22))+INDIRECT(ADDRESS(196,23))-INDIRECT(ADDRESS(197,23))</f>
        <v>0</v>
      </c>
      <c r="X198">
        <f>INDIRECT(ADDRESS(198,23))+INDIRECT(ADDRESS(196,24))-INDIRECT(ADDRESS(197,24))</f>
        <v>0</v>
      </c>
      <c r="Y198">
        <f>INDIRECT(ADDRESS(198,24))+INDIRECT(ADDRESS(196,25))-INDIRECT(ADDRESS(197,25))</f>
        <v>0</v>
      </c>
      <c r="Z198">
        <f>INDIRECT(ADDRESS(198,25))+INDIRECT(ADDRESS(196,26))-INDIRECT(ADDRESS(197,26))</f>
        <v>0</v>
      </c>
      <c r="AA198">
        <f>INDIRECT(ADDRESS(198,26))+INDIRECT(ADDRESS(196,27))-INDIRECT(ADDRESS(197,27))</f>
        <v>0</v>
      </c>
      <c r="AB198">
        <f>INDIRECT(ADDRESS(198,27))+INDIRECT(ADDRESS(196,28))-INDIRECT(ADDRESS(197,28))</f>
        <v>0</v>
      </c>
      <c r="AC198">
        <f>INDIRECT(ADDRESS(198,28))+INDIRECT(ADDRESS(196,29))-INDIRECT(ADDRESS(197,29))</f>
        <v>0</v>
      </c>
      <c r="AD198">
        <f>INDIRECT(ADDRESS(198,29))+INDIRECT(ADDRESS(196,30))-INDIRECT(ADDRESS(197,30))</f>
        <v>0</v>
      </c>
      <c r="AE198">
        <f>INDIRECT(ADDRESS(198,30))+INDIRECT(ADDRESS(196,31))-INDIRECT(ADDRESS(197,31))</f>
        <v>0</v>
      </c>
      <c r="AF198">
        <f>INDIRECT(ADDRESS(198,31))+INDIRECT(ADDRESS(196,32))-INDIRECT(ADDRESS(197,32))</f>
        <v>0</v>
      </c>
      <c r="AG198">
        <f>INDIRECT(ADDRESS(198,32))+INDIRECT(ADDRESS(196,33))-INDIRECT(ADDRESS(197,33))</f>
        <v>0</v>
      </c>
      <c r="AH198">
        <f>INDIRECT(ADDRESS(198,33))+INDIRECT(ADDRESS(196,34))-INDIRECT(ADDRESS(197,34))</f>
        <v>0</v>
      </c>
      <c r="AI198">
        <f>INDIRECT(ADDRESS(198,34))+INDIRECT(ADDRESS(196,35))-INDIRECT(ADDRESS(197,35))</f>
        <v>0</v>
      </c>
      <c r="AJ198">
        <f>INDIRECT(ADDRESS(198,35))+INDIRECT(ADDRESS(196,36))-INDIRECT(ADDRESS(197,36))</f>
        <v>0</v>
      </c>
      <c r="AK198">
        <f>INDIRECT(ADDRESS(198,36))+INDIRECT(ADDRESS(196,37))-INDIRECT(ADDRESS(197,37))</f>
        <v>0</v>
      </c>
      <c r="AL198">
        <f>INDIRECT(ADDRESS(198,37))+INDIRECT(ADDRESS(196,38))-INDIRECT(ADDRESS(197,38))</f>
        <v>0</v>
      </c>
      <c r="AM198">
        <f>INDIRECT(ADDRESS(198,38))+INDIRECT(ADDRESS(196,39))-INDIRECT(ADDRESS(197,39))</f>
        <v>0</v>
      </c>
      <c r="AN198">
        <f>INDIRECT(ADDRESS(198,39))+INDIRECT(ADDRESS(196,40))-INDIRECT(ADDRESS(197,40))</f>
        <v>0</v>
      </c>
      <c r="AO198">
        <f>SUM(INDIRECT(ADDRESS(197,8)):INDIRECT(ADDRESS(197,39)))</f>
        <v>0</v>
      </c>
    </row>
    <row r="199" spans="1:41">
      <c r="A199" t="s">
        <v>185</v>
      </c>
      <c r="B199" t="s">
        <v>249</v>
      </c>
      <c r="C199" t="s">
        <v>268</v>
      </c>
      <c r="E199">
        <v>1</v>
      </c>
      <c r="F199" t="s">
        <v>11</v>
      </c>
      <c r="I199" t="s">
        <v>177</v>
      </c>
    </row>
    <row r="200" spans="1:41">
      <c r="I200" t="s">
        <v>178</v>
      </c>
      <c r="J200">
        <f>IFERROR(VLOOKUP("927-004856-300",B:AB,1+8,0),0)</f>
        <v>0</v>
      </c>
      <c r="K200">
        <f>IFERROR(VLOOKUP("927-004856-300",B:AB,2+8,0),0)</f>
        <v>0</v>
      </c>
      <c r="L200">
        <f>IFERROR(VLOOKUP("927-004856-300",B:AB,3+8,0),0)</f>
        <v>0</v>
      </c>
      <c r="M200">
        <f>IFERROR(VLOOKUP("927-004856-300",B:AB,4+8,0),0)</f>
        <v>0</v>
      </c>
      <c r="N200">
        <f>IFERROR(VLOOKUP("927-004856-300",B:AB,5+8,0),0)</f>
        <v>0</v>
      </c>
      <c r="O200">
        <f>IFERROR(VLOOKUP("927-004856-300",B:AB,6+8,0),0)</f>
        <v>0</v>
      </c>
      <c r="P200">
        <f>IFERROR(VLOOKUP("927-004856-300",B:AB,7+8,0),0)</f>
        <v>0</v>
      </c>
      <c r="Q200">
        <f>IFERROR(VLOOKUP("927-004856-300",B:AB,8+8,0),0)</f>
        <v>0</v>
      </c>
      <c r="R200">
        <f>IFERROR(VLOOKUP("927-004856-300",B:AB,9+8,0),0)</f>
        <v>0</v>
      </c>
      <c r="S200">
        <f>IFERROR(VLOOKUP("927-004856-300",B:AB,10+8,0),0)</f>
        <v>0</v>
      </c>
      <c r="T200">
        <f>IFERROR(VLOOKUP("927-004856-300",B:AB,11+8,0),0)</f>
        <v>0</v>
      </c>
      <c r="U200">
        <f>IFERROR(VLOOKUP("927-004856-300",B:AB,12+8,0),0)</f>
        <v>0</v>
      </c>
      <c r="V200">
        <f>IFERROR(VLOOKUP("927-004856-300",B:AB,13+8,0),0)</f>
        <v>0</v>
      </c>
      <c r="W200">
        <f>IFERROR(VLOOKUP("927-004856-300",B:AB,14+8,0),0)</f>
        <v>0</v>
      </c>
      <c r="X200">
        <f>IFERROR(VLOOKUP("927-004856-300",B:AB,15+8,0),0)</f>
        <v>0</v>
      </c>
      <c r="Y200">
        <f>IFERROR(VLOOKUP("927-004856-300",B:AB,16+8,0),0)</f>
        <v>0</v>
      </c>
      <c r="Z200">
        <f>IFERROR(VLOOKUP("927-004856-300",B:AB,17+8,0),0)</f>
        <v>0</v>
      </c>
      <c r="AA200">
        <f>IFERROR(VLOOKUP("927-004856-300",B:AB,18+8,0),0)</f>
        <v>0</v>
      </c>
      <c r="AB200">
        <f>IFERROR(VLOOKUP("927-004856-300",B:AB,19+8,0),0)</f>
        <v>0</v>
      </c>
      <c r="AC200">
        <f>IFERROR(VLOOKUP("927-004856-300",B:AB,20+8,0),0)</f>
        <v>0</v>
      </c>
      <c r="AD200">
        <f>IFERROR(VLOOKUP("927-004856-300",B:AB,21+8,0),0)</f>
        <v>0</v>
      </c>
      <c r="AE200">
        <f>IFERROR(VLOOKUP("927-004856-300",B:AB,22+8,0),0)</f>
        <v>0</v>
      </c>
      <c r="AF200">
        <f>IFERROR(VLOOKUP("927-004856-300",B:AB,23+8,0),0)</f>
        <v>0</v>
      </c>
      <c r="AG200">
        <f>IFERROR(VLOOKUP("927-004856-300",B:AB,24+8,0),0)</f>
        <v>0</v>
      </c>
      <c r="AH200">
        <f>IFERROR(VLOOKUP("927-004856-300",B:AB,25+8,0),0)</f>
        <v>0</v>
      </c>
      <c r="AI200">
        <f>IFERROR(VLOOKUP("927-004856-300",B:AB,26+8,0),0)</f>
        <v>0</v>
      </c>
      <c r="AJ200">
        <f>IFERROR(VLOOKUP("927-004856-300",B:AB,27+8,0),0)</f>
        <v>0</v>
      </c>
      <c r="AK200">
        <f>IFERROR(VLOOKUP("927-004856-300",B:AB,28+8,0),0)</f>
        <v>0</v>
      </c>
      <c r="AL200">
        <f>IFERROR(VLOOKUP("927-004856-300",B:AB,29+8,0),0)</f>
        <v>0</v>
      </c>
      <c r="AM200">
        <f>IFERROR(VLOOKUP("927-004856-300",B:AB,30+8,0),0)</f>
        <v>0</v>
      </c>
      <c r="AN200">
        <f>IFERROR(VLOOKUP("927-004856-300",B:AB,31+8,0),0)</f>
        <v>0</v>
      </c>
      <c r="AO200">
        <f>SUN(INDIRECT(ADDRESS(199,8)):INDIRECT(ADDRESS(199,39)))</f>
        <v>0</v>
      </c>
    </row>
    <row r="201" spans="1:41">
      <c r="H201" t="s">
        <v>179</v>
      </c>
      <c r="J201">
        <f>INDIRECT(ADDRESS(201,9))+INDIRECT(ADDRESS(199,10))-INDIRECT(ADDRESS(200,10))</f>
        <v>0</v>
      </c>
      <c r="K201">
        <f>INDIRECT(ADDRESS(201,10))+INDIRECT(ADDRESS(199,11))-INDIRECT(ADDRESS(200,11))</f>
        <v>0</v>
      </c>
      <c r="L201">
        <f>INDIRECT(ADDRESS(201,11))+INDIRECT(ADDRESS(199,12))-INDIRECT(ADDRESS(200,12))</f>
        <v>0</v>
      </c>
      <c r="M201">
        <f>INDIRECT(ADDRESS(201,12))+INDIRECT(ADDRESS(199,13))-INDIRECT(ADDRESS(200,13))</f>
        <v>0</v>
      </c>
      <c r="N201">
        <f>INDIRECT(ADDRESS(201,13))+INDIRECT(ADDRESS(199,14))-INDIRECT(ADDRESS(200,14))</f>
        <v>0</v>
      </c>
      <c r="O201">
        <f>INDIRECT(ADDRESS(201,14))+INDIRECT(ADDRESS(199,15))-INDIRECT(ADDRESS(200,15))</f>
        <v>0</v>
      </c>
      <c r="P201">
        <f>INDIRECT(ADDRESS(201,15))+INDIRECT(ADDRESS(199,16))-INDIRECT(ADDRESS(200,16))</f>
        <v>0</v>
      </c>
      <c r="Q201">
        <f>INDIRECT(ADDRESS(201,16))+INDIRECT(ADDRESS(199,17))-INDIRECT(ADDRESS(200,17))</f>
        <v>0</v>
      </c>
      <c r="R201">
        <f>INDIRECT(ADDRESS(201,17))+INDIRECT(ADDRESS(199,18))-INDIRECT(ADDRESS(200,18))</f>
        <v>0</v>
      </c>
      <c r="S201">
        <f>INDIRECT(ADDRESS(201,18))+INDIRECT(ADDRESS(199,19))-INDIRECT(ADDRESS(200,19))</f>
        <v>0</v>
      </c>
      <c r="T201">
        <f>INDIRECT(ADDRESS(201,19))+INDIRECT(ADDRESS(199,20))-INDIRECT(ADDRESS(200,20))</f>
        <v>0</v>
      </c>
      <c r="U201">
        <f>INDIRECT(ADDRESS(201,20))+INDIRECT(ADDRESS(199,21))-INDIRECT(ADDRESS(200,21))</f>
        <v>0</v>
      </c>
      <c r="V201">
        <f>INDIRECT(ADDRESS(201,21))+INDIRECT(ADDRESS(199,22))-INDIRECT(ADDRESS(200,22))</f>
        <v>0</v>
      </c>
      <c r="W201">
        <f>INDIRECT(ADDRESS(201,22))+INDIRECT(ADDRESS(199,23))-INDIRECT(ADDRESS(200,23))</f>
        <v>0</v>
      </c>
      <c r="X201">
        <f>INDIRECT(ADDRESS(201,23))+INDIRECT(ADDRESS(199,24))-INDIRECT(ADDRESS(200,24))</f>
        <v>0</v>
      </c>
      <c r="Y201">
        <f>INDIRECT(ADDRESS(201,24))+INDIRECT(ADDRESS(199,25))-INDIRECT(ADDRESS(200,25))</f>
        <v>0</v>
      </c>
      <c r="Z201">
        <f>INDIRECT(ADDRESS(201,25))+INDIRECT(ADDRESS(199,26))-INDIRECT(ADDRESS(200,26))</f>
        <v>0</v>
      </c>
      <c r="AA201">
        <f>INDIRECT(ADDRESS(201,26))+INDIRECT(ADDRESS(199,27))-INDIRECT(ADDRESS(200,27))</f>
        <v>0</v>
      </c>
      <c r="AB201">
        <f>INDIRECT(ADDRESS(201,27))+INDIRECT(ADDRESS(199,28))-INDIRECT(ADDRESS(200,28))</f>
        <v>0</v>
      </c>
      <c r="AC201">
        <f>INDIRECT(ADDRESS(201,28))+INDIRECT(ADDRESS(199,29))-INDIRECT(ADDRESS(200,29))</f>
        <v>0</v>
      </c>
      <c r="AD201">
        <f>INDIRECT(ADDRESS(201,29))+INDIRECT(ADDRESS(199,30))-INDIRECT(ADDRESS(200,30))</f>
        <v>0</v>
      </c>
      <c r="AE201">
        <f>INDIRECT(ADDRESS(201,30))+INDIRECT(ADDRESS(199,31))-INDIRECT(ADDRESS(200,31))</f>
        <v>0</v>
      </c>
      <c r="AF201">
        <f>INDIRECT(ADDRESS(201,31))+INDIRECT(ADDRESS(199,32))-INDIRECT(ADDRESS(200,32))</f>
        <v>0</v>
      </c>
      <c r="AG201">
        <f>INDIRECT(ADDRESS(201,32))+INDIRECT(ADDRESS(199,33))-INDIRECT(ADDRESS(200,33))</f>
        <v>0</v>
      </c>
      <c r="AH201">
        <f>INDIRECT(ADDRESS(201,33))+INDIRECT(ADDRESS(199,34))-INDIRECT(ADDRESS(200,34))</f>
        <v>0</v>
      </c>
      <c r="AI201">
        <f>INDIRECT(ADDRESS(201,34))+INDIRECT(ADDRESS(199,35))-INDIRECT(ADDRESS(200,35))</f>
        <v>0</v>
      </c>
      <c r="AJ201">
        <f>INDIRECT(ADDRESS(201,35))+INDIRECT(ADDRESS(199,36))-INDIRECT(ADDRESS(200,36))</f>
        <v>0</v>
      </c>
      <c r="AK201">
        <f>INDIRECT(ADDRESS(201,36))+INDIRECT(ADDRESS(199,37))-INDIRECT(ADDRESS(200,37))</f>
        <v>0</v>
      </c>
      <c r="AL201">
        <f>INDIRECT(ADDRESS(201,37))+INDIRECT(ADDRESS(199,38))-INDIRECT(ADDRESS(200,38))</f>
        <v>0</v>
      </c>
      <c r="AM201">
        <f>INDIRECT(ADDRESS(201,38))+INDIRECT(ADDRESS(199,39))-INDIRECT(ADDRESS(200,39))</f>
        <v>0</v>
      </c>
      <c r="AN201">
        <f>INDIRECT(ADDRESS(201,39))+INDIRECT(ADDRESS(199,40))-INDIRECT(ADDRESS(200,40))</f>
        <v>0</v>
      </c>
      <c r="AO201">
        <f>SUM(INDIRECT(ADDRESS(200,8)):INDIRECT(ADDRESS(200,39)))</f>
        <v>0</v>
      </c>
    </row>
    <row r="202" spans="1:41">
      <c r="A202" t="s">
        <v>185</v>
      </c>
      <c r="B202" t="s">
        <v>196</v>
      </c>
      <c r="C202" t="s">
        <v>269</v>
      </c>
      <c r="E202">
        <v>2</v>
      </c>
      <c r="F202" t="s">
        <v>11</v>
      </c>
      <c r="I202" t="s">
        <v>177</v>
      </c>
    </row>
    <row r="203" spans="1:41">
      <c r="I203" t="s">
        <v>178</v>
      </c>
      <c r="J203">
        <f>IFERROR(VLOOKUP("927-004856-300",B:AB,1+8,0),0)</f>
        <v>0</v>
      </c>
      <c r="K203">
        <f>IFERROR(VLOOKUP("927-004856-300",B:AB,2+8,0),0)</f>
        <v>0</v>
      </c>
      <c r="L203">
        <f>IFERROR(VLOOKUP("927-004856-300",B:AB,3+8,0),0)</f>
        <v>0</v>
      </c>
      <c r="M203">
        <f>IFERROR(VLOOKUP("927-004856-300",B:AB,4+8,0),0)</f>
        <v>0</v>
      </c>
      <c r="N203">
        <f>IFERROR(VLOOKUP("927-004856-300",B:AB,5+8,0),0)</f>
        <v>0</v>
      </c>
      <c r="O203">
        <f>IFERROR(VLOOKUP("927-004856-300",B:AB,6+8,0),0)</f>
        <v>0</v>
      </c>
      <c r="P203">
        <f>IFERROR(VLOOKUP("927-004856-300",B:AB,7+8,0),0)</f>
        <v>0</v>
      </c>
      <c r="Q203">
        <f>IFERROR(VLOOKUP("927-004856-300",B:AB,8+8,0),0)</f>
        <v>0</v>
      </c>
      <c r="R203">
        <f>IFERROR(VLOOKUP("927-004856-300",B:AB,9+8,0),0)</f>
        <v>0</v>
      </c>
      <c r="S203">
        <f>IFERROR(VLOOKUP("927-004856-300",B:AB,10+8,0),0)</f>
        <v>0</v>
      </c>
      <c r="T203">
        <f>IFERROR(VLOOKUP("927-004856-300",B:AB,11+8,0),0)</f>
        <v>0</v>
      </c>
      <c r="U203">
        <f>IFERROR(VLOOKUP("927-004856-300",B:AB,12+8,0),0)</f>
        <v>0</v>
      </c>
      <c r="V203">
        <f>IFERROR(VLOOKUP("927-004856-300",B:AB,13+8,0),0)</f>
        <v>0</v>
      </c>
      <c r="W203">
        <f>IFERROR(VLOOKUP("927-004856-300",B:AB,14+8,0),0)</f>
        <v>0</v>
      </c>
      <c r="X203">
        <f>IFERROR(VLOOKUP("927-004856-300",B:AB,15+8,0),0)</f>
        <v>0</v>
      </c>
      <c r="Y203">
        <f>IFERROR(VLOOKUP("927-004856-300",B:AB,16+8,0),0)</f>
        <v>0</v>
      </c>
      <c r="Z203">
        <f>IFERROR(VLOOKUP("927-004856-300",B:AB,17+8,0),0)</f>
        <v>0</v>
      </c>
      <c r="AA203">
        <f>IFERROR(VLOOKUP("927-004856-300",B:AB,18+8,0),0)</f>
        <v>0</v>
      </c>
      <c r="AB203">
        <f>IFERROR(VLOOKUP("927-004856-300",B:AB,19+8,0),0)</f>
        <v>0</v>
      </c>
      <c r="AC203">
        <f>IFERROR(VLOOKUP("927-004856-300",B:AB,20+8,0),0)</f>
        <v>0</v>
      </c>
      <c r="AD203">
        <f>IFERROR(VLOOKUP("927-004856-300",B:AB,21+8,0),0)</f>
        <v>0</v>
      </c>
      <c r="AE203">
        <f>IFERROR(VLOOKUP("927-004856-300",B:AB,22+8,0),0)</f>
        <v>0</v>
      </c>
      <c r="AF203">
        <f>IFERROR(VLOOKUP("927-004856-300",B:AB,23+8,0),0)</f>
        <v>0</v>
      </c>
      <c r="AG203">
        <f>IFERROR(VLOOKUP("927-004856-300",B:AB,24+8,0),0)</f>
        <v>0</v>
      </c>
      <c r="AH203">
        <f>IFERROR(VLOOKUP("927-004856-300",B:AB,25+8,0),0)</f>
        <v>0</v>
      </c>
      <c r="AI203">
        <f>IFERROR(VLOOKUP("927-004856-300",B:AB,26+8,0),0)</f>
        <v>0</v>
      </c>
      <c r="AJ203">
        <f>IFERROR(VLOOKUP("927-004856-300",B:AB,27+8,0),0)</f>
        <v>0</v>
      </c>
      <c r="AK203">
        <f>IFERROR(VLOOKUP("927-004856-300",B:AB,28+8,0),0)</f>
        <v>0</v>
      </c>
      <c r="AL203">
        <f>IFERROR(VLOOKUP("927-004856-300",B:AB,29+8,0),0)</f>
        <v>0</v>
      </c>
      <c r="AM203">
        <f>IFERROR(VLOOKUP("927-004856-300",B:AB,30+8,0),0)</f>
        <v>0</v>
      </c>
      <c r="AN203">
        <f>IFERROR(VLOOKUP("927-004856-300",B:AB,31+8,0),0)</f>
        <v>0</v>
      </c>
      <c r="AO203">
        <f>SUN(INDIRECT(ADDRESS(202,8)):INDIRECT(ADDRESS(202,39)))</f>
        <v>0</v>
      </c>
    </row>
    <row r="204" spans="1:41">
      <c r="H204" t="s">
        <v>179</v>
      </c>
      <c r="J204">
        <f>INDIRECT(ADDRESS(204,9))+INDIRECT(ADDRESS(202,10))-INDIRECT(ADDRESS(203,10))</f>
        <v>0</v>
      </c>
      <c r="K204">
        <f>INDIRECT(ADDRESS(204,10))+INDIRECT(ADDRESS(202,11))-INDIRECT(ADDRESS(203,11))</f>
        <v>0</v>
      </c>
      <c r="L204">
        <f>INDIRECT(ADDRESS(204,11))+INDIRECT(ADDRESS(202,12))-INDIRECT(ADDRESS(203,12))</f>
        <v>0</v>
      </c>
      <c r="M204">
        <f>INDIRECT(ADDRESS(204,12))+INDIRECT(ADDRESS(202,13))-INDIRECT(ADDRESS(203,13))</f>
        <v>0</v>
      </c>
      <c r="N204">
        <f>INDIRECT(ADDRESS(204,13))+INDIRECT(ADDRESS(202,14))-INDIRECT(ADDRESS(203,14))</f>
        <v>0</v>
      </c>
      <c r="O204">
        <f>INDIRECT(ADDRESS(204,14))+INDIRECT(ADDRESS(202,15))-INDIRECT(ADDRESS(203,15))</f>
        <v>0</v>
      </c>
      <c r="P204">
        <f>INDIRECT(ADDRESS(204,15))+INDIRECT(ADDRESS(202,16))-INDIRECT(ADDRESS(203,16))</f>
        <v>0</v>
      </c>
      <c r="Q204">
        <f>INDIRECT(ADDRESS(204,16))+INDIRECT(ADDRESS(202,17))-INDIRECT(ADDRESS(203,17))</f>
        <v>0</v>
      </c>
      <c r="R204">
        <f>INDIRECT(ADDRESS(204,17))+INDIRECT(ADDRESS(202,18))-INDIRECT(ADDRESS(203,18))</f>
        <v>0</v>
      </c>
      <c r="S204">
        <f>INDIRECT(ADDRESS(204,18))+INDIRECT(ADDRESS(202,19))-INDIRECT(ADDRESS(203,19))</f>
        <v>0</v>
      </c>
      <c r="T204">
        <f>INDIRECT(ADDRESS(204,19))+INDIRECT(ADDRESS(202,20))-INDIRECT(ADDRESS(203,20))</f>
        <v>0</v>
      </c>
      <c r="U204">
        <f>INDIRECT(ADDRESS(204,20))+INDIRECT(ADDRESS(202,21))-INDIRECT(ADDRESS(203,21))</f>
        <v>0</v>
      </c>
      <c r="V204">
        <f>INDIRECT(ADDRESS(204,21))+INDIRECT(ADDRESS(202,22))-INDIRECT(ADDRESS(203,22))</f>
        <v>0</v>
      </c>
      <c r="W204">
        <f>INDIRECT(ADDRESS(204,22))+INDIRECT(ADDRESS(202,23))-INDIRECT(ADDRESS(203,23))</f>
        <v>0</v>
      </c>
      <c r="X204">
        <f>INDIRECT(ADDRESS(204,23))+INDIRECT(ADDRESS(202,24))-INDIRECT(ADDRESS(203,24))</f>
        <v>0</v>
      </c>
      <c r="Y204">
        <f>INDIRECT(ADDRESS(204,24))+INDIRECT(ADDRESS(202,25))-INDIRECT(ADDRESS(203,25))</f>
        <v>0</v>
      </c>
      <c r="Z204">
        <f>INDIRECT(ADDRESS(204,25))+INDIRECT(ADDRESS(202,26))-INDIRECT(ADDRESS(203,26))</f>
        <v>0</v>
      </c>
      <c r="AA204">
        <f>INDIRECT(ADDRESS(204,26))+INDIRECT(ADDRESS(202,27))-INDIRECT(ADDRESS(203,27))</f>
        <v>0</v>
      </c>
      <c r="AB204">
        <f>INDIRECT(ADDRESS(204,27))+INDIRECT(ADDRESS(202,28))-INDIRECT(ADDRESS(203,28))</f>
        <v>0</v>
      </c>
      <c r="AC204">
        <f>INDIRECT(ADDRESS(204,28))+INDIRECT(ADDRESS(202,29))-INDIRECT(ADDRESS(203,29))</f>
        <v>0</v>
      </c>
      <c r="AD204">
        <f>INDIRECT(ADDRESS(204,29))+INDIRECT(ADDRESS(202,30))-INDIRECT(ADDRESS(203,30))</f>
        <v>0</v>
      </c>
      <c r="AE204">
        <f>INDIRECT(ADDRESS(204,30))+INDIRECT(ADDRESS(202,31))-INDIRECT(ADDRESS(203,31))</f>
        <v>0</v>
      </c>
      <c r="AF204">
        <f>INDIRECT(ADDRESS(204,31))+INDIRECT(ADDRESS(202,32))-INDIRECT(ADDRESS(203,32))</f>
        <v>0</v>
      </c>
      <c r="AG204">
        <f>INDIRECT(ADDRESS(204,32))+INDIRECT(ADDRESS(202,33))-INDIRECT(ADDRESS(203,33))</f>
        <v>0</v>
      </c>
      <c r="AH204">
        <f>INDIRECT(ADDRESS(204,33))+INDIRECT(ADDRESS(202,34))-INDIRECT(ADDRESS(203,34))</f>
        <v>0</v>
      </c>
      <c r="AI204">
        <f>INDIRECT(ADDRESS(204,34))+INDIRECT(ADDRESS(202,35))-INDIRECT(ADDRESS(203,35))</f>
        <v>0</v>
      </c>
      <c r="AJ204">
        <f>INDIRECT(ADDRESS(204,35))+INDIRECT(ADDRESS(202,36))-INDIRECT(ADDRESS(203,36))</f>
        <v>0</v>
      </c>
      <c r="AK204">
        <f>INDIRECT(ADDRESS(204,36))+INDIRECT(ADDRESS(202,37))-INDIRECT(ADDRESS(203,37))</f>
        <v>0</v>
      </c>
      <c r="AL204">
        <f>INDIRECT(ADDRESS(204,37))+INDIRECT(ADDRESS(202,38))-INDIRECT(ADDRESS(203,38))</f>
        <v>0</v>
      </c>
      <c r="AM204">
        <f>INDIRECT(ADDRESS(204,38))+INDIRECT(ADDRESS(202,39))-INDIRECT(ADDRESS(203,39))</f>
        <v>0</v>
      </c>
      <c r="AN204">
        <f>INDIRECT(ADDRESS(204,39))+INDIRECT(ADDRESS(202,40))-INDIRECT(ADDRESS(203,40))</f>
        <v>0</v>
      </c>
      <c r="AO204">
        <f>SUM(INDIRECT(ADDRESS(203,8)):INDIRECT(ADDRESS(203,39)))</f>
        <v>0</v>
      </c>
    </row>
    <row r="205" spans="1:41">
      <c r="A205" t="s">
        <v>238</v>
      </c>
      <c r="B205" t="s">
        <v>257</v>
      </c>
      <c r="C205" t="s">
        <v>258</v>
      </c>
      <c r="E205">
        <v>0.1</v>
      </c>
      <c r="F205" t="s">
        <v>11</v>
      </c>
      <c r="I205" t="s">
        <v>177</v>
      </c>
    </row>
    <row r="206" spans="1:41">
      <c r="I206" t="s">
        <v>178</v>
      </c>
      <c r="J206">
        <f>IFERROR(VLOOKUP("927-004856-300",B:AB,1+8,0),0)</f>
        <v>0</v>
      </c>
      <c r="K206">
        <f>IFERROR(VLOOKUP("927-004856-300",B:AB,2+8,0),0)</f>
        <v>0</v>
      </c>
      <c r="L206">
        <f>IFERROR(VLOOKUP("927-004856-300",B:AB,3+8,0),0)</f>
        <v>0</v>
      </c>
      <c r="M206">
        <f>IFERROR(VLOOKUP("927-004856-300",B:AB,4+8,0),0)</f>
        <v>0</v>
      </c>
      <c r="N206">
        <f>IFERROR(VLOOKUP("927-004856-300",B:AB,5+8,0),0)</f>
        <v>0</v>
      </c>
      <c r="O206">
        <f>IFERROR(VLOOKUP("927-004856-300",B:AB,6+8,0),0)</f>
        <v>0</v>
      </c>
      <c r="P206">
        <f>IFERROR(VLOOKUP("927-004856-300",B:AB,7+8,0),0)</f>
        <v>0</v>
      </c>
      <c r="Q206">
        <f>IFERROR(VLOOKUP("927-004856-300",B:AB,8+8,0),0)</f>
        <v>0</v>
      </c>
      <c r="R206">
        <f>IFERROR(VLOOKUP("927-004856-300",B:AB,9+8,0),0)</f>
        <v>0</v>
      </c>
      <c r="S206">
        <f>IFERROR(VLOOKUP("927-004856-300",B:AB,10+8,0),0)</f>
        <v>0</v>
      </c>
      <c r="T206">
        <f>IFERROR(VLOOKUP("927-004856-300",B:AB,11+8,0),0)</f>
        <v>0</v>
      </c>
      <c r="U206">
        <f>IFERROR(VLOOKUP("927-004856-300",B:AB,12+8,0),0)</f>
        <v>0</v>
      </c>
      <c r="V206">
        <f>IFERROR(VLOOKUP("927-004856-300",B:AB,13+8,0),0)</f>
        <v>0</v>
      </c>
      <c r="W206">
        <f>IFERROR(VLOOKUP("927-004856-300",B:AB,14+8,0),0)</f>
        <v>0</v>
      </c>
      <c r="X206">
        <f>IFERROR(VLOOKUP("927-004856-300",B:AB,15+8,0),0)</f>
        <v>0</v>
      </c>
      <c r="Y206">
        <f>IFERROR(VLOOKUP("927-004856-300",B:AB,16+8,0),0)</f>
        <v>0</v>
      </c>
      <c r="Z206">
        <f>IFERROR(VLOOKUP("927-004856-300",B:AB,17+8,0),0)</f>
        <v>0</v>
      </c>
      <c r="AA206">
        <f>IFERROR(VLOOKUP("927-004856-300",B:AB,18+8,0),0)</f>
        <v>0</v>
      </c>
      <c r="AB206">
        <f>IFERROR(VLOOKUP("927-004856-300",B:AB,19+8,0),0)</f>
        <v>0</v>
      </c>
      <c r="AC206">
        <f>IFERROR(VLOOKUP("927-004856-300",B:AB,20+8,0),0)</f>
        <v>0</v>
      </c>
      <c r="AD206">
        <f>IFERROR(VLOOKUP("927-004856-300",B:AB,21+8,0),0)</f>
        <v>0</v>
      </c>
      <c r="AE206">
        <f>IFERROR(VLOOKUP("927-004856-300",B:AB,22+8,0),0)</f>
        <v>0</v>
      </c>
      <c r="AF206">
        <f>IFERROR(VLOOKUP("927-004856-300",B:AB,23+8,0),0)</f>
        <v>0</v>
      </c>
      <c r="AG206">
        <f>IFERROR(VLOOKUP("927-004856-300",B:AB,24+8,0),0)</f>
        <v>0</v>
      </c>
      <c r="AH206">
        <f>IFERROR(VLOOKUP("927-004856-300",B:AB,25+8,0),0)</f>
        <v>0</v>
      </c>
      <c r="AI206">
        <f>IFERROR(VLOOKUP("927-004856-300",B:AB,26+8,0),0)</f>
        <v>0</v>
      </c>
      <c r="AJ206">
        <f>IFERROR(VLOOKUP("927-004856-300",B:AB,27+8,0),0)</f>
        <v>0</v>
      </c>
      <c r="AK206">
        <f>IFERROR(VLOOKUP("927-004856-300",B:AB,28+8,0),0)</f>
        <v>0</v>
      </c>
      <c r="AL206">
        <f>IFERROR(VLOOKUP("927-004856-300",B:AB,29+8,0),0)</f>
        <v>0</v>
      </c>
      <c r="AM206">
        <f>IFERROR(VLOOKUP("927-004856-300",B:AB,30+8,0),0)</f>
        <v>0</v>
      </c>
      <c r="AN206">
        <f>IFERROR(VLOOKUP("927-004856-300",B:AB,31+8,0),0)</f>
        <v>0</v>
      </c>
      <c r="AO206">
        <f>SUN(INDIRECT(ADDRESS(205,8)):INDIRECT(ADDRESS(205,39)))</f>
        <v>0</v>
      </c>
    </row>
    <row r="207" spans="1:41">
      <c r="H207" t="s">
        <v>179</v>
      </c>
      <c r="J207">
        <f>INDIRECT(ADDRESS(207,9))+INDIRECT(ADDRESS(205,10))-INDIRECT(ADDRESS(206,10))</f>
        <v>0</v>
      </c>
      <c r="K207">
        <f>INDIRECT(ADDRESS(207,10))+INDIRECT(ADDRESS(205,11))-INDIRECT(ADDRESS(206,11))</f>
        <v>0</v>
      </c>
      <c r="L207">
        <f>INDIRECT(ADDRESS(207,11))+INDIRECT(ADDRESS(205,12))-INDIRECT(ADDRESS(206,12))</f>
        <v>0</v>
      </c>
      <c r="M207">
        <f>INDIRECT(ADDRESS(207,12))+INDIRECT(ADDRESS(205,13))-INDIRECT(ADDRESS(206,13))</f>
        <v>0</v>
      </c>
      <c r="N207">
        <f>INDIRECT(ADDRESS(207,13))+INDIRECT(ADDRESS(205,14))-INDIRECT(ADDRESS(206,14))</f>
        <v>0</v>
      </c>
      <c r="O207">
        <f>INDIRECT(ADDRESS(207,14))+INDIRECT(ADDRESS(205,15))-INDIRECT(ADDRESS(206,15))</f>
        <v>0</v>
      </c>
      <c r="P207">
        <f>INDIRECT(ADDRESS(207,15))+INDIRECT(ADDRESS(205,16))-INDIRECT(ADDRESS(206,16))</f>
        <v>0</v>
      </c>
      <c r="Q207">
        <f>INDIRECT(ADDRESS(207,16))+INDIRECT(ADDRESS(205,17))-INDIRECT(ADDRESS(206,17))</f>
        <v>0</v>
      </c>
      <c r="R207">
        <f>INDIRECT(ADDRESS(207,17))+INDIRECT(ADDRESS(205,18))-INDIRECT(ADDRESS(206,18))</f>
        <v>0</v>
      </c>
      <c r="S207">
        <f>INDIRECT(ADDRESS(207,18))+INDIRECT(ADDRESS(205,19))-INDIRECT(ADDRESS(206,19))</f>
        <v>0</v>
      </c>
      <c r="T207">
        <f>INDIRECT(ADDRESS(207,19))+INDIRECT(ADDRESS(205,20))-INDIRECT(ADDRESS(206,20))</f>
        <v>0</v>
      </c>
      <c r="U207">
        <f>INDIRECT(ADDRESS(207,20))+INDIRECT(ADDRESS(205,21))-INDIRECT(ADDRESS(206,21))</f>
        <v>0</v>
      </c>
      <c r="V207">
        <f>INDIRECT(ADDRESS(207,21))+INDIRECT(ADDRESS(205,22))-INDIRECT(ADDRESS(206,22))</f>
        <v>0</v>
      </c>
      <c r="W207">
        <f>INDIRECT(ADDRESS(207,22))+INDIRECT(ADDRESS(205,23))-INDIRECT(ADDRESS(206,23))</f>
        <v>0</v>
      </c>
      <c r="X207">
        <f>INDIRECT(ADDRESS(207,23))+INDIRECT(ADDRESS(205,24))-INDIRECT(ADDRESS(206,24))</f>
        <v>0</v>
      </c>
      <c r="Y207">
        <f>INDIRECT(ADDRESS(207,24))+INDIRECT(ADDRESS(205,25))-INDIRECT(ADDRESS(206,25))</f>
        <v>0</v>
      </c>
      <c r="Z207">
        <f>INDIRECT(ADDRESS(207,25))+INDIRECT(ADDRESS(205,26))-INDIRECT(ADDRESS(206,26))</f>
        <v>0</v>
      </c>
      <c r="AA207">
        <f>INDIRECT(ADDRESS(207,26))+INDIRECT(ADDRESS(205,27))-INDIRECT(ADDRESS(206,27))</f>
        <v>0</v>
      </c>
      <c r="AB207">
        <f>INDIRECT(ADDRESS(207,27))+INDIRECT(ADDRESS(205,28))-INDIRECT(ADDRESS(206,28))</f>
        <v>0</v>
      </c>
      <c r="AC207">
        <f>INDIRECT(ADDRESS(207,28))+INDIRECT(ADDRESS(205,29))-INDIRECT(ADDRESS(206,29))</f>
        <v>0</v>
      </c>
      <c r="AD207">
        <f>INDIRECT(ADDRESS(207,29))+INDIRECT(ADDRESS(205,30))-INDIRECT(ADDRESS(206,30))</f>
        <v>0</v>
      </c>
      <c r="AE207">
        <f>INDIRECT(ADDRESS(207,30))+INDIRECT(ADDRESS(205,31))-INDIRECT(ADDRESS(206,31))</f>
        <v>0</v>
      </c>
      <c r="AF207">
        <f>INDIRECT(ADDRESS(207,31))+INDIRECT(ADDRESS(205,32))-INDIRECT(ADDRESS(206,32))</f>
        <v>0</v>
      </c>
      <c r="AG207">
        <f>INDIRECT(ADDRESS(207,32))+INDIRECT(ADDRESS(205,33))-INDIRECT(ADDRESS(206,33))</f>
        <v>0</v>
      </c>
      <c r="AH207">
        <f>INDIRECT(ADDRESS(207,33))+INDIRECT(ADDRESS(205,34))-INDIRECT(ADDRESS(206,34))</f>
        <v>0</v>
      </c>
      <c r="AI207">
        <f>INDIRECT(ADDRESS(207,34))+INDIRECT(ADDRESS(205,35))-INDIRECT(ADDRESS(206,35))</f>
        <v>0</v>
      </c>
      <c r="AJ207">
        <f>INDIRECT(ADDRESS(207,35))+INDIRECT(ADDRESS(205,36))-INDIRECT(ADDRESS(206,36))</f>
        <v>0</v>
      </c>
      <c r="AK207">
        <f>INDIRECT(ADDRESS(207,36))+INDIRECT(ADDRESS(205,37))-INDIRECT(ADDRESS(206,37))</f>
        <v>0</v>
      </c>
      <c r="AL207">
        <f>INDIRECT(ADDRESS(207,37))+INDIRECT(ADDRESS(205,38))-INDIRECT(ADDRESS(206,38))</f>
        <v>0</v>
      </c>
      <c r="AM207">
        <f>INDIRECT(ADDRESS(207,38))+INDIRECT(ADDRESS(205,39))-INDIRECT(ADDRESS(206,39))</f>
        <v>0</v>
      </c>
      <c r="AN207">
        <f>INDIRECT(ADDRESS(207,39))+INDIRECT(ADDRESS(205,40))-INDIRECT(ADDRESS(206,40))</f>
        <v>0</v>
      </c>
      <c r="AO207">
        <f>SUM(INDIRECT(ADDRESS(206,8)):INDIRECT(ADDRESS(206,39)))</f>
        <v>0</v>
      </c>
    </row>
    <row r="208" spans="1:41">
      <c r="A208" t="s">
        <v>238</v>
      </c>
      <c r="B208" t="s">
        <v>259</v>
      </c>
      <c r="C208" t="s">
        <v>260</v>
      </c>
      <c r="E208">
        <v>1</v>
      </c>
      <c r="F208" t="s">
        <v>11</v>
      </c>
      <c r="I208" t="s">
        <v>177</v>
      </c>
    </row>
    <row r="209" spans="1:41">
      <c r="I209" t="s">
        <v>178</v>
      </c>
      <c r="J209">
        <f>IFERROR(VLOOKUP("927-004856-300",B:AB,1+8,0),0)</f>
        <v>0</v>
      </c>
      <c r="K209">
        <f>IFERROR(VLOOKUP("927-004856-300",B:AB,2+8,0),0)</f>
        <v>0</v>
      </c>
      <c r="L209">
        <f>IFERROR(VLOOKUP("927-004856-300",B:AB,3+8,0),0)</f>
        <v>0</v>
      </c>
      <c r="M209">
        <f>IFERROR(VLOOKUP("927-004856-300",B:AB,4+8,0),0)</f>
        <v>0</v>
      </c>
      <c r="N209">
        <f>IFERROR(VLOOKUP("927-004856-300",B:AB,5+8,0),0)</f>
        <v>0</v>
      </c>
      <c r="O209">
        <f>IFERROR(VLOOKUP("927-004856-300",B:AB,6+8,0),0)</f>
        <v>0</v>
      </c>
      <c r="P209">
        <f>IFERROR(VLOOKUP("927-004856-300",B:AB,7+8,0),0)</f>
        <v>0</v>
      </c>
      <c r="Q209">
        <f>IFERROR(VLOOKUP("927-004856-300",B:AB,8+8,0),0)</f>
        <v>0</v>
      </c>
      <c r="R209">
        <f>IFERROR(VLOOKUP("927-004856-300",B:AB,9+8,0),0)</f>
        <v>0</v>
      </c>
      <c r="S209">
        <f>IFERROR(VLOOKUP("927-004856-300",B:AB,10+8,0),0)</f>
        <v>0</v>
      </c>
      <c r="T209">
        <f>IFERROR(VLOOKUP("927-004856-300",B:AB,11+8,0),0)</f>
        <v>0</v>
      </c>
      <c r="U209">
        <f>IFERROR(VLOOKUP("927-004856-300",B:AB,12+8,0),0)</f>
        <v>0</v>
      </c>
      <c r="V209">
        <f>IFERROR(VLOOKUP("927-004856-300",B:AB,13+8,0),0)</f>
        <v>0</v>
      </c>
      <c r="W209">
        <f>IFERROR(VLOOKUP("927-004856-300",B:AB,14+8,0),0)</f>
        <v>0</v>
      </c>
      <c r="X209">
        <f>IFERROR(VLOOKUP("927-004856-300",B:AB,15+8,0),0)</f>
        <v>0</v>
      </c>
      <c r="Y209">
        <f>IFERROR(VLOOKUP("927-004856-300",B:AB,16+8,0),0)</f>
        <v>0</v>
      </c>
      <c r="Z209">
        <f>IFERROR(VLOOKUP("927-004856-300",B:AB,17+8,0),0)</f>
        <v>0</v>
      </c>
      <c r="AA209">
        <f>IFERROR(VLOOKUP("927-004856-300",B:AB,18+8,0),0)</f>
        <v>0</v>
      </c>
      <c r="AB209">
        <f>IFERROR(VLOOKUP("927-004856-300",B:AB,19+8,0),0)</f>
        <v>0</v>
      </c>
      <c r="AC209">
        <f>IFERROR(VLOOKUP("927-004856-300",B:AB,20+8,0),0)</f>
        <v>0</v>
      </c>
      <c r="AD209">
        <f>IFERROR(VLOOKUP("927-004856-300",B:AB,21+8,0),0)</f>
        <v>0</v>
      </c>
      <c r="AE209">
        <f>IFERROR(VLOOKUP("927-004856-300",B:AB,22+8,0),0)</f>
        <v>0</v>
      </c>
      <c r="AF209">
        <f>IFERROR(VLOOKUP("927-004856-300",B:AB,23+8,0),0)</f>
        <v>0</v>
      </c>
      <c r="AG209">
        <f>IFERROR(VLOOKUP("927-004856-300",B:AB,24+8,0),0)</f>
        <v>0</v>
      </c>
      <c r="AH209">
        <f>IFERROR(VLOOKUP("927-004856-300",B:AB,25+8,0),0)</f>
        <v>0</v>
      </c>
      <c r="AI209">
        <f>IFERROR(VLOOKUP("927-004856-300",B:AB,26+8,0),0)</f>
        <v>0</v>
      </c>
      <c r="AJ209">
        <f>IFERROR(VLOOKUP("927-004856-300",B:AB,27+8,0),0)</f>
        <v>0</v>
      </c>
      <c r="AK209">
        <f>IFERROR(VLOOKUP("927-004856-300",B:AB,28+8,0),0)</f>
        <v>0</v>
      </c>
      <c r="AL209">
        <f>IFERROR(VLOOKUP("927-004856-300",B:AB,29+8,0),0)</f>
        <v>0</v>
      </c>
      <c r="AM209">
        <f>IFERROR(VLOOKUP("927-004856-300",B:AB,30+8,0),0)</f>
        <v>0</v>
      </c>
      <c r="AN209">
        <f>IFERROR(VLOOKUP("927-004856-300",B:AB,31+8,0),0)</f>
        <v>0</v>
      </c>
      <c r="AO209">
        <f>SUN(INDIRECT(ADDRESS(208,8)):INDIRECT(ADDRESS(208,39)))</f>
        <v>0</v>
      </c>
    </row>
    <row r="210" spans="1:41">
      <c r="H210" t="s">
        <v>179</v>
      </c>
      <c r="J210">
        <f>INDIRECT(ADDRESS(210,9))+INDIRECT(ADDRESS(208,10))-INDIRECT(ADDRESS(209,10))</f>
        <v>0</v>
      </c>
      <c r="K210">
        <f>INDIRECT(ADDRESS(210,10))+INDIRECT(ADDRESS(208,11))-INDIRECT(ADDRESS(209,11))</f>
        <v>0</v>
      </c>
      <c r="L210">
        <f>INDIRECT(ADDRESS(210,11))+INDIRECT(ADDRESS(208,12))-INDIRECT(ADDRESS(209,12))</f>
        <v>0</v>
      </c>
      <c r="M210">
        <f>INDIRECT(ADDRESS(210,12))+INDIRECT(ADDRESS(208,13))-INDIRECT(ADDRESS(209,13))</f>
        <v>0</v>
      </c>
      <c r="N210">
        <f>INDIRECT(ADDRESS(210,13))+INDIRECT(ADDRESS(208,14))-INDIRECT(ADDRESS(209,14))</f>
        <v>0</v>
      </c>
      <c r="O210">
        <f>INDIRECT(ADDRESS(210,14))+INDIRECT(ADDRESS(208,15))-INDIRECT(ADDRESS(209,15))</f>
        <v>0</v>
      </c>
      <c r="P210">
        <f>INDIRECT(ADDRESS(210,15))+INDIRECT(ADDRESS(208,16))-INDIRECT(ADDRESS(209,16))</f>
        <v>0</v>
      </c>
      <c r="Q210">
        <f>INDIRECT(ADDRESS(210,16))+INDIRECT(ADDRESS(208,17))-INDIRECT(ADDRESS(209,17))</f>
        <v>0</v>
      </c>
      <c r="R210">
        <f>INDIRECT(ADDRESS(210,17))+INDIRECT(ADDRESS(208,18))-INDIRECT(ADDRESS(209,18))</f>
        <v>0</v>
      </c>
      <c r="S210">
        <f>INDIRECT(ADDRESS(210,18))+INDIRECT(ADDRESS(208,19))-INDIRECT(ADDRESS(209,19))</f>
        <v>0</v>
      </c>
      <c r="T210">
        <f>INDIRECT(ADDRESS(210,19))+INDIRECT(ADDRESS(208,20))-INDIRECT(ADDRESS(209,20))</f>
        <v>0</v>
      </c>
      <c r="U210">
        <f>INDIRECT(ADDRESS(210,20))+INDIRECT(ADDRESS(208,21))-INDIRECT(ADDRESS(209,21))</f>
        <v>0</v>
      </c>
      <c r="V210">
        <f>INDIRECT(ADDRESS(210,21))+INDIRECT(ADDRESS(208,22))-INDIRECT(ADDRESS(209,22))</f>
        <v>0</v>
      </c>
      <c r="W210">
        <f>INDIRECT(ADDRESS(210,22))+INDIRECT(ADDRESS(208,23))-INDIRECT(ADDRESS(209,23))</f>
        <v>0</v>
      </c>
      <c r="X210">
        <f>INDIRECT(ADDRESS(210,23))+INDIRECT(ADDRESS(208,24))-INDIRECT(ADDRESS(209,24))</f>
        <v>0</v>
      </c>
      <c r="Y210">
        <f>INDIRECT(ADDRESS(210,24))+INDIRECT(ADDRESS(208,25))-INDIRECT(ADDRESS(209,25))</f>
        <v>0</v>
      </c>
      <c r="Z210">
        <f>INDIRECT(ADDRESS(210,25))+INDIRECT(ADDRESS(208,26))-INDIRECT(ADDRESS(209,26))</f>
        <v>0</v>
      </c>
      <c r="AA210">
        <f>INDIRECT(ADDRESS(210,26))+INDIRECT(ADDRESS(208,27))-INDIRECT(ADDRESS(209,27))</f>
        <v>0</v>
      </c>
      <c r="AB210">
        <f>INDIRECT(ADDRESS(210,27))+INDIRECT(ADDRESS(208,28))-INDIRECT(ADDRESS(209,28))</f>
        <v>0</v>
      </c>
      <c r="AC210">
        <f>INDIRECT(ADDRESS(210,28))+INDIRECT(ADDRESS(208,29))-INDIRECT(ADDRESS(209,29))</f>
        <v>0</v>
      </c>
      <c r="AD210">
        <f>INDIRECT(ADDRESS(210,29))+INDIRECT(ADDRESS(208,30))-INDIRECT(ADDRESS(209,30))</f>
        <v>0</v>
      </c>
      <c r="AE210">
        <f>INDIRECT(ADDRESS(210,30))+INDIRECT(ADDRESS(208,31))-INDIRECT(ADDRESS(209,31))</f>
        <v>0</v>
      </c>
      <c r="AF210">
        <f>INDIRECT(ADDRESS(210,31))+INDIRECT(ADDRESS(208,32))-INDIRECT(ADDRESS(209,32))</f>
        <v>0</v>
      </c>
      <c r="AG210">
        <f>INDIRECT(ADDRESS(210,32))+INDIRECT(ADDRESS(208,33))-INDIRECT(ADDRESS(209,33))</f>
        <v>0</v>
      </c>
      <c r="AH210">
        <f>INDIRECT(ADDRESS(210,33))+INDIRECT(ADDRESS(208,34))-INDIRECT(ADDRESS(209,34))</f>
        <v>0</v>
      </c>
      <c r="AI210">
        <f>INDIRECT(ADDRESS(210,34))+INDIRECT(ADDRESS(208,35))-INDIRECT(ADDRESS(209,35))</f>
        <v>0</v>
      </c>
      <c r="AJ210">
        <f>INDIRECT(ADDRESS(210,35))+INDIRECT(ADDRESS(208,36))-INDIRECT(ADDRESS(209,36))</f>
        <v>0</v>
      </c>
      <c r="AK210">
        <f>INDIRECT(ADDRESS(210,36))+INDIRECT(ADDRESS(208,37))-INDIRECT(ADDRESS(209,37))</f>
        <v>0</v>
      </c>
      <c r="AL210">
        <f>INDIRECT(ADDRESS(210,37))+INDIRECT(ADDRESS(208,38))-INDIRECT(ADDRESS(209,38))</f>
        <v>0</v>
      </c>
      <c r="AM210">
        <f>INDIRECT(ADDRESS(210,38))+INDIRECT(ADDRESS(208,39))-INDIRECT(ADDRESS(209,39))</f>
        <v>0</v>
      </c>
      <c r="AN210">
        <f>INDIRECT(ADDRESS(210,39))+INDIRECT(ADDRESS(208,40))-INDIRECT(ADDRESS(209,40))</f>
        <v>0</v>
      </c>
      <c r="AO210">
        <f>SUM(INDIRECT(ADDRESS(209,8)):INDIRECT(ADDRESS(209,39)))</f>
        <v>0</v>
      </c>
    </row>
    <row r="211" spans="1:41">
      <c r="A211" t="s">
        <v>206</v>
      </c>
      <c r="B211" t="s">
        <v>270</v>
      </c>
      <c r="C211" t="s">
        <v>271</v>
      </c>
      <c r="E211">
        <v>0.1</v>
      </c>
      <c r="F211" t="s">
        <v>11</v>
      </c>
      <c r="I211" t="s">
        <v>177</v>
      </c>
    </row>
    <row r="212" spans="1:41">
      <c r="I212" t="s">
        <v>178</v>
      </c>
      <c r="J212">
        <f>IFERROR(VLOOKUP("927-004856-300",B:AB,1+8,0),0)</f>
        <v>0</v>
      </c>
      <c r="K212">
        <f>IFERROR(VLOOKUP("927-004856-300",B:AB,2+8,0),0)</f>
        <v>0</v>
      </c>
      <c r="L212">
        <f>IFERROR(VLOOKUP("927-004856-300",B:AB,3+8,0),0)</f>
        <v>0</v>
      </c>
      <c r="M212">
        <f>IFERROR(VLOOKUP("927-004856-300",B:AB,4+8,0),0)</f>
        <v>0</v>
      </c>
      <c r="N212">
        <f>IFERROR(VLOOKUP("927-004856-300",B:AB,5+8,0),0)</f>
        <v>0</v>
      </c>
      <c r="O212">
        <f>IFERROR(VLOOKUP("927-004856-300",B:AB,6+8,0),0)</f>
        <v>0</v>
      </c>
      <c r="P212">
        <f>IFERROR(VLOOKUP("927-004856-300",B:AB,7+8,0),0)</f>
        <v>0</v>
      </c>
      <c r="Q212">
        <f>IFERROR(VLOOKUP("927-004856-300",B:AB,8+8,0),0)</f>
        <v>0</v>
      </c>
      <c r="R212">
        <f>IFERROR(VLOOKUP("927-004856-300",B:AB,9+8,0),0)</f>
        <v>0</v>
      </c>
      <c r="S212">
        <f>IFERROR(VLOOKUP("927-004856-300",B:AB,10+8,0),0)</f>
        <v>0</v>
      </c>
      <c r="T212">
        <f>IFERROR(VLOOKUP("927-004856-300",B:AB,11+8,0),0)</f>
        <v>0</v>
      </c>
      <c r="U212">
        <f>IFERROR(VLOOKUP("927-004856-300",B:AB,12+8,0),0)</f>
        <v>0</v>
      </c>
      <c r="V212">
        <f>IFERROR(VLOOKUP("927-004856-300",B:AB,13+8,0),0)</f>
        <v>0</v>
      </c>
      <c r="W212">
        <f>IFERROR(VLOOKUP("927-004856-300",B:AB,14+8,0),0)</f>
        <v>0</v>
      </c>
      <c r="X212">
        <f>IFERROR(VLOOKUP("927-004856-300",B:AB,15+8,0),0)</f>
        <v>0</v>
      </c>
      <c r="Y212">
        <f>IFERROR(VLOOKUP("927-004856-300",B:AB,16+8,0),0)</f>
        <v>0</v>
      </c>
      <c r="Z212">
        <f>IFERROR(VLOOKUP("927-004856-300",B:AB,17+8,0),0)</f>
        <v>0</v>
      </c>
      <c r="AA212">
        <f>IFERROR(VLOOKUP("927-004856-300",B:AB,18+8,0),0)</f>
        <v>0</v>
      </c>
      <c r="AB212">
        <f>IFERROR(VLOOKUP("927-004856-300",B:AB,19+8,0),0)</f>
        <v>0</v>
      </c>
      <c r="AC212">
        <f>IFERROR(VLOOKUP("927-004856-300",B:AB,20+8,0),0)</f>
        <v>0</v>
      </c>
      <c r="AD212">
        <f>IFERROR(VLOOKUP("927-004856-300",B:AB,21+8,0),0)</f>
        <v>0</v>
      </c>
      <c r="AE212">
        <f>IFERROR(VLOOKUP("927-004856-300",B:AB,22+8,0),0)</f>
        <v>0</v>
      </c>
      <c r="AF212">
        <f>IFERROR(VLOOKUP("927-004856-300",B:AB,23+8,0),0)</f>
        <v>0</v>
      </c>
      <c r="AG212">
        <f>IFERROR(VLOOKUP("927-004856-300",B:AB,24+8,0),0)</f>
        <v>0</v>
      </c>
      <c r="AH212">
        <f>IFERROR(VLOOKUP("927-004856-300",B:AB,25+8,0),0)</f>
        <v>0</v>
      </c>
      <c r="AI212">
        <f>IFERROR(VLOOKUP("927-004856-300",B:AB,26+8,0),0)</f>
        <v>0</v>
      </c>
      <c r="AJ212">
        <f>IFERROR(VLOOKUP("927-004856-300",B:AB,27+8,0),0)</f>
        <v>0</v>
      </c>
      <c r="AK212">
        <f>IFERROR(VLOOKUP("927-004856-300",B:AB,28+8,0),0)</f>
        <v>0</v>
      </c>
      <c r="AL212">
        <f>IFERROR(VLOOKUP("927-004856-300",B:AB,29+8,0),0)</f>
        <v>0</v>
      </c>
      <c r="AM212">
        <f>IFERROR(VLOOKUP("927-004856-300",B:AB,30+8,0),0)</f>
        <v>0</v>
      </c>
      <c r="AN212">
        <f>IFERROR(VLOOKUP("927-004856-300",B:AB,31+8,0),0)</f>
        <v>0</v>
      </c>
      <c r="AO212">
        <f>SUN(INDIRECT(ADDRESS(211,8)):INDIRECT(ADDRESS(211,39)))</f>
        <v>0</v>
      </c>
    </row>
    <row r="213" spans="1:41">
      <c r="H213" t="s">
        <v>179</v>
      </c>
      <c r="J213">
        <f>INDIRECT(ADDRESS(213,9))+INDIRECT(ADDRESS(211,10))-INDIRECT(ADDRESS(212,10))</f>
        <v>0</v>
      </c>
      <c r="K213">
        <f>INDIRECT(ADDRESS(213,10))+INDIRECT(ADDRESS(211,11))-INDIRECT(ADDRESS(212,11))</f>
        <v>0</v>
      </c>
      <c r="L213">
        <f>INDIRECT(ADDRESS(213,11))+INDIRECT(ADDRESS(211,12))-INDIRECT(ADDRESS(212,12))</f>
        <v>0</v>
      </c>
      <c r="M213">
        <f>INDIRECT(ADDRESS(213,12))+INDIRECT(ADDRESS(211,13))-INDIRECT(ADDRESS(212,13))</f>
        <v>0</v>
      </c>
      <c r="N213">
        <f>INDIRECT(ADDRESS(213,13))+INDIRECT(ADDRESS(211,14))-INDIRECT(ADDRESS(212,14))</f>
        <v>0</v>
      </c>
      <c r="O213">
        <f>INDIRECT(ADDRESS(213,14))+INDIRECT(ADDRESS(211,15))-INDIRECT(ADDRESS(212,15))</f>
        <v>0</v>
      </c>
      <c r="P213">
        <f>INDIRECT(ADDRESS(213,15))+INDIRECT(ADDRESS(211,16))-INDIRECT(ADDRESS(212,16))</f>
        <v>0</v>
      </c>
      <c r="Q213">
        <f>INDIRECT(ADDRESS(213,16))+INDIRECT(ADDRESS(211,17))-INDIRECT(ADDRESS(212,17))</f>
        <v>0</v>
      </c>
      <c r="R213">
        <f>INDIRECT(ADDRESS(213,17))+INDIRECT(ADDRESS(211,18))-INDIRECT(ADDRESS(212,18))</f>
        <v>0</v>
      </c>
      <c r="S213">
        <f>INDIRECT(ADDRESS(213,18))+INDIRECT(ADDRESS(211,19))-INDIRECT(ADDRESS(212,19))</f>
        <v>0</v>
      </c>
      <c r="T213">
        <f>INDIRECT(ADDRESS(213,19))+INDIRECT(ADDRESS(211,20))-INDIRECT(ADDRESS(212,20))</f>
        <v>0</v>
      </c>
      <c r="U213">
        <f>INDIRECT(ADDRESS(213,20))+INDIRECT(ADDRESS(211,21))-INDIRECT(ADDRESS(212,21))</f>
        <v>0</v>
      </c>
      <c r="V213">
        <f>INDIRECT(ADDRESS(213,21))+INDIRECT(ADDRESS(211,22))-INDIRECT(ADDRESS(212,22))</f>
        <v>0</v>
      </c>
      <c r="W213">
        <f>INDIRECT(ADDRESS(213,22))+INDIRECT(ADDRESS(211,23))-INDIRECT(ADDRESS(212,23))</f>
        <v>0</v>
      </c>
      <c r="X213">
        <f>INDIRECT(ADDRESS(213,23))+INDIRECT(ADDRESS(211,24))-INDIRECT(ADDRESS(212,24))</f>
        <v>0</v>
      </c>
      <c r="Y213">
        <f>INDIRECT(ADDRESS(213,24))+INDIRECT(ADDRESS(211,25))-INDIRECT(ADDRESS(212,25))</f>
        <v>0</v>
      </c>
      <c r="Z213">
        <f>INDIRECT(ADDRESS(213,25))+INDIRECT(ADDRESS(211,26))-INDIRECT(ADDRESS(212,26))</f>
        <v>0</v>
      </c>
      <c r="AA213">
        <f>INDIRECT(ADDRESS(213,26))+INDIRECT(ADDRESS(211,27))-INDIRECT(ADDRESS(212,27))</f>
        <v>0</v>
      </c>
      <c r="AB213">
        <f>INDIRECT(ADDRESS(213,27))+INDIRECT(ADDRESS(211,28))-INDIRECT(ADDRESS(212,28))</f>
        <v>0</v>
      </c>
      <c r="AC213">
        <f>INDIRECT(ADDRESS(213,28))+INDIRECT(ADDRESS(211,29))-INDIRECT(ADDRESS(212,29))</f>
        <v>0</v>
      </c>
      <c r="AD213">
        <f>INDIRECT(ADDRESS(213,29))+INDIRECT(ADDRESS(211,30))-INDIRECT(ADDRESS(212,30))</f>
        <v>0</v>
      </c>
      <c r="AE213">
        <f>INDIRECT(ADDRESS(213,30))+INDIRECT(ADDRESS(211,31))-INDIRECT(ADDRESS(212,31))</f>
        <v>0</v>
      </c>
      <c r="AF213">
        <f>INDIRECT(ADDRESS(213,31))+INDIRECT(ADDRESS(211,32))-INDIRECT(ADDRESS(212,32))</f>
        <v>0</v>
      </c>
      <c r="AG213">
        <f>INDIRECT(ADDRESS(213,32))+INDIRECT(ADDRESS(211,33))-INDIRECT(ADDRESS(212,33))</f>
        <v>0</v>
      </c>
      <c r="AH213">
        <f>INDIRECT(ADDRESS(213,33))+INDIRECT(ADDRESS(211,34))-INDIRECT(ADDRESS(212,34))</f>
        <v>0</v>
      </c>
      <c r="AI213">
        <f>INDIRECT(ADDRESS(213,34))+INDIRECT(ADDRESS(211,35))-INDIRECT(ADDRESS(212,35))</f>
        <v>0</v>
      </c>
      <c r="AJ213">
        <f>INDIRECT(ADDRESS(213,35))+INDIRECT(ADDRESS(211,36))-INDIRECT(ADDRESS(212,36))</f>
        <v>0</v>
      </c>
      <c r="AK213">
        <f>INDIRECT(ADDRESS(213,36))+INDIRECT(ADDRESS(211,37))-INDIRECT(ADDRESS(212,37))</f>
        <v>0</v>
      </c>
      <c r="AL213">
        <f>INDIRECT(ADDRESS(213,37))+INDIRECT(ADDRESS(211,38))-INDIRECT(ADDRESS(212,38))</f>
        <v>0</v>
      </c>
      <c r="AM213">
        <f>INDIRECT(ADDRESS(213,38))+INDIRECT(ADDRESS(211,39))-INDIRECT(ADDRESS(212,39))</f>
        <v>0</v>
      </c>
      <c r="AN213">
        <f>INDIRECT(ADDRESS(213,39))+INDIRECT(ADDRESS(211,40))-INDIRECT(ADDRESS(212,40))</f>
        <v>0</v>
      </c>
      <c r="AO213">
        <f>SUM(INDIRECT(ADDRESS(212,8)):INDIRECT(ADDRESS(212,39)))</f>
        <v>0</v>
      </c>
    </row>
    <row r="214" spans="1:41">
      <c r="A214" t="s">
        <v>8</v>
      </c>
      <c r="B214" t="s">
        <v>23</v>
      </c>
      <c r="C214" t="s">
        <v>24</v>
      </c>
      <c r="E214">
        <v>1</v>
      </c>
      <c r="F214" t="s">
        <v>11</v>
      </c>
      <c r="I214" t="s">
        <v>177</v>
      </c>
    </row>
    <row r="215" spans="1:41">
      <c r="I215" t="s">
        <v>178</v>
      </c>
      <c r="J215">
        <f>IFERROR(VLOOKUP("927-007000-600",Out!B:AB,1+8,0),0)</f>
        <v>0</v>
      </c>
      <c r="K215">
        <f>IFERROR(VLOOKUP("927-007000-600",Out!B:AB,2+8,0),0)</f>
        <v>0</v>
      </c>
      <c r="L215">
        <f>IFERROR(VLOOKUP("927-007000-600",Out!B:AB,3+8,0),0)</f>
        <v>0</v>
      </c>
      <c r="M215">
        <f>IFERROR(VLOOKUP("927-007000-600",Out!B:AB,4+8,0),0)</f>
        <v>0</v>
      </c>
      <c r="N215">
        <f>IFERROR(VLOOKUP("927-007000-600",Out!B:AB,5+8,0),0)</f>
        <v>0</v>
      </c>
      <c r="O215">
        <f>IFERROR(VLOOKUP("927-007000-600",Out!B:AB,6+8,0),0)</f>
        <v>0</v>
      </c>
      <c r="P215">
        <f>IFERROR(VLOOKUP("927-007000-600",Out!B:AB,7+8,0),0)</f>
        <v>0</v>
      </c>
      <c r="Q215">
        <f>IFERROR(VLOOKUP("927-007000-600",Out!B:AB,8+8,0),0)</f>
        <v>0</v>
      </c>
      <c r="R215">
        <f>IFERROR(VLOOKUP("927-007000-600",Out!B:AB,9+8,0),0)</f>
        <v>0</v>
      </c>
      <c r="S215">
        <f>IFERROR(VLOOKUP("927-007000-600",Out!B:AB,10+8,0),0)</f>
        <v>0</v>
      </c>
      <c r="T215">
        <f>IFERROR(VLOOKUP("927-007000-600",Out!B:AB,11+8,0),0)</f>
        <v>0</v>
      </c>
      <c r="U215">
        <f>IFERROR(VLOOKUP("927-007000-600",Out!B:AB,12+8,0),0)</f>
        <v>0</v>
      </c>
      <c r="V215">
        <f>IFERROR(VLOOKUP("927-007000-600",Out!B:AB,13+8,0),0)</f>
        <v>0</v>
      </c>
      <c r="W215">
        <f>IFERROR(VLOOKUP("927-007000-600",Out!B:AB,14+8,0),0)</f>
        <v>0</v>
      </c>
      <c r="X215">
        <f>IFERROR(VLOOKUP("927-007000-600",Out!B:AB,15+8,0),0)</f>
        <v>0</v>
      </c>
      <c r="Y215">
        <f>IFERROR(VLOOKUP("927-007000-600",Out!B:AB,16+8,0),0)</f>
        <v>0</v>
      </c>
      <c r="Z215">
        <f>IFERROR(VLOOKUP("927-007000-600",Out!B:AB,17+8,0),0)</f>
        <v>0</v>
      </c>
      <c r="AA215">
        <f>IFERROR(VLOOKUP("927-007000-600",Out!B:AB,18+8,0),0)</f>
        <v>0</v>
      </c>
      <c r="AB215">
        <f>IFERROR(VLOOKUP("927-007000-600",Out!B:AB,19+8,0),0)</f>
        <v>0</v>
      </c>
      <c r="AC215">
        <f>IFERROR(VLOOKUP("927-007000-600",Out!B:AB,20+8,0),0)</f>
        <v>0</v>
      </c>
      <c r="AD215">
        <f>IFERROR(VLOOKUP("927-007000-600",Out!B:AB,21+8,0),0)</f>
        <v>0</v>
      </c>
      <c r="AE215">
        <f>IFERROR(VLOOKUP("927-007000-600",Out!B:AB,22+8,0),0)</f>
        <v>0</v>
      </c>
      <c r="AF215">
        <f>IFERROR(VLOOKUP("927-007000-600",Out!B:AB,23+8,0),0)</f>
        <v>0</v>
      </c>
      <c r="AG215">
        <f>IFERROR(VLOOKUP("927-007000-600",Out!B:AB,24+8,0),0)</f>
        <v>0</v>
      </c>
      <c r="AH215">
        <f>IFERROR(VLOOKUP("927-007000-600",Out!B:AB,25+8,0),0)</f>
        <v>0</v>
      </c>
      <c r="AI215">
        <f>IFERROR(VLOOKUP("927-007000-600",Out!B:AB,26+8,0),0)</f>
        <v>0</v>
      </c>
      <c r="AJ215">
        <f>IFERROR(VLOOKUP("927-007000-600",Out!B:AB,27+8,0),0)</f>
        <v>0</v>
      </c>
      <c r="AK215">
        <f>IFERROR(VLOOKUP("927-007000-600",Out!B:AB,28+8,0),0)</f>
        <v>0</v>
      </c>
      <c r="AL215">
        <f>IFERROR(VLOOKUP("927-007000-600",Out!B:AB,29+8,0),0)</f>
        <v>0</v>
      </c>
      <c r="AM215">
        <f>IFERROR(VLOOKUP("927-007000-600",Out!B:AB,30+8,0),0)</f>
        <v>0</v>
      </c>
      <c r="AN215">
        <f>IFERROR(VLOOKUP("927-007000-600",Out!B:AB,31+8,0),0)</f>
        <v>0</v>
      </c>
      <c r="AO215">
        <f>SUN(INDIRECT(ADDRESS(214,8)):INDIRECT(ADDRESS(214,39)))</f>
        <v>0</v>
      </c>
    </row>
    <row r="216" spans="1:41">
      <c r="H216" t="s">
        <v>179</v>
      </c>
      <c r="J216">
        <f>INDIRECT(ADDRESS(216,9))+INDIRECT(ADDRESS(214,10))-INDIRECT(ADDRESS(215,10))</f>
        <v>0</v>
      </c>
      <c r="K216">
        <f>INDIRECT(ADDRESS(216,10))+INDIRECT(ADDRESS(214,11))-INDIRECT(ADDRESS(215,11))</f>
        <v>0</v>
      </c>
      <c r="L216">
        <f>INDIRECT(ADDRESS(216,11))+INDIRECT(ADDRESS(214,12))-INDIRECT(ADDRESS(215,12))</f>
        <v>0</v>
      </c>
      <c r="M216">
        <f>INDIRECT(ADDRESS(216,12))+INDIRECT(ADDRESS(214,13))-INDIRECT(ADDRESS(215,13))</f>
        <v>0</v>
      </c>
      <c r="N216">
        <f>INDIRECT(ADDRESS(216,13))+INDIRECT(ADDRESS(214,14))-INDIRECT(ADDRESS(215,14))</f>
        <v>0</v>
      </c>
      <c r="O216">
        <f>INDIRECT(ADDRESS(216,14))+INDIRECT(ADDRESS(214,15))-INDIRECT(ADDRESS(215,15))</f>
        <v>0</v>
      </c>
      <c r="P216">
        <f>INDIRECT(ADDRESS(216,15))+INDIRECT(ADDRESS(214,16))-INDIRECT(ADDRESS(215,16))</f>
        <v>0</v>
      </c>
      <c r="Q216">
        <f>INDIRECT(ADDRESS(216,16))+INDIRECT(ADDRESS(214,17))-INDIRECT(ADDRESS(215,17))</f>
        <v>0</v>
      </c>
      <c r="R216">
        <f>INDIRECT(ADDRESS(216,17))+INDIRECT(ADDRESS(214,18))-INDIRECT(ADDRESS(215,18))</f>
        <v>0</v>
      </c>
      <c r="S216">
        <f>INDIRECT(ADDRESS(216,18))+INDIRECT(ADDRESS(214,19))-INDIRECT(ADDRESS(215,19))</f>
        <v>0</v>
      </c>
      <c r="T216">
        <f>INDIRECT(ADDRESS(216,19))+INDIRECT(ADDRESS(214,20))-INDIRECT(ADDRESS(215,20))</f>
        <v>0</v>
      </c>
      <c r="U216">
        <f>INDIRECT(ADDRESS(216,20))+INDIRECT(ADDRESS(214,21))-INDIRECT(ADDRESS(215,21))</f>
        <v>0</v>
      </c>
      <c r="V216">
        <f>INDIRECT(ADDRESS(216,21))+INDIRECT(ADDRESS(214,22))-INDIRECT(ADDRESS(215,22))</f>
        <v>0</v>
      </c>
      <c r="W216">
        <f>INDIRECT(ADDRESS(216,22))+INDIRECT(ADDRESS(214,23))-INDIRECT(ADDRESS(215,23))</f>
        <v>0</v>
      </c>
      <c r="X216">
        <f>INDIRECT(ADDRESS(216,23))+INDIRECT(ADDRESS(214,24))-INDIRECT(ADDRESS(215,24))</f>
        <v>0</v>
      </c>
      <c r="Y216">
        <f>INDIRECT(ADDRESS(216,24))+INDIRECT(ADDRESS(214,25))-INDIRECT(ADDRESS(215,25))</f>
        <v>0</v>
      </c>
      <c r="Z216">
        <f>INDIRECT(ADDRESS(216,25))+INDIRECT(ADDRESS(214,26))-INDIRECT(ADDRESS(215,26))</f>
        <v>0</v>
      </c>
      <c r="AA216">
        <f>INDIRECT(ADDRESS(216,26))+INDIRECT(ADDRESS(214,27))-INDIRECT(ADDRESS(215,27))</f>
        <v>0</v>
      </c>
      <c r="AB216">
        <f>INDIRECT(ADDRESS(216,27))+INDIRECT(ADDRESS(214,28))-INDIRECT(ADDRESS(215,28))</f>
        <v>0</v>
      </c>
      <c r="AC216">
        <f>INDIRECT(ADDRESS(216,28))+INDIRECT(ADDRESS(214,29))-INDIRECT(ADDRESS(215,29))</f>
        <v>0</v>
      </c>
      <c r="AD216">
        <f>INDIRECT(ADDRESS(216,29))+INDIRECT(ADDRESS(214,30))-INDIRECT(ADDRESS(215,30))</f>
        <v>0</v>
      </c>
      <c r="AE216">
        <f>INDIRECT(ADDRESS(216,30))+INDIRECT(ADDRESS(214,31))-INDIRECT(ADDRESS(215,31))</f>
        <v>0</v>
      </c>
      <c r="AF216">
        <f>INDIRECT(ADDRESS(216,31))+INDIRECT(ADDRESS(214,32))-INDIRECT(ADDRESS(215,32))</f>
        <v>0</v>
      </c>
      <c r="AG216">
        <f>INDIRECT(ADDRESS(216,32))+INDIRECT(ADDRESS(214,33))-INDIRECT(ADDRESS(215,33))</f>
        <v>0</v>
      </c>
      <c r="AH216">
        <f>INDIRECT(ADDRESS(216,33))+INDIRECT(ADDRESS(214,34))-INDIRECT(ADDRESS(215,34))</f>
        <v>0</v>
      </c>
      <c r="AI216">
        <f>INDIRECT(ADDRESS(216,34))+INDIRECT(ADDRESS(214,35))-INDIRECT(ADDRESS(215,35))</f>
        <v>0</v>
      </c>
      <c r="AJ216">
        <f>INDIRECT(ADDRESS(216,35))+INDIRECT(ADDRESS(214,36))-INDIRECT(ADDRESS(215,36))</f>
        <v>0</v>
      </c>
      <c r="AK216">
        <f>INDIRECT(ADDRESS(216,36))+INDIRECT(ADDRESS(214,37))-INDIRECT(ADDRESS(215,37))</f>
        <v>0</v>
      </c>
      <c r="AL216">
        <f>INDIRECT(ADDRESS(216,37))+INDIRECT(ADDRESS(214,38))-INDIRECT(ADDRESS(215,38))</f>
        <v>0</v>
      </c>
      <c r="AM216">
        <f>INDIRECT(ADDRESS(216,38))+INDIRECT(ADDRESS(214,39))-INDIRECT(ADDRESS(215,39))</f>
        <v>0</v>
      </c>
      <c r="AN216">
        <f>INDIRECT(ADDRESS(216,39))+INDIRECT(ADDRESS(214,40))-INDIRECT(ADDRESS(215,40))</f>
        <v>0</v>
      </c>
      <c r="AO216">
        <f>SUM(INDIRECT(ADDRESS(215,8)):INDIRECT(ADDRESS(215,39)))</f>
        <v>0</v>
      </c>
    </row>
    <row r="217" spans="1:41">
      <c r="A217" t="s">
        <v>180</v>
      </c>
      <c r="B217" t="s">
        <v>272</v>
      </c>
      <c r="C217" t="s">
        <v>273</v>
      </c>
      <c r="E217">
        <v>1</v>
      </c>
      <c r="F217" t="s">
        <v>11</v>
      </c>
      <c r="I217" t="s">
        <v>177</v>
      </c>
    </row>
    <row r="218" spans="1:41">
      <c r="I218" t="s">
        <v>178</v>
      </c>
      <c r="J218">
        <f>IFERROR(VLOOKUP("927-007000-600",B:AB,1+8,0),0)</f>
        <v>0</v>
      </c>
      <c r="K218">
        <f>IFERROR(VLOOKUP("927-007000-600",B:AB,2+8,0),0)</f>
        <v>0</v>
      </c>
      <c r="L218">
        <f>IFERROR(VLOOKUP("927-007000-600",B:AB,3+8,0),0)</f>
        <v>0</v>
      </c>
      <c r="M218">
        <f>IFERROR(VLOOKUP("927-007000-600",B:AB,4+8,0),0)</f>
        <v>0</v>
      </c>
      <c r="N218">
        <f>IFERROR(VLOOKUP("927-007000-600",B:AB,5+8,0),0)</f>
        <v>0</v>
      </c>
      <c r="O218">
        <f>IFERROR(VLOOKUP("927-007000-600",B:AB,6+8,0),0)</f>
        <v>0</v>
      </c>
      <c r="P218">
        <f>IFERROR(VLOOKUP("927-007000-600",B:AB,7+8,0),0)</f>
        <v>0</v>
      </c>
      <c r="Q218">
        <f>IFERROR(VLOOKUP("927-007000-600",B:AB,8+8,0),0)</f>
        <v>0</v>
      </c>
      <c r="R218">
        <f>IFERROR(VLOOKUP("927-007000-600",B:AB,9+8,0),0)</f>
        <v>0</v>
      </c>
      <c r="S218">
        <f>IFERROR(VLOOKUP("927-007000-600",B:AB,10+8,0),0)</f>
        <v>0</v>
      </c>
      <c r="T218">
        <f>IFERROR(VLOOKUP("927-007000-600",B:AB,11+8,0),0)</f>
        <v>0</v>
      </c>
      <c r="U218">
        <f>IFERROR(VLOOKUP("927-007000-600",B:AB,12+8,0),0)</f>
        <v>0</v>
      </c>
      <c r="V218">
        <f>IFERROR(VLOOKUP("927-007000-600",B:AB,13+8,0),0)</f>
        <v>0</v>
      </c>
      <c r="W218">
        <f>IFERROR(VLOOKUP("927-007000-600",B:AB,14+8,0),0)</f>
        <v>0</v>
      </c>
      <c r="X218">
        <f>IFERROR(VLOOKUP("927-007000-600",B:AB,15+8,0),0)</f>
        <v>0</v>
      </c>
      <c r="Y218">
        <f>IFERROR(VLOOKUP("927-007000-600",B:AB,16+8,0),0)</f>
        <v>0</v>
      </c>
      <c r="Z218">
        <f>IFERROR(VLOOKUP("927-007000-600",B:AB,17+8,0),0)</f>
        <v>0</v>
      </c>
      <c r="AA218">
        <f>IFERROR(VLOOKUP("927-007000-600",B:AB,18+8,0),0)</f>
        <v>0</v>
      </c>
      <c r="AB218">
        <f>IFERROR(VLOOKUP("927-007000-600",B:AB,19+8,0),0)</f>
        <v>0</v>
      </c>
      <c r="AC218">
        <f>IFERROR(VLOOKUP("927-007000-600",B:AB,20+8,0),0)</f>
        <v>0</v>
      </c>
      <c r="AD218">
        <f>IFERROR(VLOOKUP("927-007000-600",B:AB,21+8,0),0)</f>
        <v>0</v>
      </c>
      <c r="AE218">
        <f>IFERROR(VLOOKUP("927-007000-600",B:AB,22+8,0),0)</f>
        <v>0</v>
      </c>
      <c r="AF218">
        <f>IFERROR(VLOOKUP("927-007000-600",B:AB,23+8,0),0)</f>
        <v>0</v>
      </c>
      <c r="AG218">
        <f>IFERROR(VLOOKUP("927-007000-600",B:AB,24+8,0),0)</f>
        <v>0</v>
      </c>
      <c r="AH218">
        <f>IFERROR(VLOOKUP("927-007000-600",B:AB,25+8,0),0)</f>
        <v>0</v>
      </c>
      <c r="AI218">
        <f>IFERROR(VLOOKUP("927-007000-600",B:AB,26+8,0),0)</f>
        <v>0</v>
      </c>
      <c r="AJ218">
        <f>IFERROR(VLOOKUP("927-007000-600",B:AB,27+8,0),0)</f>
        <v>0</v>
      </c>
      <c r="AK218">
        <f>IFERROR(VLOOKUP("927-007000-600",B:AB,28+8,0),0)</f>
        <v>0</v>
      </c>
      <c r="AL218">
        <f>IFERROR(VLOOKUP("927-007000-600",B:AB,29+8,0),0)</f>
        <v>0</v>
      </c>
      <c r="AM218">
        <f>IFERROR(VLOOKUP("927-007000-600",B:AB,30+8,0),0)</f>
        <v>0</v>
      </c>
      <c r="AN218">
        <f>IFERROR(VLOOKUP("927-007000-600",B:AB,31+8,0),0)</f>
        <v>0</v>
      </c>
      <c r="AO218">
        <f>SUN(INDIRECT(ADDRESS(217,8)):INDIRECT(ADDRESS(217,39)))</f>
        <v>0</v>
      </c>
    </row>
    <row r="219" spans="1:41">
      <c r="H219" t="s">
        <v>179</v>
      </c>
      <c r="J219">
        <f>INDIRECT(ADDRESS(219,9))+INDIRECT(ADDRESS(217,10))-INDIRECT(ADDRESS(218,10))</f>
        <v>0</v>
      </c>
      <c r="K219">
        <f>INDIRECT(ADDRESS(219,10))+INDIRECT(ADDRESS(217,11))-INDIRECT(ADDRESS(218,11))</f>
        <v>0</v>
      </c>
      <c r="L219">
        <f>INDIRECT(ADDRESS(219,11))+INDIRECT(ADDRESS(217,12))-INDIRECT(ADDRESS(218,12))</f>
        <v>0</v>
      </c>
      <c r="M219">
        <f>INDIRECT(ADDRESS(219,12))+INDIRECT(ADDRESS(217,13))-INDIRECT(ADDRESS(218,13))</f>
        <v>0</v>
      </c>
      <c r="N219">
        <f>INDIRECT(ADDRESS(219,13))+INDIRECT(ADDRESS(217,14))-INDIRECT(ADDRESS(218,14))</f>
        <v>0</v>
      </c>
      <c r="O219">
        <f>INDIRECT(ADDRESS(219,14))+INDIRECT(ADDRESS(217,15))-INDIRECT(ADDRESS(218,15))</f>
        <v>0</v>
      </c>
      <c r="P219">
        <f>INDIRECT(ADDRESS(219,15))+INDIRECT(ADDRESS(217,16))-INDIRECT(ADDRESS(218,16))</f>
        <v>0</v>
      </c>
      <c r="Q219">
        <f>INDIRECT(ADDRESS(219,16))+INDIRECT(ADDRESS(217,17))-INDIRECT(ADDRESS(218,17))</f>
        <v>0</v>
      </c>
      <c r="R219">
        <f>INDIRECT(ADDRESS(219,17))+INDIRECT(ADDRESS(217,18))-INDIRECT(ADDRESS(218,18))</f>
        <v>0</v>
      </c>
      <c r="S219">
        <f>INDIRECT(ADDRESS(219,18))+INDIRECT(ADDRESS(217,19))-INDIRECT(ADDRESS(218,19))</f>
        <v>0</v>
      </c>
      <c r="T219">
        <f>INDIRECT(ADDRESS(219,19))+INDIRECT(ADDRESS(217,20))-INDIRECT(ADDRESS(218,20))</f>
        <v>0</v>
      </c>
      <c r="U219">
        <f>INDIRECT(ADDRESS(219,20))+INDIRECT(ADDRESS(217,21))-INDIRECT(ADDRESS(218,21))</f>
        <v>0</v>
      </c>
      <c r="V219">
        <f>INDIRECT(ADDRESS(219,21))+INDIRECT(ADDRESS(217,22))-INDIRECT(ADDRESS(218,22))</f>
        <v>0</v>
      </c>
      <c r="W219">
        <f>INDIRECT(ADDRESS(219,22))+INDIRECT(ADDRESS(217,23))-INDIRECT(ADDRESS(218,23))</f>
        <v>0</v>
      </c>
      <c r="X219">
        <f>INDIRECT(ADDRESS(219,23))+INDIRECT(ADDRESS(217,24))-INDIRECT(ADDRESS(218,24))</f>
        <v>0</v>
      </c>
      <c r="Y219">
        <f>INDIRECT(ADDRESS(219,24))+INDIRECT(ADDRESS(217,25))-INDIRECT(ADDRESS(218,25))</f>
        <v>0</v>
      </c>
      <c r="Z219">
        <f>INDIRECT(ADDRESS(219,25))+INDIRECT(ADDRESS(217,26))-INDIRECT(ADDRESS(218,26))</f>
        <v>0</v>
      </c>
      <c r="AA219">
        <f>INDIRECT(ADDRESS(219,26))+INDIRECT(ADDRESS(217,27))-INDIRECT(ADDRESS(218,27))</f>
        <v>0</v>
      </c>
      <c r="AB219">
        <f>INDIRECT(ADDRESS(219,27))+INDIRECT(ADDRESS(217,28))-INDIRECT(ADDRESS(218,28))</f>
        <v>0</v>
      </c>
      <c r="AC219">
        <f>INDIRECT(ADDRESS(219,28))+INDIRECT(ADDRESS(217,29))-INDIRECT(ADDRESS(218,29))</f>
        <v>0</v>
      </c>
      <c r="AD219">
        <f>INDIRECT(ADDRESS(219,29))+INDIRECT(ADDRESS(217,30))-INDIRECT(ADDRESS(218,30))</f>
        <v>0</v>
      </c>
      <c r="AE219">
        <f>INDIRECT(ADDRESS(219,30))+INDIRECT(ADDRESS(217,31))-INDIRECT(ADDRESS(218,31))</f>
        <v>0</v>
      </c>
      <c r="AF219">
        <f>INDIRECT(ADDRESS(219,31))+INDIRECT(ADDRESS(217,32))-INDIRECT(ADDRESS(218,32))</f>
        <v>0</v>
      </c>
      <c r="AG219">
        <f>INDIRECT(ADDRESS(219,32))+INDIRECT(ADDRESS(217,33))-INDIRECT(ADDRESS(218,33))</f>
        <v>0</v>
      </c>
      <c r="AH219">
        <f>INDIRECT(ADDRESS(219,33))+INDIRECT(ADDRESS(217,34))-INDIRECT(ADDRESS(218,34))</f>
        <v>0</v>
      </c>
      <c r="AI219">
        <f>INDIRECT(ADDRESS(219,34))+INDIRECT(ADDRESS(217,35))-INDIRECT(ADDRESS(218,35))</f>
        <v>0</v>
      </c>
      <c r="AJ219">
        <f>INDIRECT(ADDRESS(219,35))+INDIRECT(ADDRESS(217,36))-INDIRECT(ADDRESS(218,36))</f>
        <v>0</v>
      </c>
      <c r="AK219">
        <f>INDIRECT(ADDRESS(219,36))+INDIRECT(ADDRESS(217,37))-INDIRECT(ADDRESS(218,37))</f>
        <v>0</v>
      </c>
      <c r="AL219">
        <f>INDIRECT(ADDRESS(219,37))+INDIRECT(ADDRESS(217,38))-INDIRECT(ADDRESS(218,38))</f>
        <v>0</v>
      </c>
      <c r="AM219">
        <f>INDIRECT(ADDRESS(219,38))+INDIRECT(ADDRESS(217,39))-INDIRECT(ADDRESS(218,39))</f>
        <v>0</v>
      </c>
      <c r="AN219">
        <f>INDIRECT(ADDRESS(219,39))+INDIRECT(ADDRESS(217,40))-INDIRECT(ADDRESS(218,40))</f>
        <v>0</v>
      </c>
      <c r="AO219">
        <f>SUM(INDIRECT(ADDRESS(218,8)):INDIRECT(ADDRESS(218,39)))</f>
        <v>0</v>
      </c>
    </row>
    <row r="220" spans="1:41">
      <c r="A220" t="s">
        <v>180</v>
      </c>
      <c r="B220" t="s">
        <v>274</v>
      </c>
      <c r="C220" t="s">
        <v>275</v>
      </c>
      <c r="E220">
        <v>1</v>
      </c>
      <c r="F220" t="s">
        <v>11</v>
      </c>
      <c r="I220" t="s">
        <v>177</v>
      </c>
    </row>
    <row r="221" spans="1:41">
      <c r="I221" t="s">
        <v>178</v>
      </c>
      <c r="J221">
        <f>IFERROR(VLOOKUP("927-007000-600",B:AB,1+8,0),0)</f>
        <v>0</v>
      </c>
      <c r="K221">
        <f>IFERROR(VLOOKUP("927-007000-600",B:AB,2+8,0),0)</f>
        <v>0</v>
      </c>
      <c r="L221">
        <f>IFERROR(VLOOKUP("927-007000-600",B:AB,3+8,0),0)</f>
        <v>0</v>
      </c>
      <c r="M221">
        <f>IFERROR(VLOOKUP("927-007000-600",B:AB,4+8,0),0)</f>
        <v>0</v>
      </c>
      <c r="N221">
        <f>IFERROR(VLOOKUP("927-007000-600",B:AB,5+8,0),0)</f>
        <v>0</v>
      </c>
      <c r="O221">
        <f>IFERROR(VLOOKUP("927-007000-600",B:AB,6+8,0),0)</f>
        <v>0</v>
      </c>
      <c r="P221">
        <f>IFERROR(VLOOKUP("927-007000-600",B:AB,7+8,0),0)</f>
        <v>0</v>
      </c>
      <c r="Q221">
        <f>IFERROR(VLOOKUP("927-007000-600",B:AB,8+8,0),0)</f>
        <v>0</v>
      </c>
      <c r="R221">
        <f>IFERROR(VLOOKUP("927-007000-600",B:AB,9+8,0),0)</f>
        <v>0</v>
      </c>
      <c r="S221">
        <f>IFERROR(VLOOKUP("927-007000-600",B:AB,10+8,0),0)</f>
        <v>0</v>
      </c>
      <c r="T221">
        <f>IFERROR(VLOOKUP("927-007000-600",B:AB,11+8,0),0)</f>
        <v>0</v>
      </c>
      <c r="U221">
        <f>IFERROR(VLOOKUP("927-007000-600",B:AB,12+8,0),0)</f>
        <v>0</v>
      </c>
      <c r="V221">
        <f>IFERROR(VLOOKUP("927-007000-600",B:AB,13+8,0),0)</f>
        <v>0</v>
      </c>
      <c r="W221">
        <f>IFERROR(VLOOKUP("927-007000-600",B:AB,14+8,0),0)</f>
        <v>0</v>
      </c>
      <c r="X221">
        <f>IFERROR(VLOOKUP("927-007000-600",B:AB,15+8,0),0)</f>
        <v>0</v>
      </c>
      <c r="Y221">
        <f>IFERROR(VLOOKUP("927-007000-600",B:AB,16+8,0),0)</f>
        <v>0</v>
      </c>
      <c r="Z221">
        <f>IFERROR(VLOOKUP("927-007000-600",B:AB,17+8,0),0)</f>
        <v>0</v>
      </c>
      <c r="AA221">
        <f>IFERROR(VLOOKUP("927-007000-600",B:AB,18+8,0),0)</f>
        <v>0</v>
      </c>
      <c r="AB221">
        <f>IFERROR(VLOOKUP("927-007000-600",B:AB,19+8,0),0)</f>
        <v>0</v>
      </c>
      <c r="AC221">
        <f>IFERROR(VLOOKUP("927-007000-600",B:AB,20+8,0),0)</f>
        <v>0</v>
      </c>
      <c r="AD221">
        <f>IFERROR(VLOOKUP("927-007000-600",B:AB,21+8,0),0)</f>
        <v>0</v>
      </c>
      <c r="AE221">
        <f>IFERROR(VLOOKUP("927-007000-600",B:AB,22+8,0),0)</f>
        <v>0</v>
      </c>
      <c r="AF221">
        <f>IFERROR(VLOOKUP("927-007000-600",B:AB,23+8,0),0)</f>
        <v>0</v>
      </c>
      <c r="AG221">
        <f>IFERROR(VLOOKUP("927-007000-600",B:AB,24+8,0),0)</f>
        <v>0</v>
      </c>
      <c r="AH221">
        <f>IFERROR(VLOOKUP("927-007000-600",B:AB,25+8,0),0)</f>
        <v>0</v>
      </c>
      <c r="AI221">
        <f>IFERROR(VLOOKUP("927-007000-600",B:AB,26+8,0),0)</f>
        <v>0</v>
      </c>
      <c r="AJ221">
        <f>IFERROR(VLOOKUP("927-007000-600",B:AB,27+8,0),0)</f>
        <v>0</v>
      </c>
      <c r="AK221">
        <f>IFERROR(VLOOKUP("927-007000-600",B:AB,28+8,0),0)</f>
        <v>0</v>
      </c>
      <c r="AL221">
        <f>IFERROR(VLOOKUP("927-007000-600",B:AB,29+8,0),0)</f>
        <v>0</v>
      </c>
      <c r="AM221">
        <f>IFERROR(VLOOKUP("927-007000-600",B:AB,30+8,0),0)</f>
        <v>0</v>
      </c>
      <c r="AN221">
        <f>IFERROR(VLOOKUP("927-007000-600",B:AB,31+8,0),0)</f>
        <v>0</v>
      </c>
      <c r="AO221">
        <f>SUN(INDIRECT(ADDRESS(220,8)):INDIRECT(ADDRESS(220,39)))</f>
        <v>0</v>
      </c>
    </row>
    <row r="222" spans="1:41">
      <c r="H222" t="s">
        <v>179</v>
      </c>
      <c r="J222">
        <f>INDIRECT(ADDRESS(222,9))+INDIRECT(ADDRESS(220,10))-INDIRECT(ADDRESS(221,10))</f>
        <v>0</v>
      </c>
      <c r="K222">
        <f>INDIRECT(ADDRESS(222,10))+INDIRECT(ADDRESS(220,11))-INDIRECT(ADDRESS(221,11))</f>
        <v>0</v>
      </c>
      <c r="L222">
        <f>INDIRECT(ADDRESS(222,11))+INDIRECT(ADDRESS(220,12))-INDIRECT(ADDRESS(221,12))</f>
        <v>0</v>
      </c>
      <c r="M222">
        <f>INDIRECT(ADDRESS(222,12))+INDIRECT(ADDRESS(220,13))-INDIRECT(ADDRESS(221,13))</f>
        <v>0</v>
      </c>
      <c r="N222">
        <f>INDIRECT(ADDRESS(222,13))+INDIRECT(ADDRESS(220,14))-INDIRECT(ADDRESS(221,14))</f>
        <v>0</v>
      </c>
      <c r="O222">
        <f>INDIRECT(ADDRESS(222,14))+INDIRECT(ADDRESS(220,15))-INDIRECT(ADDRESS(221,15))</f>
        <v>0</v>
      </c>
      <c r="P222">
        <f>INDIRECT(ADDRESS(222,15))+INDIRECT(ADDRESS(220,16))-INDIRECT(ADDRESS(221,16))</f>
        <v>0</v>
      </c>
      <c r="Q222">
        <f>INDIRECT(ADDRESS(222,16))+INDIRECT(ADDRESS(220,17))-INDIRECT(ADDRESS(221,17))</f>
        <v>0</v>
      </c>
      <c r="R222">
        <f>INDIRECT(ADDRESS(222,17))+INDIRECT(ADDRESS(220,18))-INDIRECT(ADDRESS(221,18))</f>
        <v>0</v>
      </c>
      <c r="S222">
        <f>INDIRECT(ADDRESS(222,18))+INDIRECT(ADDRESS(220,19))-INDIRECT(ADDRESS(221,19))</f>
        <v>0</v>
      </c>
      <c r="T222">
        <f>INDIRECT(ADDRESS(222,19))+INDIRECT(ADDRESS(220,20))-INDIRECT(ADDRESS(221,20))</f>
        <v>0</v>
      </c>
      <c r="U222">
        <f>INDIRECT(ADDRESS(222,20))+INDIRECT(ADDRESS(220,21))-INDIRECT(ADDRESS(221,21))</f>
        <v>0</v>
      </c>
      <c r="V222">
        <f>INDIRECT(ADDRESS(222,21))+INDIRECT(ADDRESS(220,22))-INDIRECT(ADDRESS(221,22))</f>
        <v>0</v>
      </c>
      <c r="W222">
        <f>INDIRECT(ADDRESS(222,22))+INDIRECT(ADDRESS(220,23))-INDIRECT(ADDRESS(221,23))</f>
        <v>0</v>
      </c>
      <c r="X222">
        <f>INDIRECT(ADDRESS(222,23))+INDIRECT(ADDRESS(220,24))-INDIRECT(ADDRESS(221,24))</f>
        <v>0</v>
      </c>
      <c r="Y222">
        <f>INDIRECT(ADDRESS(222,24))+INDIRECT(ADDRESS(220,25))-INDIRECT(ADDRESS(221,25))</f>
        <v>0</v>
      </c>
      <c r="Z222">
        <f>INDIRECT(ADDRESS(222,25))+INDIRECT(ADDRESS(220,26))-INDIRECT(ADDRESS(221,26))</f>
        <v>0</v>
      </c>
      <c r="AA222">
        <f>INDIRECT(ADDRESS(222,26))+INDIRECT(ADDRESS(220,27))-INDIRECT(ADDRESS(221,27))</f>
        <v>0</v>
      </c>
      <c r="AB222">
        <f>INDIRECT(ADDRESS(222,27))+INDIRECT(ADDRESS(220,28))-INDIRECT(ADDRESS(221,28))</f>
        <v>0</v>
      </c>
      <c r="AC222">
        <f>INDIRECT(ADDRESS(222,28))+INDIRECT(ADDRESS(220,29))-INDIRECT(ADDRESS(221,29))</f>
        <v>0</v>
      </c>
      <c r="AD222">
        <f>INDIRECT(ADDRESS(222,29))+INDIRECT(ADDRESS(220,30))-INDIRECT(ADDRESS(221,30))</f>
        <v>0</v>
      </c>
      <c r="AE222">
        <f>INDIRECT(ADDRESS(222,30))+INDIRECT(ADDRESS(220,31))-INDIRECT(ADDRESS(221,31))</f>
        <v>0</v>
      </c>
      <c r="AF222">
        <f>INDIRECT(ADDRESS(222,31))+INDIRECT(ADDRESS(220,32))-INDIRECT(ADDRESS(221,32))</f>
        <v>0</v>
      </c>
      <c r="AG222">
        <f>INDIRECT(ADDRESS(222,32))+INDIRECT(ADDRESS(220,33))-INDIRECT(ADDRESS(221,33))</f>
        <v>0</v>
      </c>
      <c r="AH222">
        <f>INDIRECT(ADDRESS(222,33))+INDIRECT(ADDRESS(220,34))-INDIRECT(ADDRESS(221,34))</f>
        <v>0</v>
      </c>
      <c r="AI222">
        <f>INDIRECT(ADDRESS(222,34))+INDIRECT(ADDRESS(220,35))-INDIRECT(ADDRESS(221,35))</f>
        <v>0</v>
      </c>
      <c r="AJ222">
        <f>INDIRECT(ADDRESS(222,35))+INDIRECT(ADDRESS(220,36))-INDIRECT(ADDRESS(221,36))</f>
        <v>0</v>
      </c>
      <c r="AK222">
        <f>INDIRECT(ADDRESS(222,36))+INDIRECT(ADDRESS(220,37))-INDIRECT(ADDRESS(221,37))</f>
        <v>0</v>
      </c>
      <c r="AL222">
        <f>INDIRECT(ADDRESS(222,37))+INDIRECT(ADDRESS(220,38))-INDIRECT(ADDRESS(221,38))</f>
        <v>0</v>
      </c>
      <c r="AM222">
        <f>INDIRECT(ADDRESS(222,38))+INDIRECT(ADDRESS(220,39))-INDIRECT(ADDRESS(221,39))</f>
        <v>0</v>
      </c>
      <c r="AN222">
        <f>INDIRECT(ADDRESS(222,39))+INDIRECT(ADDRESS(220,40))-INDIRECT(ADDRESS(221,40))</f>
        <v>0</v>
      </c>
      <c r="AO222">
        <f>SUM(INDIRECT(ADDRESS(221,8)):INDIRECT(ADDRESS(221,39)))</f>
        <v>0</v>
      </c>
    </row>
    <row r="223" spans="1:41">
      <c r="A223" t="s">
        <v>180</v>
      </c>
      <c r="B223" t="s">
        <v>276</v>
      </c>
      <c r="C223" t="s">
        <v>277</v>
      </c>
      <c r="E223">
        <v>1</v>
      </c>
      <c r="F223" t="s">
        <v>11</v>
      </c>
      <c r="I223" t="s">
        <v>177</v>
      </c>
    </row>
    <row r="224" spans="1:41">
      <c r="I224" t="s">
        <v>178</v>
      </c>
      <c r="J224">
        <f>IFERROR(VLOOKUP("927-007000-600",B:AB,1+8,0),0)</f>
        <v>0</v>
      </c>
      <c r="K224">
        <f>IFERROR(VLOOKUP("927-007000-600",B:AB,2+8,0),0)</f>
        <v>0</v>
      </c>
      <c r="L224">
        <f>IFERROR(VLOOKUP("927-007000-600",B:AB,3+8,0),0)</f>
        <v>0</v>
      </c>
      <c r="M224">
        <f>IFERROR(VLOOKUP("927-007000-600",B:AB,4+8,0),0)</f>
        <v>0</v>
      </c>
      <c r="N224">
        <f>IFERROR(VLOOKUP("927-007000-600",B:AB,5+8,0),0)</f>
        <v>0</v>
      </c>
      <c r="O224">
        <f>IFERROR(VLOOKUP("927-007000-600",B:AB,6+8,0),0)</f>
        <v>0</v>
      </c>
      <c r="P224">
        <f>IFERROR(VLOOKUP("927-007000-600",B:AB,7+8,0),0)</f>
        <v>0</v>
      </c>
      <c r="Q224">
        <f>IFERROR(VLOOKUP("927-007000-600",B:AB,8+8,0),0)</f>
        <v>0</v>
      </c>
      <c r="R224">
        <f>IFERROR(VLOOKUP("927-007000-600",B:AB,9+8,0),0)</f>
        <v>0</v>
      </c>
      <c r="S224">
        <f>IFERROR(VLOOKUP("927-007000-600",B:AB,10+8,0),0)</f>
        <v>0</v>
      </c>
      <c r="T224">
        <f>IFERROR(VLOOKUP("927-007000-600",B:AB,11+8,0),0)</f>
        <v>0</v>
      </c>
      <c r="U224">
        <f>IFERROR(VLOOKUP("927-007000-600",B:AB,12+8,0),0)</f>
        <v>0</v>
      </c>
      <c r="V224">
        <f>IFERROR(VLOOKUP("927-007000-600",B:AB,13+8,0),0)</f>
        <v>0</v>
      </c>
      <c r="W224">
        <f>IFERROR(VLOOKUP("927-007000-600",B:AB,14+8,0),0)</f>
        <v>0</v>
      </c>
      <c r="X224">
        <f>IFERROR(VLOOKUP("927-007000-600",B:AB,15+8,0),0)</f>
        <v>0</v>
      </c>
      <c r="Y224">
        <f>IFERROR(VLOOKUP("927-007000-600",B:AB,16+8,0),0)</f>
        <v>0</v>
      </c>
      <c r="Z224">
        <f>IFERROR(VLOOKUP("927-007000-600",B:AB,17+8,0),0)</f>
        <v>0</v>
      </c>
      <c r="AA224">
        <f>IFERROR(VLOOKUP("927-007000-600",B:AB,18+8,0),0)</f>
        <v>0</v>
      </c>
      <c r="AB224">
        <f>IFERROR(VLOOKUP("927-007000-600",B:AB,19+8,0),0)</f>
        <v>0</v>
      </c>
      <c r="AC224">
        <f>IFERROR(VLOOKUP("927-007000-600",B:AB,20+8,0),0)</f>
        <v>0</v>
      </c>
      <c r="AD224">
        <f>IFERROR(VLOOKUP("927-007000-600",B:AB,21+8,0),0)</f>
        <v>0</v>
      </c>
      <c r="AE224">
        <f>IFERROR(VLOOKUP("927-007000-600",B:AB,22+8,0),0)</f>
        <v>0</v>
      </c>
      <c r="AF224">
        <f>IFERROR(VLOOKUP("927-007000-600",B:AB,23+8,0),0)</f>
        <v>0</v>
      </c>
      <c r="AG224">
        <f>IFERROR(VLOOKUP("927-007000-600",B:AB,24+8,0),0)</f>
        <v>0</v>
      </c>
      <c r="AH224">
        <f>IFERROR(VLOOKUP("927-007000-600",B:AB,25+8,0),0)</f>
        <v>0</v>
      </c>
      <c r="AI224">
        <f>IFERROR(VLOOKUP("927-007000-600",B:AB,26+8,0),0)</f>
        <v>0</v>
      </c>
      <c r="AJ224">
        <f>IFERROR(VLOOKUP("927-007000-600",B:AB,27+8,0),0)</f>
        <v>0</v>
      </c>
      <c r="AK224">
        <f>IFERROR(VLOOKUP("927-007000-600",B:AB,28+8,0),0)</f>
        <v>0</v>
      </c>
      <c r="AL224">
        <f>IFERROR(VLOOKUP("927-007000-600",B:AB,29+8,0),0)</f>
        <v>0</v>
      </c>
      <c r="AM224">
        <f>IFERROR(VLOOKUP("927-007000-600",B:AB,30+8,0),0)</f>
        <v>0</v>
      </c>
      <c r="AN224">
        <f>IFERROR(VLOOKUP("927-007000-600",B:AB,31+8,0),0)</f>
        <v>0</v>
      </c>
      <c r="AO224">
        <f>SUN(INDIRECT(ADDRESS(223,8)):INDIRECT(ADDRESS(223,39)))</f>
        <v>0</v>
      </c>
    </row>
    <row r="225" spans="1:41">
      <c r="H225" t="s">
        <v>179</v>
      </c>
      <c r="J225">
        <f>INDIRECT(ADDRESS(225,9))+INDIRECT(ADDRESS(223,10))-INDIRECT(ADDRESS(224,10))</f>
        <v>0</v>
      </c>
      <c r="K225">
        <f>INDIRECT(ADDRESS(225,10))+INDIRECT(ADDRESS(223,11))-INDIRECT(ADDRESS(224,11))</f>
        <v>0</v>
      </c>
      <c r="L225">
        <f>INDIRECT(ADDRESS(225,11))+INDIRECT(ADDRESS(223,12))-INDIRECT(ADDRESS(224,12))</f>
        <v>0</v>
      </c>
      <c r="M225">
        <f>INDIRECT(ADDRESS(225,12))+INDIRECT(ADDRESS(223,13))-INDIRECT(ADDRESS(224,13))</f>
        <v>0</v>
      </c>
      <c r="N225">
        <f>INDIRECT(ADDRESS(225,13))+INDIRECT(ADDRESS(223,14))-INDIRECT(ADDRESS(224,14))</f>
        <v>0</v>
      </c>
      <c r="O225">
        <f>INDIRECT(ADDRESS(225,14))+INDIRECT(ADDRESS(223,15))-INDIRECT(ADDRESS(224,15))</f>
        <v>0</v>
      </c>
      <c r="P225">
        <f>INDIRECT(ADDRESS(225,15))+INDIRECT(ADDRESS(223,16))-INDIRECT(ADDRESS(224,16))</f>
        <v>0</v>
      </c>
      <c r="Q225">
        <f>INDIRECT(ADDRESS(225,16))+INDIRECT(ADDRESS(223,17))-INDIRECT(ADDRESS(224,17))</f>
        <v>0</v>
      </c>
      <c r="R225">
        <f>INDIRECT(ADDRESS(225,17))+INDIRECT(ADDRESS(223,18))-INDIRECT(ADDRESS(224,18))</f>
        <v>0</v>
      </c>
      <c r="S225">
        <f>INDIRECT(ADDRESS(225,18))+INDIRECT(ADDRESS(223,19))-INDIRECT(ADDRESS(224,19))</f>
        <v>0</v>
      </c>
      <c r="T225">
        <f>INDIRECT(ADDRESS(225,19))+INDIRECT(ADDRESS(223,20))-INDIRECT(ADDRESS(224,20))</f>
        <v>0</v>
      </c>
      <c r="U225">
        <f>INDIRECT(ADDRESS(225,20))+INDIRECT(ADDRESS(223,21))-INDIRECT(ADDRESS(224,21))</f>
        <v>0</v>
      </c>
      <c r="V225">
        <f>INDIRECT(ADDRESS(225,21))+INDIRECT(ADDRESS(223,22))-INDIRECT(ADDRESS(224,22))</f>
        <v>0</v>
      </c>
      <c r="W225">
        <f>INDIRECT(ADDRESS(225,22))+INDIRECT(ADDRESS(223,23))-INDIRECT(ADDRESS(224,23))</f>
        <v>0</v>
      </c>
      <c r="X225">
        <f>INDIRECT(ADDRESS(225,23))+INDIRECT(ADDRESS(223,24))-INDIRECT(ADDRESS(224,24))</f>
        <v>0</v>
      </c>
      <c r="Y225">
        <f>INDIRECT(ADDRESS(225,24))+INDIRECT(ADDRESS(223,25))-INDIRECT(ADDRESS(224,25))</f>
        <v>0</v>
      </c>
      <c r="Z225">
        <f>INDIRECT(ADDRESS(225,25))+INDIRECT(ADDRESS(223,26))-INDIRECT(ADDRESS(224,26))</f>
        <v>0</v>
      </c>
      <c r="AA225">
        <f>INDIRECT(ADDRESS(225,26))+INDIRECT(ADDRESS(223,27))-INDIRECT(ADDRESS(224,27))</f>
        <v>0</v>
      </c>
      <c r="AB225">
        <f>INDIRECT(ADDRESS(225,27))+INDIRECT(ADDRESS(223,28))-INDIRECT(ADDRESS(224,28))</f>
        <v>0</v>
      </c>
      <c r="AC225">
        <f>INDIRECT(ADDRESS(225,28))+INDIRECT(ADDRESS(223,29))-INDIRECT(ADDRESS(224,29))</f>
        <v>0</v>
      </c>
      <c r="AD225">
        <f>INDIRECT(ADDRESS(225,29))+INDIRECT(ADDRESS(223,30))-INDIRECT(ADDRESS(224,30))</f>
        <v>0</v>
      </c>
      <c r="AE225">
        <f>INDIRECT(ADDRESS(225,30))+INDIRECT(ADDRESS(223,31))-INDIRECT(ADDRESS(224,31))</f>
        <v>0</v>
      </c>
      <c r="AF225">
        <f>INDIRECT(ADDRESS(225,31))+INDIRECT(ADDRESS(223,32))-INDIRECT(ADDRESS(224,32))</f>
        <v>0</v>
      </c>
      <c r="AG225">
        <f>INDIRECT(ADDRESS(225,32))+INDIRECT(ADDRESS(223,33))-INDIRECT(ADDRESS(224,33))</f>
        <v>0</v>
      </c>
      <c r="AH225">
        <f>INDIRECT(ADDRESS(225,33))+INDIRECT(ADDRESS(223,34))-INDIRECT(ADDRESS(224,34))</f>
        <v>0</v>
      </c>
      <c r="AI225">
        <f>INDIRECT(ADDRESS(225,34))+INDIRECT(ADDRESS(223,35))-INDIRECT(ADDRESS(224,35))</f>
        <v>0</v>
      </c>
      <c r="AJ225">
        <f>INDIRECT(ADDRESS(225,35))+INDIRECT(ADDRESS(223,36))-INDIRECT(ADDRESS(224,36))</f>
        <v>0</v>
      </c>
      <c r="AK225">
        <f>INDIRECT(ADDRESS(225,36))+INDIRECT(ADDRESS(223,37))-INDIRECT(ADDRESS(224,37))</f>
        <v>0</v>
      </c>
      <c r="AL225">
        <f>INDIRECT(ADDRESS(225,37))+INDIRECT(ADDRESS(223,38))-INDIRECT(ADDRESS(224,38))</f>
        <v>0</v>
      </c>
      <c r="AM225">
        <f>INDIRECT(ADDRESS(225,38))+INDIRECT(ADDRESS(223,39))-INDIRECT(ADDRESS(224,39))</f>
        <v>0</v>
      </c>
      <c r="AN225">
        <f>INDIRECT(ADDRESS(225,39))+INDIRECT(ADDRESS(223,40))-INDIRECT(ADDRESS(224,40))</f>
        <v>0</v>
      </c>
      <c r="AO225">
        <f>SUM(INDIRECT(ADDRESS(224,8)):INDIRECT(ADDRESS(224,39)))</f>
        <v>0</v>
      </c>
    </row>
    <row r="226" spans="1:41">
      <c r="A226" t="s">
        <v>180</v>
      </c>
      <c r="B226" t="s">
        <v>255</v>
      </c>
      <c r="C226" t="s">
        <v>267</v>
      </c>
      <c r="E226">
        <v>1</v>
      </c>
      <c r="F226" t="s">
        <v>11</v>
      </c>
      <c r="I226" t="s">
        <v>177</v>
      </c>
    </row>
    <row r="227" spans="1:41">
      <c r="I227" t="s">
        <v>178</v>
      </c>
      <c r="J227">
        <f>IFERROR(VLOOKUP("927-007000-600",B:AB,1+8,0),0)</f>
        <v>0</v>
      </c>
      <c r="K227">
        <f>IFERROR(VLOOKUP("927-007000-600",B:AB,2+8,0),0)</f>
        <v>0</v>
      </c>
      <c r="L227">
        <f>IFERROR(VLOOKUP("927-007000-600",B:AB,3+8,0),0)</f>
        <v>0</v>
      </c>
      <c r="M227">
        <f>IFERROR(VLOOKUP("927-007000-600",B:AB,4+8,0),0)</f>
        <v>0</v>
      </c>
      <c r="N227">
        <f>IFERROR(VLOOKUP("927-007000-600",B:AB,5+8,0),0)</f>
        <v>0</v>
      </c>
      <c r="O227">
        <f>IFERROR(VLOOKUP("927-007000-600",B:AB,6+8,0),0)</f>
        <v>0</v>
      </c>
      <c r="P227">
        <f>IFERROR(VLOOKUP("927-007000-600",B:AB,7+8,0),0)</f>
        <v>0</v>
      </c>
      <c r="Q227">
        <f>IFERROR(VLOOKUP("927-007000-600",B:AB,8+8,0),0)</f>
        <v>0</v>
      </c>
      <c r="R227">
        <f>IFERROR(VLOOKUP("927-007000-600",B:AB,9+8,0),0)</f>
        <v>0</v>
      </c>
      <c r="S227">
        <f>IFERROR(VLOOKUP("927-007000-600",B:AB,10+8,0),0)</f>
        <v>0</v>
      </c>
      <c r="T227">
        <f>IFERROR(VLOOKUP("927-007000-600",B:AB,11+8,0),0)</f>
        <v>0</v>
      </c>
      <c r="U227">
        <f>IFERROR(VLOOKUP("927-007000-600",B:AB,12+8,0),0)</f>
        <v>0</v>
      </c>
      <c r="V227">
        <f>IFERROR(VLOOKUP("927-007000-600",B:AB,13+8,0),0)</f>
        <v>0</v>
      </c>
      <c r="W227">
        <f>IFERROR(VLOOKUP("927-007000-600",B:AB,14+8,0),0)</f>
        <v>0</v>
      </c>
      <c r="X227">
        <f>IFERROR(VLOOKUP("927-007000-600",B:AB,15+8,0),0)</f>
        <v>0</v>
      </c>
      <c r="Y227">
        <f>IFERROR(VLOOKUP("927-007000-600",B:AB,16+8,0),0)</f>
        <v>0</v>
      </c>
      <c r="Z227">
        <f>IFERROR(VLOOKUP("927-007000-600",B:AB,17+8,0),0)</f>
        <v>0</v>
      </c>
      <c r="AA227">
        <f>IFERROR(VLOOKUP("927-007000-600",B:AB,18+8,0),0)</f>
        <v>0</v>
      </c>
      <c r="AB227">
        <f>IFERROR(VLOOKUP("927-007000-600",B:AB,19+8,0),0)</f>
        <v>0</v>
      </c>
      <c r="AC227">
        <f>IFERROR(VLOOKUP("927-007000-600",B:AB,20+8,0),0)</f>
        <v>0</v>
      </c>
      <c r="AD227">
        <f>IFERROR(VLOOKUP("927-007000-600",B:AB,21+8,0),0)</f>
        <v>0</v>
      </c>
      <c r="AE227">
        <f>IFERROR(VLOOKUP("927-007000-600",B:AB,22+8,0),0)</f>
        <v>0</v>
      </c>
      <c r="AF227">
        <f>IFERROR(VLOOKUP("927-007000-600",B:AB,23+8,0),0)</f>
        <v>0</v>
      </c>
      <c r="AG227">
        <f>IFERROR(VLOOKUP("927-007000-600",B:AB,24+8,0),0)</f>
        <v>0</v>
      </c>
      <c r="AH227">
        <f>IFERROR(VLOOKUP("927-007000-600",B:AB,25+8,0),0)</f>
        <v>0</v>
      </c>
      <c r="AI227">
        <f>IFERROR(VLOOKUP("927-007000-600",B:AB,26+8,0),0)</f>
        <v>0</v>
      </c>
      <c r="AJ227">
        <f>IFERROR(VLOOKUP("927-007000-600",B:AB,27+8,0),0)</f>
        <v>0</v>
      </c>
      <c r="AK227">
        <f>IFERROR(VLOOKUP("927-007000-600",B:AB,28+8,0),0)</f>
        <v>0</v>
      </c>
      <c r="AL227">
        <f>IFERROR(VLOOKUP("927-007000-600",B:AB,29+8,0),0)</f>
        <v>0</v>
      </c>
      <c r="AM227">
        <f>IFERROR(VLOOKUP("927-007000-600",B:AB,30+8,0),0)</f>
        <v>0</v>
      </c>
      <c r="AN227">
        <f>IFERROR(VLOOKUP("927-007000-600",B:AB,31+8,0),0)</f>
        <v>0</v>
      </c>
      <c r="AO227">
        <f>SUN(INDIRECT(ADDRESS(226,8)):INDIRECT(ADDRESS(226,39)))</f>
        <v>0</v>
      </c>
    </row>
    <row r="228" spans="1:41">
      <c r="H228" t="s">
        <v>179</v>
      </c>
      <c r="J228">
        <f>INDIRECT(ADDRESS(228,9))+INDIRECT(ADDRESS(226,10))-INDIRECT(ADDRESS(227,10))</f>
        <v>0</v>
      </c>
      <c r="K228">
        <f>INDIRECT(ADDRESS(228,10))+INDIRECT(ADDRESS(226,11))-INDIRECT(ADDRESS(227,11))</f>
        <v>0</v>
      </c>
      <c r="L228">
        <f>INDIRECT(ADDRESS(228,11))+INDIRECT(ADDRESS(226,12))-INDIRECT(ADDRESS(227,12))</f>
        <v>0</v>
      </c>
      <c r="M228">
        <f>INDIRECT(ADDRESS(228,12))+INDIRECT(ADDRESS(226,13))-INDIRECT(ADDRESS(227,13))</f>
        <v>0</v>
      </c>
      <c r="N228">
        <f>INDIRECT(ADDRESS(228,13))+INDIRECT(ADDRESS(226,14))-INDIRECT(ADDRESS(227,14))</f>
        <v>0</v>
      </c>
      <c r="O228">
        <f>INDIRECT(ADDRESS(228,14))+INDIRECT(ADDRESS(226,15))-INDIRECT(ADDRESS(227,15))</f>
        <v>0</v>
      </c>
      <c r="P228">
        <f>INDIRECT(ADDRESS(228,15))+INDIRECT(ADDRESS(226,16))-INDIRECT(ADDRESS(227,16))</f>
        <v>0</v>
      </c>
      <c r="Q228">
        <f>INDIRECT(ADDRESS(228,16))+INDIRECT(ADDRESS(226,17))-INDIRECT(ADDRESS(227,17))</f>
        <v>0</v>
      </c>
      <c r="R228">
        <f>INDIRECT(ADDRESS(228,17))+INDIRECT(ADDRESS(226,18))-INDIRECT(ADDRESS(227,18))</f>
        <v>0</v>
      </c>
      <c r="S228">
        <f>INDIRECT(ADDRESS(228,18))+INDIRECT(ADDRESS(226,19))-INDIRECT(ADDRESS(227,19))</f>
        <v>0</v>
      </c>
      <c r="T228">
        <f>INDIRECT(ADDRESS(228,19))+INDIRECT(ADDRESS(226,20))-INDIRECT(ADDRESS(227,20))</f>
        <v>0</v>
      </c>
      <c r="U228">
        <f>INDIRECT(ADDRESS(228,20))+INDIRECT(ADDRESS(226,21))-INDIRECT(ADDRESS(227,21))</f>
        <v>0</v>
      </c>
      <c r="V228">
        <f>INDIRECT(ADDRESS(228,21))+INDIRECT(ADDRESS(226,22))-INDIRECT(ADDRESS(227,22))</f>
        <v>0</v>
      </c>
      <c r="W228">
        <f>INDIRECT(ADDRESS(228,22))+INDIRECT(ADDRESS(226,23))-INDIRECT(ADDRESS(227,23))</f>
        <v>0</v>
      </c>
      <c r="X228">
        <f>INDIRECT(ADDRESS(228,23))+INDIRECT(ADDRESS(226,24))-INDIRECT(ADDRESS(227,24))</f>
        <v>0</v>
      </c>
      <c r="Y228">
        <f>INDIRECT(ADDRESS(228,24))+INDIRECT(ADDRESS(226,25))-INDIRECT(ADDRESS(227,25))</f>
        <v>0</v>
      </c>
      <c r="Z228">
        <f>INDIRECT(ADDRESS(228,25))+INDIRECT(ADDRESS(226,26))-INDIRECT(ADDRESS(227,26))</f>
        <v>0</v>
      </c>
      <c r="AA228">
        <f>INDIRECT(ADDRESS(228,26))+INDIRECT(ADDRESS(226,27))-INDIRECT(ADDRESS(227,27))</f>
        <v>0</v>
      </c>
      <c r="AB228">
        <f>INDIRECT(ADDRESS(228,27))+INDIRECT(ADDRESS(226,28))-INDIRECT(ADDRESS(227,28))</f>
        <v>0</v>
      </c>
      <c r="AC228">
        <f>INDIRECT(ADDRESS(228,28))+INDIRECT(ADDRESS(226,29))-INDIRECT(ADDRESS(227,29))</f>
        <v>0</v>
      </c>
      <c r="AD228">
        <f>INDIRECT(ADDRESS(228,29))+INDIRECT(ADDRESS(226,30))-INDIRECT(ADDRESS(227,30))</f>
        <v>0</v>
      </c>
      <c r="AE228">
        <f>INDIRECT(ADDRESS(228,30))+INDIRECT(ADDRESS(226,31))-INDIRECT(ADDRESS(227,31))</f>
        <v>0</v>
      </c>
      <c r="AF228">
        <f>INDIRECT(ADDRESS(228,31))+INDIRECT(ADDRESS(226,32))-INDIRECT(ADDRESS(227,32))</f>
        <v>0</v>
      </c>
      <c r="AG228">
        <f>INDIRECT(ADDRESS(228,32))+INDIRECT(ADDRESS(226,33))-INDIRECT(ADDRESS(227,33))</f>
        <v>0</v>
      </c>
      <c r="AH228">
        <f>INDIRECT(ADDRESS(228,33))+INDIRECT(ADDRESS(226,34))-INDIRECT(ADDRESS(227,34))</f>
        <v>0</v>
      </c>
      <c r="AI228">
        <f>INDIRECT(ADDRESS(228,34))+INDIRECT(ADDRESS(226,35))-INDIRECT(ADDRESS(227,35))</f>
        <v>0</v>
      </c>
      <c r="AJ228">
        <f>INDIRECT(ADDRESS(228,35))+INDIRECT(ADDRESS(226,36))-INDIRECT(ADDRESS(227,36))</f>
        <v>0</v>
      </c>
      <c r="AK228">
        <f>INDIRECT(ADDRESS(228,36))+INDIRECT(ADDRESS(226,37))-INDIRECT(ADDRESS(227,37))</f>
        <v>0</v>
      </c>
      <c r="AL228">
        <f>INDIRECT(ADDRESS(228,37))+INDIRECT(ADDRESS(226,38))-INDIRECT(ADDRESS(227,38))</f>
        <v>0</v>
      </c>
      <c r="AM228">
        <f>INDIRECT(ADDRESS(228,38))+INDIRECT(ADDRESS(226,39))-INDIRECT(ADDRESS(227,39))</f>
        <v>0</v>
      </c>
      <c r="AN228">
        <f>INDIRECT(ADDRESS(228,39))+INDIRECT(ADDRESS(226,40))-INDIRECT(ADDRESS(227,40))</f>
        <v>0</v>
      </c>
      <c r="AO228">
        <f>SUM(INDIRECT(ADDRESS(227,8)):INDIRECT(ADDRESS(227,39)))</f>
        <v>0</v>
      </c>
    </row>
    <row r="229" spans="1:41">
      <c r="A229" t="s">
        <v>185</v>
      </c>
      <c r="B229" t="s">
        <v>249</v>
      </c>
      <c r="C229" t="s">
        <v>268</v>
      </c>
      <c r="E229">
        <v>1</v>
      </c>
      <c r="F229" t="s">
        <v>11</v>
      </c>
      <c r="I229" t="s">
        <v>177</v>
      </c>
    </row>
    <row r="230" spans="1:41">
      <c r="I230" t="s">
        <v>178</v>
      </c>
      <c r="J230">
        <f>IFERROR(VLOOKUP("927-007000-600",B:AB,1+8,0),0)</f>
        <v>0</v>
      </c>
      <c r="K230">
        <f>IFERROR(VLOOKUP("927-007000-600",B:AB,2+8,0),0)</f>
        <v>0</v>
      </c>
      <c r="L230">
        <f>IFERROR(VLOOKUP("927-007000-600",B:AB,3+8,0),0)</f>
        <v>0</v>
      </c>
      <c r="M230">
        <f>IFERROR(VLOOKUP("927-007000-600",B:AB,4+8,0),0)</f>
        <v>0</v>
      </c>
      <c r="N230">
        <f>IFERROR(VLOOKUP("927-007000-600",B:AB,5+8,0),0)</f>
        <v>0</v>
      </c>
      <c r="O230">
        <f>IFERROR(VLOOKUP("927-007000-600",B:AB,6+8,0),0)</f>
        <v>0</v>
      </c>
      <c r="P230">
        <f>IFERROR(VLOOKUP("927-007000-600",B:AB,7+8,0),0)</f>
        <v>0</v>
      </c>
      <c r="Q230">
        <f>IFERROR(VLOOKUP("927-007000-600",B:AB,8+8,0),0)</f>
        <v>0</v>
      </c>
      <c r="R230">
        <f>IFERROR(VLOOKUP("927-007000-600",B:AB,9+8,0),0)</f>
        <v>0</v>
      </c>
      <c r="S230">
        <f>IFERROR(VLOOKUP("927-007000-600",B:AB,10+8,0),0)</f>
        <v>0</v>
      </c>
      <c r="T230">
        <f>IFERROR(VLOOKUP("927-007000-600",B:AB,11+8,0),0)</f>
        <v>0</v>
      </c>
      <c r="U230">
        <f>IFERROR(VLOOKUP("927-007000-600",B:AB,12+8,0),0)</f>
        <v>0</v>
      </c>
      <c r="V230">
        <f>IFERROR(VLOOKUP("927-007000-600",B:AB,13+8,0),0)</f>
        <v>0</v>
      </c>
      <c r="W230">
        <f>IFERROR(VLOOKUP("927-007000-600",B:AB,14+8,0),0)</f>
        <v>0</v>
      </c>
      <c r="X230">
        <f>IFERROR(VLOOKUP("927-007000-600",B:AB,15+8,0),0)</f>
        <v>0</v>
      </c>
      <c r="Y230">
        <f>IFERROR(VLOOKUP("927-007000-600",B:AB,16+8,0),0)</f>
        <v>0</v>
      </c>
      <c r="Z230">
        <f>IFERROR(VLOOKUP("927-007000-600",B:AB,17+8,0),0)</f>
        <v>0</v>
      </c>
      <c r="AA230">
        <f>IFERROR(VLOOKUP("927-007000-600",B:AB,18+8,0),0)</f>
        <v>0</v>
      </c>
      <c r="AB230">
        <f>IFERROR(VLOOKUP("927-007000-600",B:AB,19+8,0),0)</f>
        <v>0</v>
      </c>
      <c r="AC230">
        <f>IFERROR(VLOOKUP("927-007000-600",B:AB,20+8,0),0)</f>
        <v>0</v>
      </c>
      <c r="AD230">
        <f>IFERROR(VLOOKUP("927-007000-600",B:AB,21+8,0),0)</f>
        <v>0</v>
      </c>
      <c r="AE230">
        <f>IFERROR(VLOOKUP("927-007000-600",B:AB,22+8,0),0)</f>
        <v>0</v>
      </c>
      <c r="AF230">
        <f>IFERROR(VLOOKUP("927-007000-600",B:AB,23+8,0),0)</f>
        <v>0</v>
      </c>
      <c r="AG230">
        <f>IFERROR(VLOOKUP("927-007000-600",B:AB,24+8,0),0)</f>
        <v>0</v>
      </c>
      <c r="AH230">
        <f>IFERROR(VLOOKUP("927-007000-600",B:AB,25+8,0),0)</f>
        <v>0</v>
      </c>
      <c r="AI230">
        <f>IFERROR(VLOOKUP("927-007000-600",B:AB,26+8,0),0)</f>
        <v>0</v>
      </c>
      <c r="AJ230">
        <f>IFERROR(VLOOKUP("927-007000-600",B:AB,27+8,0),0)</f>
        <v>0</v>
      </c>
      <c r="AK230">
        <f>IFERROR(VLOOKUP("927-007000-600",B:AB,28+8,0),0)</f>
        <v>0</v>
      </c>
      <c r="AL230">
        <f>IFERROR(VLOOKUP("927-007000-600",B:AB,29+8,0),0)</f>
        <v>0</v>
      </c>
      <c r="AM230">
        <f>IFERROR(VLOOKUP("927-007000-600",B:AB,30+8,0),0)</f>
        <v>0</v>
      </c>
      <c r="AN230">
        <f>IFERROR(VLOOKUP("927-007000-600",B:AB,31+8,0),0)</f>
        <v>0</v>
      </c>
      <c r="AO230">
        <f>SUN(INDIRECT(ADDRESS(229,8)):INDIRECT(ADDRESS(229,39)))</f>
        <v>0</v>
      </c>
    </row>
    <row r="231" spans="1:41">
      <c r="H231" t="s">
        <v>179</v>
      </c>
      <c r="J231">
        <f>INDIRECT(ADDRESS(231,9))+INDIRECT(ADDRESS(229,10))-INDIRECT(ADDRESS(230,10))</f>
        <v>0</v>
      </c>
      <c r="K231">
        <f>INDIRECT(ADDRESS(231,10))+INDIRECT(ADDRESS(229,11))-INDIRECT(ADDRESS(230,11))</f>
        <v>0</v>
      </c>
      <c r="L231">
        <f>INDIRECT(ADDRESS(231,11))+INDIRECT(ADDRESS(229,12))-INDIRECT(ADDRESS(230,12))</f>
        <v>0</v>
      </c>
      <c r="M231">
        <f>INDIRECT(ADDRESS(231,12))+INDIRECT(ADDRESS(229,13))-INDIRECT(ADDRESS(230,13))</f>
        <v>0</v>
      </c>
      <c r="N231">
        <f>INDIRECT(ADDRESS(231,13))+INDIRECT(ADDRESS(229,14))-INDIRECT(ADDRESS(230,14))</f>
        <v>0</v>
      </c>
      <c r="O231">
        <f>INDIRECT(ADDRESS(231,14))+INDIRECT(ADDRESS(229,15))-INDIRECT(ADDRESS(230,15))</f>
        <v>0</v>
      </c>
      <c r="P231">
        <f>INDIRECT(ADDRESS(231,15))+INDIRECT(ADDRESS(229,16))-INDIRECT(ADDRESS(230,16))</f>
        <v>0</v>
      </c>
      <c r="Q231">
        <f>INDIRECT(ADDRESS(231,16))+INDIRECT(ADDRESS(229,17))-INDIRECT(ADDRESS(230,17))</f>
        <v>0</v>
      </c>
      <c r="R231">
        <f>INDIRECT(ADDRESS(231,17))+INDIRECT(ADDRESS(229,18))-INDIRECT(ADDRESS(230,18))</f>
        <v>0</v>
      </c>
      <c r="S231">
        <f>INDIRECT(ADDRESS(231,18))+INDIRECT(ADDRESS(229,19))-INDIRECT(ADDRESS(230,19))</f>
        <v>0</v>
      </c>
      <c r="T231">
        <f>INDIRECT(ADDRESS(231,19))+INDIRECT(ADDRESS(229,20))-INDIRECT(ADDRESS(230,20))</f>
        <v>0</v>
      </c>
      <c r="U231">
        <f>INDIRECT(ADDRESS(231,20))+INDIRECT(ADDRESS(229,21))-INDIRECT(ADDRESS(230,21))</f>
        <v>0</v>
      </c>
      <c r="V231">
        <f>INDIRECT(ADDRESS(231,21))+INDIRECT(ADDRESS(229,22))-INDIRECT(ADDRESS(230,22))</f>
        <v>0</v>
      </c>
      <c r="W231">
        <f>INDIRECT(ADDRESS(231,22))+INDIRECT(ADDRESS(229,23))-INDIRECT(ADDRESS(230,23))</f>
        <v>0</v>
      </c>
      <c r="X231">
        <f>INDIRECT(ADDRESS(231,23))+INDIRECT(ADDRESS(229,24))-INDIRECT(ADDRESS(230,24))</f>
        <v>0</v>
      </c>
      <c r="Y231">
        <f>INDIRECT(ADDRESS(231,24))+INDIRECT(ADDRESS(229,25))-INDIRECT(ADDRESS(230,25))</f>
        <v>0</v>
      </c>
      <c r="Z231">
        <f>INDIRECT(ADDRESS(231,25))+INDIRECT(ADDRESS(229,26))-INDIRECT(ADDRESS(230,26))</f>
        <v>0</v>
      </c>
      <c r="AA231">
        <f>INDIRECT(ADDRESS(231,26))+INDIRECT(ADDRESS(229,27))-INDIRECT(ADDRESS(230,27))</f>
        <v>0</v>
      </c>
      <c r="AB231">
        <f>INDIRECT(ADDRESS(231,27))+INDIRECT(ADDRESS(229,28))-INDIRECT(ADDRESS(230,28))</f>
        <v>0</v>
      </c>
      <c r="AC231">
        <f>INDIRECT(ADDRESS(231,28))+INDIRECT(ADDRESS(229,29))-INDIRECT(ADDRESS(230,29))</f>
        <v>0</v>
      </c>
      <c r="AD231">
        <f>INDIRECT(ADDRESS(231,29))+INDIRECT(ADDRESS(229,30))-INDIRECT(ADDRESS(230,30))</f>
        <v>0</v>
      </c>
      <c r="AE231">
        <f>INDIRECT(ADDRESS(231,30))+INDIRECT(ADDRESS(229,31))-INDIRECT(ADDRESS(230,31))</f>
        <v>0</v>
      </c>
      <c r="AF231">
        <f>INDIRECT(ADDRESS(231,31))+INDIRECT(ADDRESS(229,32))-INDIRECT(ADDRESS(230,32))</f>
        <v>0</v>
      </c>
      <c r="AG231">
        <f>INDIRECT(ADDRESS(231,32))+INDIRECT(ADDRESS(229,33))-INDIRECT(ADDRESS(230,33))</f>
        <v>0</v>
      </c>
      <c r="AH231">
        <f>INDIRECT(ADDRESS(231,33))+INDIRECT(ADDRESS(229,34))-INDIRECT(ADDRESS(230,34))</f>
        <v>0</v>
      </c>
      <c r="AI231">
        <f>INDIRECT(ADDRESS(231,34))+INDIRECT(ADDRESS(229,35))-INDIRECT(ADDRESS(230,35))</f>
        <v>0</v>
      </c>
      <c r="AJ231">
        <f>INDIRECT(ADDRESS(231,35))+INDIRECT(ADDRESS(229,36))-INDIRECT(ADDRESS(230,36))</f>
        <v>0</v>
      </c>
      <c r="AK231">
        <f>INDIRECT(ADDRESS(231,36))+INDIRECT(ADDRESS(229,37))-INDIRECT(ADDRESS(230,37))</f>
        <v>0</v>
      </c>
      <c r="AL231">
        <f>INDIRECT(ADDRESS(231,37))+INDIRECT(ADDRESS(229,38))-INDIRECT(ADDRESS(230,38))</f>
        <v>0</v>
      </c>
      <c r="AM231">
        <f>INDIRECT(ADDRESS(231,38))+INDIRECT(ADDRESS(229,39))-INDIRECT(ADDRESS(230,39))</f>
        <v>0</v>
      </c>
      <c r="AN231">
        <f>INDIRECT(ADDRESS(231,39))+INDIRECT(ADDRESS(229,40))-INDIRECT(ADDRESS(230,40))</f>
        <v>0</v>
      </c>
      <c r="AO231">
        <f>SUM(INDIRECT(ADDRESS(230,8)):INDIRECT(ADDRESS(230,39)))</f>
        <v>0</v>
      </c>
    </row>
    <row r="232" spans="1:41">
      <c r="A232" t="s">
        <v>185</v>
      </c>
      <c r="B232" t="s">
        <v>196</v>
      </c>
      <c r="C232" t="s">
        <v>269</v>
      </c>
      <c r="E232">
        <v>2</v>
      </c>
      <c r="F232" t="s">
        <v>11</v>
      </c>
      <c r="I232" t="s">
        <v>177</v>
      </c>
    </row>
    <row r="233" spans="1:41">
      <c r="I233" t="s">
        <v>178</v>
      </c>
      <c r="J233">
        <f>IFERROR(VLOOKUP("927-007000-600",B:AB,1+8,0),0)</f>
        <v>0</v>
      </c>
      <c r="K233">
        <f>IFERROR(VLOOKUP("927-007000-600",B:AB,2+8,0),0)</f>
        <v>0</v>
      </c>
      <c r="L233">
        <f>IFERROR(VLOOKUP("927-007000-600",B:AB,3+8,0),0)</f>
        <v>0</v>
      </c>
      <c r="M233">
        <f>IFERROR(VLOOKUP("927-007000-600",B:AB,4+8,0),0)</f>
        <v>0</v>
      </c>
      <c r="N233">
        <f>IFERROR(VLOOKUP("927-007000-600",B:AB,5+8,0),0)</f>
        <v>0</v>
      </c>
      <c r="O233">
        <f>IFERROR(VLOOKUP("927-007000-600",B:AB,6+8,0),0)</f>
        <v>0</v>
      </c>
      <c r="P233">
        <f>IFERROR(VLOOKUP("927-007000-600",B:AB,7+8,0),0)</f>
        <v>0</v>
      </c>
      <c r="Q233">
        <f>IFERROR(VLOOKUP("927-007000-600",B:AB,8+8,0),0)</f>
        <v>0</v>
      </c>
      <c r="R233">
        <f>IFERROR(VLOOKUP("927-007000-600",B:AB,9+8,0),0)</f>
        <v>0</v>
      </c>
      <c r="S233">
        <f>IFERROR(VLOOKUP("927-007000-600",B:AB,10+8,0),0)</f>
        <v>0</v>
      </c>
      <c r="T233">
        <f>IFERROR(VLOOKUP("927-007000-600",B:AB,11+8,0),0)</f>
        <v>0</v>
      </c>
      <c r="U233">
        <f>IFERROR(VLOOKUP("927-007000-600",B:AB,12+8,0),0)</f>
        <v>0</v>
      </c>
      <c r="V233">
        <f>IFERROR(VLOOKUP("927-007000-600",B:AB,13+8,0),0)</f>
        <v>0</v>
      </c>
      <c r="W233">
        <f>IFERROR(VLOOKUP("927-007000-600",B:AB,14+8,0),0)</f>
        <v>0</v>
      </c>
      <c r="X233">
        <f>IFERROR(VLOOKUP("927-007000-600",B:AB,15+8,0),0)</f>
        <v>0</v>
      </c>
      <c r="Y233">
        <f>IFERROR(VLOOKUP("927-007000-600",B:AB,16+8,0),0)</f>
        <v>0</v>
      </c>
      <c r="Z233">
        <f>IFERROR(VLOOKUP("927-007000-600",B:AB,17+8,0),0)</f>
        <v>0</v>
      </c>
      <c r="AA233">
        <f>IFERROR(VLOOKUP("927-007000-600",B:AB,18+8,0),0)</f>
        <v>0</v>
      </c>
      <c r="AB233">
        <f>IFERROR(VLOOKUP("927-007000-600",B:AB,19+8,0),0)</f>
        <v>0</v>
      </c>
      <c r="AC233">
        <f>IFERROR(VLOOKUP("927-007000-600",B:AB,20+8,0),0)</f>
        <v>0</v>
      </c>
      <c r="AD233">
        <f>IFERROR(VLOOKUP("927-007000-600",B:AB,21+8,0),0)</f>
        <v>0</v>
      </c>
      <c r="AE233">
        <f>IFERROR(VLOOKUP("927-007000-600",B:AB,22+8,0),0)</f>
        <v>0</v>
      </c>
      <c r="AF233">
        <f>IFERROR(VLOOKUP("927-007000-600",B:AB,23+8,0),0)</f>
        <v>0</v>
      </c>
      <c r="AG233">
        <f>IFERROR(VLOOKUP("927-007000-600",B:AB,24+8,0),0)</f>
        <v>0</v>
      </c>
      <c r="AH233">
        <f>IFERROR(VLOOKUP("927-007000-600",B:AB,25+8,0),0)</f>
        <v>0</v>
      </c>
      <c r="AI233">
        <f>IFERROR(VLOOKUP("927-007000-600",B:AB,26+8,0),0)</f>
        <v>0</v>
      </c>
      <c r="AJ233">
        <f>IFERROR(VLOOKUP("927-007000-600",B:AB,27+8,0),0)</f>
        <v>0</v>
      </c>
      <c r="AK233">
        <f>IFERROR(VLOOKUP("927-007000-600",B:AB,28+8,0),0)</f>
        <v>0</v>
      </c>
      <c r="AL233">
        <f>IFERROR(VLOOKUP("927-007000-600",B:AB,29+8,0),0)</f>
        <v>0</v>
      </c>
      <c r="AM233">
        <f>IFERROR(VLOOKUP("927-007000-600",B:AB,30+8,0),0)</f>
        <v>0</v>
      </c>
      <c r="AN233">
        <f>IFERROR(VLOOKUP("927-007000-600",B:AB,31+8,0),0)</f>
        <v>0</v>
      </c>
      <c r="AO233">
        <f>SUN(INDIRECT(ADDRESS(232,8)):INDIRECT(ADDRESS(232,39)))</f>
        <v>0</v>
      </c>
    </row>
    <row r="234" spans="1:41">
      <c r="H234" t="s">
        <v>179</v>
      </c>
      <c r="J234">
        <f>INDIRECT(ADDRESS(234,9))+INDIRECT(ADDRESS(232,10))-INDIRECT(ADDRESS(233,10))</f>
        <v>0</v>
      </c>
      <c r="K234">
        <f>INDIRECT(ADDRESS(234,10))+INDIRECT(ADDRESS(232,11))-INDIRECT(ADDRESS(233,11))</f>
        <v>0</v>
      </c>
      <c r="L234">
        <f>INDIRECT(ADDRESS(234,11))+INDIRECT(ADDRESS(232,12))-INDIRECT(ADDRESS(233,12))</f>
        <v>0</v>
      </c>
      <c r="M234">
        <f>INDIRECT(ADDRESS(234,12))+INDIRECT(ADDRESS(232,13))-INDIRECT(ADDRESS(233,13))</f>
        <v>0</v>
      </c>
      <c r="N234">
        <f>INDIRECT(ADDRESS(234,13))+INDIRECT(ADDRESS(232,14))-INDIRECT(ADDRESS(233,14))</f>
        <v>0</v>
      </c>
      <c r="O234">
        <f>INDIRECT(ADDRESS(234,14))+INDIRECT(ADDRESS(232,15))-INDIRECT(ADDRESS(233,15))</f>
        <v>0</v>
      </c>
      <c r="P234">
        <f>INDIRECT(ADDRESS(234,15))+INDIRECT(ADDRESS(232,16))-INDIRECT(ADDRESS(233,16))</f>
        <v>0</v>
      </c>
      <c r="Q234">
        <f>INDIRECT(ADDRESS(234,16))+INDIRECT(ADDRESS(232,17))-INDIRECT(ADDRESS(233,17))</f>
        <v>0</v>
      </c>
      <c r="R234">
        <f>INDIRECT(ADDRESS(234,17))+INDIRECT(ADDRESS(232,18))-INDIRECT(ADDRESS(233,18))</f>
        <v>0</v>
      </c>
      <c r="S234">
        <f>INDIRECT(ADDRESS(234,18))+INDIRECT(ADDRESS(232,19))-INDIRECT(ADDRESS(233,19))</f>
        <v>0</v>
      </c>
      <c r="T234">
        <f>INDIRECT(ADDRESS(234,19))+INDIRECT(ADDRESS(232,20))-INDIRECT(ADDRESS(233,20))</f>
        <v>0</v>
      </c>
      <c r="U234">
        <f>INDIRECT(ADDRESS(234,20))+INDIRECT(ADDRESS(232,21))-INDIRECT(ADDRESS(233,21))</f>
        <v>0</v>
      </c>
      <c r="V234">
        <f>INDIRECT(ADDRESS(234,21))+INDIRECT(ADDRESS(232,22))-INDIRECT(ADDRESS(233,22))</f>
        <v>0</v>
      </c>
      <c r="W234">
        <f>INDIRECT(ADDRESS(234,22))+INDIRECT(ADDRESS(232,23))-INDIRECT(ADDRESS(233,23))</f>
        <v>0</v>
      </c>
      <c r="X234">
        <f>INDIRECT(ADDRESS(234,23))+INDIRECT(ADDRESS(232,24))-INDIRECT(ADDRESS(233,24))</f>
        <v>0</v>
      </c>
      <c r="Y234">
        <f>INDIRECT(ADDRESS(234,24))+INDIRECT(ADDRESS(232,25))-INDIRECT(ADDRESS(233,25))</f>
        <v>0</v>
      </c>
      <c r="Z234">
        <f>INDIRECT(ADDRESS(234,25))+INDIRECT(ADDRESS(232,26))-INDIRECT(ADDRESS(233,26))</f>
        <v>0</v>
      </c>
      <c r="AA234">
        <f>INDIRECT(ADDRESS(234,26))+INDIRECT(ADDRESS(232,27))-INDIRECT(ADDRESS(233,27))</f>
        <v>0</v>
      </c>
      <c r="AB234">
        <f>INDIRECT(ADDRESS(234,27))+INDIRECT(ADDRESS(232,28))-INDIRECT(ADDRESS(233,28))</f>
        <v>0</v>
      </c>
      <c r="AC234">
        <f>INDIRECT(ADDRESS(234,28))+INDIRECT(ADDRESS(232,29))-INDIRECT(ADDRESS(233,29))</f>
        <v>0</v>
      </c>
      <c r="AD234">
        <f>INDIRECT(ADDRESS(234,29))+INDIRECT(ADDRESS(232,30))-INDIRECT(ADDRESS(233,30))</f>
        <v>0</v>
      </c>
      <c r="AE234">
        <f>INDIRECT(ADDRESS(234,30))+INDIRECT(ADDRESS(232,31))-INDIRECT(ADDRESS(233,31))</f>
        <v>0</v>
      </c>
      <c r="AF234">
        <f>INDIRECT(ADDRESS(234,31))+INDIRECT(ADDRESS(232,32))-INDIRECT(ADDRESS(233,32))</f>
        <v>0</v>
      </c>
      <c r="AG234">
        <f>INDIRECT(ADDRESS(234,32))+INDIRECT(ADDRESS(232,33))-INDIRECT(ADDRESS(233,33))</f>
        <v>0</v>
      </c>
      <c r="AH234">
        <f>INDIRECT(ADDRESS(234,33))+INDIRECT(ADDRESS(232,34))-INDIRECT(ADDRESS(233,34))</f>
        <v>0</v>
      </c>
      <c r="AI234">
        <f>INDIRECT(ADDRESS(234,34))+INDIRECT(ADDRESS(232,35))-INDIRECT(ADDRESS(233,35))</f>
        <v>0</v>
      </c>
      <c r="AJ234">
        <f>INDIRECT(ADDRESS(234,35))+INDIRECT(ADDRESS(232,36))-INDIRECT(ADDRESS(233,36))</f>
        <v>0</v>
      </c>
      <c r="AK234">
        <f>INDIRECT(ADDRESS(234,36))+INDIRECT(ADDRESS(232,37))-INDIRECT(ADDRESS(233,37))</f>
        <v>0</v>
      </c>
      <c r="AL234">
        <f>INDIRECT(ADDRESS(234,37))+INDIRECT(ADDRESS(232,38))-INDIRECT(ADDRESS(233,38))</f>
        <v>0</v>
      </c>
      <c r="AM234">
        <f>INDIRECT(ADDRESS(234,38))+INDIRECT(ADDRESS(232,39))-INDIRECT(ADDRESS(233,39))</f>
        <v>0</v>
      </c>
      <c r="AN234">
        <f>INDIRECT(ADDRESS(234,39))+INDIRECT(ADDRESS(232,40))-INDIRECT(ADDRESS(233,40))</f>
        <v>0</v>
      </c>
      <c r="AO234">
        <f>SUM(INDIRECT(ADDRESS(233,8)):INDIRECT(ADDRESS(233,39)))</f>
        <v>0</v>
      </c>
    </row>
    <row r="235" spans="1:41">
      <c r="A235" t="s">
        <v>238</v>
      </c>
      <c r="B235" t="s">
        <v>257</v>
      </c>
      <c r="C235" t="s">
        <v>258</v>
      </c>
      <c r="E235">
        <v>0.1</v>
      </c>
      <c r="F235" t="s">
        <v>11</v>
      </c>
      <c r="I235" t="s">
        <v>177</v>
      </c>
    </row>
    <row r="236" spans="1:41">
      <c r="I236" t="s">
        <v>178</v>
      </c>
      <c r="J236">
        <f>IFERROR(VLOOKUP("927-007000-600",B:AB,1+8,0),0)</f>
        <v>0</v>
      </c>
      <c r="K236">
        <f>IFERROR(VLOOKUP("927-007000-600",B:AB,2+8,0),0)</f>
        <v>0</v>
      </c>
      <c r="L236">
        <f>IFERROR(VLOOKUP("927-007000-600",B:AB,3+8,0),0)</f>
        <v>0</v>
      </c>
      <c r="M236">
        <f>IFERROR(VLOOKUP("927-007000-600",B:AB,4+8,0),0)</f>
        <v>0</v>
      </c>
      <c r="N236">
        <f>IFERROR(VLOOKUP("927-007000-600",B:AB,5+8,0),0)</f>
        <v>0</v>
      </c>
      <c r="O236">
        <f>IFERROR(VLOOKUP("927-007000-600",B:AB,6+8,0),0)</f>
        <v>0</v>
      </c>
      <c r="P236">
        <f>IFERROR(VLOOKUP("927-007000-600",B:AB,7+8,0),0)</f>
        <v>0</v>
      </c>
      <c r="Q236">
        <f>IFERROR(VLOOKUP("927-007000-600",B:AB,8+8,0),0)</f>
        <v>0</v>
      </c>
      <c r="R236">
        <f>IFERROR(VLOOKUP("927-007000-600",B:AB,9+8,0),0)</f>
        <v>0</v>
      </c>
      <c r="S236">
        <f>IFERROR(VLOOKUP("927-007000-600",B:AB,10+8,0),0)</f>
        <v>0</v>
      </c>
      <c r="T236">
        <f>IFERROR(VLOOKUP("927-007000-600",B:AB,11+8,0),0)</f>
        <v>0</v>
      </c>
      <c r="U236">
        <f>IFERROR(VLOOKUP("927-007000-600",B:AB,12+8,0),0)</f>
        <v>0</v>
      </c>
      <c r="V236">
        <f>IFERROR(VLOOKUP("927-007000-600",B:AB,13+8,0),0)</f>
        <v>0</v>
      </c>
      <c r="W236">
        <f>IFERROR(VLOOKUP("927-007000-600",B:AB,14+8,0),0)</f>
        <v>0</v>
      </c>
      <c r="X236">
        <f>IFERROR(VLOOKUP("927-007000-600",B:AB,15+8,0),0)</f>
        <v>0</v>
      </c>
      <c r="Y236">
        <f>IFERROR(VLOOKUP("927-007000-600",B:AB,16+8,0),0)</f>
        <v>0</v>
      </c>
      <c r="Z236">
        <f>IFERROR(VLOOKUP("927-007000-600",B:AB,17+8,0),0)</f>
        <v>0</v>
      </c>
      <c r="AA236">
        <f>IFERROR(VLOOKUP("927-007000-600",B:AB,18+8,0),0)</f>
        <v>0</v>
      </c>
      <c r="AB236">
        <f>IFERROR(VLOOKUP("927-007000-600",B:AB,19+8,0),0)</f>
        <v>0</v>
      </c>
      <c r="AC236">
        <f>IFERROR(VLOOKUP("927-007000-600",B:AB,20+8,0),0)</f>
        <v>0</v>
      </c>
      <c r="AD236">
        <f>IFERROR(VLOOKUP("927-007000-600",B:AB,21+8,0),0)</f>
        <v>0</v>
      </c>
      <c r="AE236">
        <f>IFERROR(VLOOKUP("927-007000-600",B:AB,22+8,0),0)</f>
        <v>0</v>
      </c>
      <c r="AF236">
        <f>IFERROR(VLOOKUP("927-007000-600",B:AB,23+8,0),0)</f>
        <v>0</v>
      </c>
      <c r="AG236">
        <f>IFERROR(VLOOKUP("927-007000-600",B:AB,24+8,0),0)</f>
        <v>0</v>
      </c>
      <c r="AH236">
        <f>IFERROR(VLOOKUP("927-007000-600",B:AB,25+8,0),0)</f>
        <v>0</v>
      </c>
      <c r="AI236">
        <f>IFERROR(VLOOKUP("927-007000-600",B:AB,26+8,0),0)</f>
        <v>0</v>
      </c>
      <c r="AJ236">
        <f>IFERROR(VLOOKUP("927-007000-600",B:AB,27+8,0),0)</f>
        <v>0</v>
      </c>
      <c r="AK236">
        <f>IFERROR(VLOOKUP("927-007000-600",B:AB,28+8,0),0)</f>
        <v>0</v>
      </c>
      <c r="AL236">
        <f>IFERROR(VLOOKUP("927-007000-600",B:AB,29+8,0),0)</f>
        <v>0</v>
      </c>
      <c r="AM236">
        <f>IFERROR(VLOOKUP("927-007000-600",B:AB,30+8,0),0)</f>
        <v>0</v>
      </c>
      <c r="AN236">
        <f>IFERROR(VLOOKUP("927-007000-600",B:AB,31+8,0),0)</f>
        <v>0</v>
      </c>
      <c r="AO236">
        <f>SUN(INDIRECT(ADDRESS(235,8)):INDIRECT(ADDRESS(235,39)))</f>
        <v>0</v>
      </c>
    </row>
    <row r="237" spans="1:41">
      <c r="H237" t="s">
        <v>179</v>
      </c>
      <c r="J237">
        <f>INDIRECT(ADDRESS(237,9))+INDIRECT(ADDRESS(235,10))-INDIRECT(ADDRESS(236,10))</f>
        <v>0</v>
      </c>
      <c r="K237">
        <f>INDIRECT(ADDRESS(237,10))+INDIRECT(ADDRESS(235,11))-INDIRECT(ADDRESS(236,11))</f>
        <v>0</v>
      </c>
      <c r="L237">
        <f>INDIRECT(ADDRESS(237,11))+INDIRECT(ADDRESS(235,12))-INDIRECT(ADDRESS(236,12))</f>
        <v>0</v>
      </c>
      <c r="M237">
        <f>INDIRECT(ADDRESS(237,12))+INDIRECT(ADDRESS(235,13))-INDIRECT(ADDRESS(236,13))</f>
        <v>0</v>
      </c>
      <c r="N237">
        <f>INDIRECT(ADDRESS(237,13))+INDIRECT(ADDRESS(235,14))-INDIRECT(ADDRESS(236,14))</f>
        <v>0</v>
      </c>
      <c r="O237">
        <f>INDIRECT(ADDRESS(237,14))+INDIRECT(ADDRESS(235,15))-INDIRECT(ADDRESS(236,15))</f>
        <v>0</v>
      </c>
      <c r="P237">
        <f>INDIRECT(ADDRESS(237,15))+INDIRECT(ADDRESS(235,16))-INDIRECT(ADDRESS(236,16))</f>
        <v>0</v>
      </c>
      <c r="Q237">
        <f>INDIRECT(ADDRESS(237,16))+INDIRECT(ADDRESS(235,17))-INDIRECT(ADDRESS(236,17))</f>
        <v>0</v>
      </c>
      <c r="R237">
        <f>INDIRECT(ADDRESS(237,17))+INDIRECT(ADDRESS(235,18))-INDIRECT(ADDRESS(236,18))</f>
        <v>0</v>
      </c>
      <c r="S237">
        <f>INDIRECT(ADDRESS(237,18))+INDIRECT(ADDRESS(235,19))-INDIRECT(ADDRESS(236,19))</f>
        <v>0</v>
      </c>
      <c r="T237">
        <f>INDIRECT(ADDRESS(237,19))+INDIRECT(ADDRESS(235,20))-INDIRECT(ADDRESS(236,20))</f>
        <v>0</v>
      </c>
      <c r="U237">
        <f>INDIRECT(ADDRESS(237,20))+INDIRECT(ADDRESS(235,21))-INDIRECT(ADDRESS(236,21))</f>
        <v>0</v>
      </c>
      <c r="V237">
        <f>INDIRECT(ADDRESS(237,21))+INDIRECT(ADDRESS(235,22))-INDIRECT(ADDRESS(236,22))</f>
        <v>0</v>
      </c>
      <c r="W237">
        <f>INDIRECT(ADDRESS(237,22))+INDIRECT(ADDRESS(235,23))-INDIRECT(ADDRESS(236,23))</f>
        <v>0</v>
      </c>
      <c r="X237">
        <f>INDIRECT(ADDRESS(237,23))+INDIRECT(ADDRESS(235,24))-INDIRECT(ADDRESS(236,24))</f>
        <v>0</v>
      </c>
      <c r="Y237">
        <f>INDIRECT(ADDRESS(237,24))+INDIRECT(ADDRESS(235,25))-INDIRECT(ADDRESS(236,25))</f>
        <v>0</v>
      </c>
      <c r="Z237">
        <f>INDIRECT(ADDRESS(237,25))+INDIRECT(ADDRESS(235,26))-INDIRECT(ADDRESS(236,26))</f>
        <v>0</v>
      </c>
      <c r="AA237">
        <f>INDIRECT(ADDRESS(237,26))+INDIRECT(ADDRESS(235,27))-INDIRECT(ADDRESS(236,27))</f>
        <v>0</v>
      </c>
      <c r="AB237">
        <f>INDIRECT(ADDRESS(237,27))+INDIRECT(ADDRESS(235,28))-INDIRECT(ADDRESS(236,28))</f>
        <v>0</v>
      </c>
      <c r="AC237">
        <f>INDIRECT(ADDRESS(237,28))+INDIRECT(ADDRESS(235,29))-INDIRECT(ADDRESS(236,29))</f>
        <v>0</v>
      </c>
      <c r="AD237">
        <f>INDIRECT(ADDRESS(237,29))+INDIRECT(ADDRESS(235,30))-INDIRECT(ADDRESS(236,30))</f>
        <v>0</v>
      </c>
      <c r="AE237">
        <f>INDIRECT(ADDRESS(237,30))+INDIRECT(ADDRESS(235,31))-INDIRECT(ADDRESS(236,31))</f>
        <v>0</v>
      </c>
      <c r="AF237">
        <f>INDIRECT(ADDRESS(237,31))+INDIRECT(ADDRESS(235,32))-INDIRECT(ADDRESS(236,32))</f>
        <v>0</v>
      </c>
      <c r="AG237">
        <f>INDIRECT(ADDRESS(237,32))+INDIRECT(ADDRESS(235,33))-INDIRECT(ADDRESS(236,33))</f>
        <v>0</v>
      </c>
      <c r="AH237">
        <f>INDIRECT(ADDRESS(237,33))+INDIRECT(ADDRESS(235,34))-INDIRECT(ADDRESS(236,34))</f>
        <v>0</v>
      </c>
      <c r="AI237">
        <f>INDIRECT(ADDRESS(237,34))+INDIRECT(ADDRESS(235,35))-INDIRECT(ADDRESS(236,35))</f>
        <v>0</v>
      </c>
      <c r="AJ237">
        <f>INDIRECT(ADDRESS(237,35))+INDIRECT(ADDRESS(235,36))-INDIRECT(ADDRESS(236,36))</f>
        <v>0</v>
      </c>
      <c r="AK237">
        <f>INDIRECT(ADDRESS(237,36))+INDIRECT(ADDRESS(235,37))-INDIRECT(ADDRESS(236,37))</f>
        <v>0</v>
      </c>
      <c r="AL237">
        <f>INDIRECT(ADDRESS(237,37))+INDIRECT(ADDRESS(235,38))-INDIRECT(ADDRESS(236,38))</f>
        <v>0</v>
      </c>
      <c r="AM237">
        <f>INDIRECT(ADDRESS(237,38))+INDIRECT(ADDRESS(235,39))-INDIRECT(ADDRESS(236,39))</f>
        <v>0</v>
      </c>
      <c r="AN237">
        <f>INDIRECT(ADDRESS(237,39))+INDIRECT(ADDRESS(235,40))-INDIRECT(ADDRESS(236,40))</f>
        <v>0</v>
      </c>
      <c r="AO237">
        <f>SUM(INDIRECT(ADDRESS(236,8)):INDIRECT(ADDRESS(236,39)))</f>
        <v>0</v>
      </c>
    </row>
    <row r="238" spans="1:41">
      <c r="A238" t="s">
        <v>8</v>
      </c>
      <c r="B238" t="s">
        <v>25</v>
      </c>
      <c r="C238" t="s">
        <v>26</v>
      </c>
      <c r="E238">
        <v>1</v>
      </c>
      <c r="F238" t="s">
        <v>11</v>
      </c>
      <c r="I238" t="s">
        <v>177</v>
      </c>
    </row>
    <row r="239" spans="1:41">
      <c r="I239" t="s">
        <v>178</v>
      </c>
      <c r="J239">
        <f>IFERROR(VLOOKUP("927-004000-200",Out!B:AB,1+8,0),0)</f>
        <v>0</v>
      </c>
      <c r="K239">
        <f>IFERROR(VLOOKUP("927-004000-200",Out!B:AB,2+8,0),0)</f>
        <v>0</v>
      </c>
      <c r="L239">
        <f>IFERROR(VLOOKUP("927-004000-200",Out!B:AB,3+8,0),0)</f>
        <v>0</v>
      </c>
      <c r="M239">
        <f>IFERROR(VLOOKUP("927-004000-200",Out!B:AB,4+8,0),0)</f>
        <v>0</v>
      </c>
      <c r="N239">
        <f>IFERROR(VLOOKUP("927-004000-200",Out!B:AB,5+8,0),0)</f>
        <v>0</v>
      </c>
      <c r="O239">
        <f>IFERROR(VLOOKUP("927-004000-200",Out!B:AB,6+8,0),0)</f>
        <v>0</v>
      </c>
      <c r="P239">
        <f>IFERROR(VLOOKUP("927-004000-200",Out!B:AB,7+8,0),0)</f>
        <v>0</v>
      </c>
      <c r="Q239">
        <f>IFERROR(VLOOKUP("927-004000-200",Out!B:AB,8+8,0),0)</f>
        <v>0</v>
      </c>
      <c r="R239">
        <f>IFERROR(VLOOKUP("927-004000-200",Out!B:AB,9+8,0),0)</f>
        <v>0</v>
      </c>
      <c r="S239">
        <f>IFERROR(VLOOKUP("927-004000-200",Out!B:AB,10+8,0),0)</f>
        <v>0</v>
      </c>
      <c r="T239">
        <f>IFERROR(VLOOKUP("927-004000-200",Out!B:AB,11+8,0),0)</f>
        <v>0</v>
      </c>
      <c r="U239">
        <f>IFERROR(VLOOKUP("927-004000-200",Out!B:AB,12+8,0),0)</f>
        <v>0</v>
      </c>
      <c r="V239">
        <f>IFERROR(VLOOKUP("927-004000-200",Out!B:AB,13+8,0),0)</f>
        <v>0</v>
      </c>
      <c r="W239">
        <f>IFERROR(VLOOKUP("927-004000-200",Out!B:AB,14+8,0),0)</f>
        <v>0</v>
      </c>
      <c r="X239">
        <f>IFERROR(VLOOKUP("927-004000-200",Out!B:AB,15+8,0),0)</f>
        <v>0</v>
      </c>
      <c r="Y239">
        <f>IFERROR(VLOOKUP("927-004000-200",Out!B:AB,16+8,0),0)</f>
        <v>0</v>
      </c>
      <c r="Z239">
        <f>IFERROR(VLOOKUP("927-004000-200",Out!B:AB,17+8,0),0)</f>
        <v>0</v>
      </c>
      <c r="AA239">
        <f>IFERROR(VLOOKUP("927-004000-200",Out!B:AB,18+8,0),0)</f>
        <v>0</v>
      </c>
      <c r="AB239">
        <f>IFERROR(VLOOKUP("927-004000-200",Out!B:AB,19+8,0),0)</f>
        <v>0</v>
      </c>
      <c r="AC239">
        <f>IFERROR(VLOOKUP("927-004000-200",Out!B:AB,20+8,0),0)</f>
        <v>0</v>
      </c>
      <c r="AD239">
        <f>IFERROR(VLOOKUP("927-004000-200",Out!B:AB,21+8,0),0)</f>
        <v>0</v>
      </c>
      <c r="AE239">
        <f>IFERROR(VLOOKUP("927-004000-200",Out!B:AB,22+8,0),0)</f>
        <v>0</v>
      </c>
      <c r="AF239">
        <f>IFERROR(VLOOKUP("927-004000-200",Out!B:AB,23+8,0),0)</f>
        <v>0</v>
      </c>
      <c r="AG239">
        <f>IFERROR(VLOOKUP("927-004000-200",Out!B:AB,24+8,0),0)</f>
        <v>0</v>
      </c>
      <c r="AH239">
        <f>IFERROR(VLOOKUP("927-004000-200",Out!B:AB,25+8,0),0)</f>
        <v>0</v>
      </c>
      <c r="AI239">
        <f>IFERROR(VLOOKUP("927-004000-200",Out!B:AB,26+8,0),0)</f>
        <v>0</v>
      </c>
      <c r="AJ239">
        <f>IFERROR(VLOOKUP("927-004000-200",Out!B:AB,27+8,0),0)</f>
        <v>0</v>
      </c>
      <c r="AK239">
        <f>IFERROR(VLOOKUP("927-004000-200",Out!B:AB,28+8,0),0)</f>
        <v>0</v>
      </c>
      <c r="AL239">
        <f>IFERROR(VLOOKUP("927-004000-200",Out!B:AB,29+8,0),0)</f>
        <v>0</v>
      </c>
      <c r="AM239">
        <f>IFERROR(VLOOKUP("927-004000-200",Out!B:AB,30+8,0),0)</f>
        <v>0</v>
      </c>
      <c r="AN239">
        <f>IFERROR(VLOOKUP("927-004000-200",Out!B:AB,31+8,0),0)</f>
        <v>0</v>
      </c>
      <c r="AO239">
        <f>SUN(INDIRECT(ADDRESS(238,8)):INDIRECT(ADDRESS(238,39)))</f>
        <v>0</v>
      </c>
    </row>
    <row r="240" spans="1:41">
      <c r="H240" t="s">
        <v>179</v>
      </c>
      <c r="J240">
        <f>INDIRECT(ADDRESS(240,9))+INDIRECT(ADDRESS(238,10))-INDIRECT(ADDRESS(239,10))</f>
        <v>0</v>
      </c>
      <c r="K240">
        <f>INDIRECT(ADDRESS(240,10))+INDIRECT(ADDRESS(238,11))-INDIRECT(ADDRESS(239,11))</f>
        <v>0</v>
      </c>
      <c r="L240">
        <f>INDIRECT(ADDRESS(240,11))+INDIRECT(ADDRESS(238,12))-INDIRECT(ADDRESS(239,12))</f>
        <v>0</v>
      </c>
      <c r="M240">
        <f>INDIRECT(ADDRESS(240,12))+INDIRECT(ADDRESS(238,13))-INDIRECT(ADDRESS(239,13))</f>
        <v>0</v>
      </c>
      <c r="N240">
        <f>INDIRECT(ADDRESS(240,13))+INDIRECT(ADDRESS(238,14))-INDIRECT(ADDRESS(239,14))</f>
        <v>0</v>
      </c>
      <c r="O240">
        <f>INDIRECT(ADDRESS(240,14))+INDIRECT(ADDRESS(238,15))-INDIRECT(ADDRESS(239,15))</f>
        <v>0</v>
      </c>
      <c r="P240">
        <f>INDIRECT(ADDRESS(240,15))+INDIRECT(ADDRESS(238,16))-INDIRECT(ADDRESS(239,16))</f>
        <v>0</v>
      </c>
      <c r="Q240">
        <f>INDIRECT(ADDRESS(240,16))+INDIRECT(ADDRESS(238,17))-INDIRECT(ADDRESS(239,17))</f>
        <v>0</v>
      </c>
      <c r="R240">
        <f>INDIRECT(ADDRESS(240,17))+INDIRECT(ADDRESS(238,18))-INDIRECT(ADDRESS(239,18))</f>
        <v>0</v>
      </c>
      <c r="S240">
        <f>INDIRECT(ADDRESS(240,18))+INDIRECT(ADDRESS(238,19))-INDIRECT(ADDRESS(239,19))</f>
        <v>0</v>
      </c>
      <c r="T240">
        <f>INDIRECT(ADDRESS(240,19))+INDIRECT(ADDRESS(238,20))-INDIRECT(ADDRESS(239,20))</f>
        <v>0</v>
      </c>
      <c r="U240">
        <f>INDIRECT(ADDRESS(240,20))+INDIRECT(ADDRESS(238,21))-INDIRECT(ADDRESS(239,21))</f>
        <v>0</v>
      </c>
      <c r="V240">
        <f>INDIRECT(ADDRESS(240,21))+INDIRECT(ADDRESS(238,22))-INDIRECT(ADDRESS(239,22))</f>
        <v>0</v>
      </c>
      <c r="W240">
        <f>INDIRECT(ADDRESS(240,22))+INDIRECT(ADDRESS(238,23))-INDIRECT(ADDRESS(239,23))</f>
        <v>0</v>
      </c>
      <c r="X240">
        <f>INDIRECT(ADDRESS(240,23))+INDIRECT(ADDRESS(238,24))-INDIRECT(ADDRESS(239,24))</f>
        <v>0</v>
      </c>
      <c r="Y240">
        <f>INDIRECT(ADDRESS(240,24))+INDIRECT(ADDRESS(238,25))-INDIRECT(ADDRESS(239,25))</f>
        <v>0</v>
      </c>
      <c r="Z240">
        <f>INDIRECT(ADDRESS(240,25))+INDIRECT(ADDRESS(238,26))-INDIRECT(ADDRESS(239,26))</f>
        <v>0</v>
      </c>
      <c r="AA240">
        <f>INDIRECT(ADDRESS(240,26))+INDIRECT(ADDRESS(238,27))-INDIRECT(ADDRESS(239,27))</f>
        <v>0</v>
      </c>
      <c r="AB240">
        <f>INDIRECT(ADDRESS(240,27))+INDIRECT(ADDRESS(238,28))-INDIRECT(ADDRESS(239,28))</f>
        <v>0</v>
      </c>
      <c r="AC240">
        <f>INDIRECT(ADDRESS(240,28))+INDIRECT(ADDRESS(238,29))-INDIRECT(ADDRESS(239,29))</f>
        <v>0</v>
      </c>
      <c r="AD240">
        <f>INDIRECT(ADDRESS(240,29))+INDIRECT(ADDRESS(238,30))-INDIRECT(ADDRESS(239,30))</f>
        <v>0</v>
      </c>
      <c r="AE240">
        <f>INDIRECT(ADDRESS(240,30))+INDIRECT(ADDRESS(238,31))-INDIRECT(ADDRESS(239,31))</f>
        <v>0</v>
      </c>
      <c r="AF240">
        <f>INDIRECT(ADDRESS(240,31))+INDIRECT(ADDRESS(238,32))-INDIRECT(ADDRESS(239,32))</f>
        <v>0</v>
      </c>
      <c r="AG240">
        <f>INDIRECT(ADDRESS(240,32))+INDIRECT(ADDRESS(238,33))-INDIRECT(ADDRESS(239,33))</f>
        <v>0</v>
      </c>
      <c r="AH240">
        <f>INDIRECT(ADDRESS(240,33))+INDIRECT(ADDRESS(238,34))-INDIRECT(ADDRESS(239,34))</f>
        <v>0</v>
      </c>
      <c r="AI240">
        <f>INDIRECT(ADDRESS(240,34))+INDIRECT(ADDRESS(238,35))-INDIRECT(ADDRESS(239,35))</f>
        <v>0</v>
      </c>
      <c r="AJ240">
        <f>INDIRECT(ADDRESS(240,35))+INDIRECT(ADDRESS(238,36))-INDIRECT(ADDRESS(239,36))</f>
        <v>0</v>
      </c>
      <c r="AK240">
        <f>INDIRECT(ADDRESS(240,36))+INDIRECT(ADDRESS(238,37))-INDIRECT(ADDRESS(239,37))</f>
        <v>0</v>
      </c>
      <c r="AL240">
        <f>INDIRECT(ADDRESS(240,37))+INDIRECT(ADDRESS(238,38))-INDIRECT(ADDRESS(239,38))</f>
        <v>0</v>
      </c>
      <c r="AM240">
        <f>INDIRECT(ADDRESS(240,38))+INDIRECT(ADDRESS(238,39))-INDIRECT(ADDRESS(239,39))</f>
        <v>0</v>
      </c>
      <c r="AN240">
        <f>INDIRECT(ADDRESS(240,39))+INDIRECT(ADDRESS(238,40))-INDIRECT(ADDRESS(239,40))</f>
        <v>0</v>
      </c>
      <c r="AO240">
        <f>SUM(INDIRECT(ADDRESS(239,8)):INDIRECT(ADDRESS(239,39)))</f>
        <v>0</v>
      </c>
    </row>
    <row r="241" spans="1:41">
      <c r="A241" t="s">
        <v>180</v>
      </c>
      <c r="B241" t="s">
        <v>278</v>
      </c>
      <c r="C241" t="s">
        <v>279</v>
      </c>
      <c r="E241">
        <v>1</v>
      </c>
      <c r="F241" t="s">
        <v>11</v>
      </c>
      <c r="I241" t="s">
        <v>177</v>
      </c>
    </row>
    <row r="242" spans="1:41">
      <c r="I242" t="s">
        <v>178</v>
      </c>
      <c r="J242">
        <f>IFERROR(VLOOKUP("927-004000-200",B:AB,1+8,0),0)</f>
        <v>0</v>
      </c>
      <c r="K242">
        <f>IFERROR(VLOOKUP("927-004000-200",B:AB,2+8,0),0)</f>
        <v>0</v>
      </c>
      <c r="L242">
        <f>IFERROR(VLOOKUP("927-004000-200",B:AB,3+8,0),0)</f>
        <v>0</v>
      </c>
      <c r="M242">
        <f>IFERROR(VLOOKUP("927-004000-200",B:AB,4+8,0),0)</f>
        <v>0</v>
      </c>
      <c r="N242">
        <f>IFERROR(VLOOKUP("927-004000-200",B:AB,5+8,0),0)</f>
        <v>0</v>
      </c>
      <c r="O242">
        <f>IFERROR(VLOOKUP("927-004000-200",B:AB,6+8,0),0)</f>
        <v>0</v>
      </c>
      <c r="P242">
        <f>IFERROR(VLOOKUP("927-004000-200",B:AB,7+8,0),0)</f>
        <v>0</v>
      </c>
      <c r="Q242">
        <f>IFERROR(VLOOKUP("927-004000-200",B:AB,8+8,0),0)</f>
        <v>0</v>
      </c>
      <c r="R242">
        <f>IFERROR(VLOOKUP("927-004000-200",B:AB,9+8,0),0)</f>
        <v>0</v>
      </c>
      <c r="S242">
        <f>IFERROR(VLOOKUP("927-004000-200",B:AB,10+8,0),0)</f>
        <v>0</v>
      </c>
      <c r="T242">
        <f>IFERROR(VLOOKUP("927-004000-200",B:AB,11+8,0),0)</f>
        <v>0</v>
      </c>
      <c r="U242">
        <f>IFERROR(VLOOKUP("927-004000-200",B:AB,12+8,0),0)</f>
        <v>0</v>
      </c>
      <c r="V242">
        <f>IFERROR(VLOOKUP("927-004000-200",B:AB,13+8,0),0)</f>
        <v>0</v>
      </c>
      <c r="W242">
        <f>IFERROR(VLOOKUP("927-004000-200",B:AB,14+8,0),0)</f>
        <v>0</v>
      </c>
      <c r="X242">
        <f>IFERROR(VLOOKUP("927-004000-200",B:AB,15+8,0),0)</f>
        <v>0</v>
      </c>
      <c r="Y242">
        <f>IFERROR(VLOOKUP("927-004000-200",B:AB,16+8,0),0)</f>
        <v>0</v>
      </c>
      <c r="Z242">
        <f>IFERROR(VLOOKUP("927-004000-200",B:AB,17+8,0),0)</f>
        <v>0</v>
      </c>
      <c r="AA242">
        <f>IFERROR(VLOOKUP("927-004000-200",B:AB,18+8,0),0)</f>
        <v>0</v>
      </c>
      <c r="AB242">
        <f>IFERROR(VLOOKUP("927-004000-200",B:AB,19+8,0),0)</f>
        <v>0</v>
      </c>
      <c r="AC242">
        <f>IFERROR(VLOOKUP("927-004000-200",B:AB,20+8,0),0)</f>
        <v>0</v>
      </c>
      <c r="AD242">
        <f>IFERROR(VLOOKUP("927-004000-200",B:AB,21+8,0),0)</f>
        <v>0</v>
      </c>
      <c r="AE242">
        <f>IFERROR(VLOOKUP("927-004000-200",B:AB,22+8,0),0)</f>
        <v>0</v>
      </c>
      <c r="AF242">
        <f>IFERROR(VLOOKUP("927-004000-200",B:AB,23+8,0),0)</f>
        <v>0</v>
      </c>
      <c r="AG242">
        <f>IFERROR(VLOOKUP("927-004000-200",B:AB,24+8,0),0)</f>
        <v>0</v>
      </c>
      <c r="AH242">
        <f>IFERROR(VLOOKUP("927-004000-200",B:AB,25+8,0),0)</f>
        <v>0</v>
      </c>
      <c r="AI242">
        <f>IFERROR(VLOOKUP("927-004000-200",B:AB,26+8,0),0)</f>
        <v>0</v>
      </c>
      <c r="AJ242">
        <f>IFERROR(VLOOKUP("927-004000-200",B:AB,27+8,0),0)</f>
        <v>0</v>
      </c>
      <c r="AK242">
        <f>IFERROR(VLOOKUP("927-004000-200",B:AB,28+8,0),0)</f>
        <v>0</v>
      </c>
      <c r="AL242">
        <f>IFERROR(VLOOKUP("927-004000-200",B:AB,29+8,0),0)</f>
        <v>0</v>
      </c>
      <c r="AM242">
        <f>IFERROR(VLOOKUP("927-004000-200",B:AB,30+8,0),0)</f>
        <v>0</v>
      </c>
      <c r="AN242">
        <f>IFERROR(VLOOKUP("927-004000-200",B:AB,31+8,0),0)</f>
        <v>0</v>
      </c>
      <c r="AO242">
        <f>SUN(INDIRECT(ADDRESS(241,8)):INDIRECT(ADDRESS(241,39)))</f>
        <v>0</v>
      </c>
    </row>
    <row r="243" spans="1:41">
      <c r="H243" t="s">
        <v>179</v>
      </c>
      <c r="J243">
        <f>INDIRECT(ADDRESS(243,9))+INDIRECT(ADDRESS(241,10))-INDIRECT(ADDRESS(242,10))</f>
        <v>0</v>
      </c>
      <c r="K243">
        <f>INDIRECT(ADDRESS(243,10))+INDIRECT(ADDRESS(241,11))-INDIRECT(ADDRESS(242,11))</f>
        <v>0</v>
      </c>
      <c r="L243">
        <f>INDIRECT(ADDRESS(243,11))+INDIRECT(ADDRESS(241,12))-INDIRECT(ADDRESS(242,12))</f>
        <v>0</v>
      </c>
      <c r="M243">
        <f>INDIRECT(ADDRESS(243,12))+INDIRECT(ADDRESS(241,13))-INDIRECT(ADDRESS(242,13))</f>
        <v>0</v>
      </c>
      <c r="N243">
        <f>INDIRECT(ADDRESS(243,13))+INDIRECT(ADDRESS(241,14))-INDIRECT(ADDRESS(242,14))</f>
        <v>0</v>
      </c>
      <c r="O243">
        <f>INDIRECT(ADDRESS(243,14))+INDIRECT(ADDRESS(241,15))-INDIRECT(ADDRESS(242,15))</f>
        <v>0</v>
      </c>
      <c r="P243">
        <f>INDIRECT(ADDRESS(243,15))+INDIRECT(ADDRESS(241,16))-INDIRECT(ADDRESS(242,16))</f>
        <v>0</v>
      </c>
      <c r="Q243">
        <f>INDIRECT(ADDRESS(243,16))+INDIRECT(ADDRESS(241,17))-INDIRECT(ADDRESS(242,17))</f>
        <v>0</v>
      </c>
      <c r="R243">
        <f>INDIRECT(ADDRESS(243,17))+INDIRECT(ADDRESS(241,18))-INDIRECT(ADDRESS(242,18))</f>
        <v>0</v>
      </c>
      <c r="S243">
        <f>INDIRECT(ADDRESS(243,18))+INDIRECT(ADDRESS(241,19))-INDIRECT(ADDRESS(242,19))</f>
        <v>0</v>
      </c>
      <c r="T243">
        <f>INDIRECT(ADDRESS(243,19))+INDIRECT(ADDRESS(241,20))-INDIRECT(ADDRESS(242,20))</f>
        <v>0</v>
      </c>
      <c r="U243">
        <f>INDIRECT(ADDRESS(243,20))+INDIRECT(ADDRESS(241,21))-INDIRECT(ADDRESS(242,21))</f>
        <v>0</v>
      </c>
      <c r="V243">
        <f>INDIRECT(ADDRESS(243,21))+INDIRECT(ADDRESS(241,22))-INDIRECT(ADDRESS(242,22))</f>
        <v>0</v>
      </c>
      <c r="W243">
        <f>INDIRECT(ADDRESS(243,22))+INDIRECT(ADDRESS(241,23))-INDIRECT(ADDRESS(242,23))</f>
        <v>0</v>
      </c>
      <c r="X243">
        <f>INDIRECT(ADDRESS(243,23))+INDIRECT(ADDRESS(241,24))-INDIRECT(ADDRESS(242,24))</f>
        <v>0</v>
      </c>
      <c r="Y243">
        <f>INDIRECT(ADDRESS(243,24))+INDIRECT(ADDRESS(241,25))-INDIRECT(ADDRESS(242,25))</f>
        <v>0</v>
      </c>
      <c r="Z243">
        <f>INDIRECT(ADDRESS(243,25))+INDIRECT(ADDRESS(241,26))-INDIRECT(ADDRESS(242,26))</f>
        <v>0</v>
      </c>
      <c r="AA243">
        <f>INDIRECT(ADDRESS(243,26))+INDIRECT(ADDRESS(241,27))-INDIRECT(ADDRESS(242,27))</f>
        <v>0</v>
      </c>
      <c r="AB243">
        <f>INDIRECT(ADDRESS(243,27))+INDIRECT(ADDRESS(241,28))-INDIRECT(ADDRESS(242,28))</f>
        <v>0</v>
      </c>
      <c r="AC243">
        <f>INDIRECT(ADDRESS(243,28))+INDIRECT(ADDRESS(241,29))-INDIRECT(ADDRESS(242,29))</f>
        <v>0</v>
      </c>
      <c r="AD243">
        <f>INDIRECT(ADDRESS(243,29))+INDIRECT(ADDRESS(241,30))-INDIRECT(ADDRESS(242,30))</f>
        <v>0</v>
      </c>
      <c r="AE243">
        <f>INDIRECT(ADDRESS(243,30))+INDIRECT(ADDRESS(241,31))-INDIRECT(ADDRESS(242,31))</f>
        <v>0</v>
      </c>
      <c r="AF243">
        <f>INDIRECT(ADDRESS(243,31))+INDIRECT(ADDRESS(241,32))-INDIRECT(ADDRESS(242,32))</f>
        <v>0</v>
      </c>
      <c r="AG243">
        <f>INDIRECT(ADDRESS(243,32))+INDIRECT(ADDRESS(241,33))-INDIRECT(ADDRESS(242,33))</f>
        <v>0</v>
      </c>
      <c r="AH243">
        <f>INDIRECT(ADDRESS(243,33))+INDIRECT(ADDRESS(241,34))-INDIRECT(ADDRESS(242,34))</f>
        <v>0</v>
      </c>
      <c r="AI243">
        <f>INDIRECT(ADDRESS(243,34))+INDIRECT(ADDRESS(241,35))-INDIRECT(ADDRESS(242,35))</f>
        <v>0</v>
      </c>
      <c r="AJ243">
        <f>INDIRECT(ADDRESS(243,35))+INDIRECT(ADDRESS(241,36))-INDIRECT(ADDRESS(242,36))</f>
        <v>0</v>
      </c>
      <c r="AK243">
        <f>INDIRECT(ADDRESS(243,36))+INDIRECT(ADDRESS(241,37))-INDIRECT(ADDRESS(242,37))</f>
        <v>0</v>
      </c>
      <c r="AL243">
        <f>INDIRECT(ADDRESS(243,37))+INDIRECT(ADDRESS(241,38))-INDIRECT(ADDRESS(242,38))</f>
        <v>0</v>
      </c>
      <c r="AM243">
        <f>INDIRECT(ADDRESS(243,38))+INDIRECT(ADDRESS(241,39))-INDIRECT(ADDRESS(242,39))</f>
        <v>0</v>
      </c>
      <c r="AN243">
        <f>INDIRECT(ADDRESS(243,39))+INDIRECT(ADDRESS(241,40))-INDIRECT(ADDRESS(242,40))</f>
        <v>0</v>
      </c>
      <c r="AO243">
        <f>SUM(INDIRECT(ADDRESS(242,8)):INDIRECT(ADDRESS(242,39)))</f>
        <v>0</v>
      </c>
    </row>
    <row r="244" spans="1:41">
      <c r="A244" t="s">
        <v>180</v>
      </c>
      <c r="B244" t="s">
        <v>280</v>
      </c>
      <c r="C244" t="s">
        <v>281</v>
      </c>
      <c r="E244">
        <v>1</v>
      </c>
      <c r="F244" t="s">
        <v>11</v>
      </c>
      <c r="I244" t="s">
        <v>177</v>
      </c>
    </row>
    <row r="245" spans="1:41">
      <c r="I245" t="s">
        <v>178</v>
      </c>
      <c r="J245">
        <f>IFERROR(VLOOKUP("927-004000-200",B:AB,1+8,0),0)</f>
        <v>0</v>
      </c>
      <c r="K245">
        <f>IFERROR(VLOOKUP("927-004000-200",B:AB,2+8,0),0)</f>
        <v>0</v>
      </c>
      <c r="L245">
        <f>IFERROR(VLOOKUP("927-004000-200",B:AB,3+8,0),0)</f>
        <v>0</v>
      </c>
      <c r="M245">
        <f>IFERROR(VLOOKUP("927-004000-200",B:AB,4+8,0),0)</f>
        <v>0</v>
      </c>
      <c r="N245">
        <f>IFERROR(VLOOKUP("927-004000-200",B:AB,5+8,0),0)</f>
        <v>0</v>
      </c>
      <c r="O245">
        <f>IFERROR(VLOOKUP("927-004000-200",B:AB,6+8,0),0)</f>
        <v>0</v>
      </c>
      <c r="P245">
        <f>IFERROR(VLOOKUP("927-004000-200",B:AB,7+8,0),0)</f>
        <v>0</v>
      </c>
      <c r="Q245">
        <f>IFERROR(VLOOKUP("927-004000-200",B:AB,8+8,0),0)</f>
        <v>0</v>
      </c>
      <c r="R245">
        <f>IFERROR(VLOOKUP("927-004000-200",B:AB,9+8,0),0)</f>
        <v>0</v>
      </c>
      <c r="S245">
        <f>IFERROR(VLOOKUP("927-004000-200",B:AB,10+8,0),0)</f>
        <v>0</v>
      </c>
      <c r="T245">
        <f>IFERROR(VLOOKUP("927-004000-200",B:AB,11+8,0),0)</f>
        <v>0</v>
      </c>
      <c r="U245">
        <f>IFERROR(VLOOKUP("927-004000-200",B:AB,12+8,0),0)</f>
        <v>0</v>
      </c>
      <c r="V245">
        <f>IFERROR(VLOOKUP("927-004000-200",B:AB,13+8,0),0)</f>
        <v>0</v>
      </c>
      <c r="W245">
        <f>IFERROR(VLOOKUP("927-004000-200",B:AB,14+8,0),0)</f>
        <v>0</v>
      </c>
      <c r="X245">
        <f>IFERROR(VLOOKUP("927-004000-200",B:AB,15+8,0),0)</f>
        <v>0</v>
      </c>
      <c r="Y245">
        <f>IFERROR(VLOOKUP("927-004000-200",B:AB,16+8,0),0)</f>
        <v>0</v>
      </c>
      <c r="Z245">
        <f>IFERROR(VLOOKUP("927-004000-200",B:AB,17+8,0),0)</f>
        <v>0</v>
      </c>
      <c r="AA245">
        <f>IFERROR(VLOOKUP("927-004000-200",B:AB,18+8,0),0)</f>
        <v>0</v>
      </c>
      <c r="AB245">
        <f>IFERROR(VLOOKUP("927-004000-200",B:AB,19+8,0),0)</f>
        <v>0</v>
      </c>
      <c r="AC245">
        <f>IFERROR(VLOOKUP("927-004000-200",B:AB,20+8,0),0)</f>
        <v>0</v>
      </c>
      <c r="AD245">
        <f>IFERROR(VLOOKUP("927-004000-200",B:AB,21+8,0),0)</f>
        <v>0</v>
      </c>
      <c r="AE245">
        <f>IFERROR(VLOOKUP("927-004000-200",B:AB,22+8,0),0)</f>
        <v>0</v>
      </c>
      <c r="AF245">
        <f>IFERROR(VLOOKUP("927-004000-200",B:AB,23+8,0),0)</f>
        <v>0</v>
      </c>
      <c r="AG245">
        <f>IFERROR(VLOOKUP("927-004000-200",B:AB,24+8,0),0)</f>
        <v>0</v>
      </c>
      <c r="AH245">
        <f>IFERROR(VLOOKUP("927-004000-200",B:AB,25+8,0),0)</f>
        <v>0</v>
      </c>
      <c r="AI245">
        <f>IFERROR(VLOOKUP("927-004000-200",B:AB,26+8,0),0)</f>
        <v>0</v>
      </c>
      <c r="AJ245">
        <f>IFERROR(VLOOKUP("927-004000-200",B:AB,27+8,0),0)</f>
        <v>0</v>
      </c>
      <c r="AK245">
        <f>IFERROR(VLOOKUP("927-004000-200",B:AB,28+8,0),0)</f>
        <v>0</v>
      </c>
      <c r="AL245">
        <f>IFERROR(VLOOKUP("927-004000-200",B:AB,29+8,0),0)</f>
        <v>0</v>
      </c>
      <c r="AM245">
        <f>IFERROR(VLOOKUP("927-004000-200",B:AB,30+8,0),0)</f>
        <v>0</v>
      </c>
      <c r="AN245">
        <f>IFERROR(VLOOKUP("927-004000-200",B:AB,31+8,0),0)</f>
        <v>0</v>
      </c>
      <c r="AO245">
        <f>SUN(INDIRECT(ADDRESS(244,8)):INDIRECT(ADDRESS(244,39)))</f>
        <v>0</v>
      </c>
    </row>
    <row r="246" spans="1:41">
      <c r="H246" t="s">
        <v>179</v>
      </c>
      <c r="J246">
        <f>INDIRECT(ADDRESS(246,9))+INDIRECT(ADDRESS(244,10))-INDIRECT(ADDRESS(245,10))</f>
        <v>0</v>
      </c>
      <c r="K246">
        <f>INDIRECT(ADDRESS(246,10))+INDIRECT(ADDRESS(244,11))-INDIRECT(ADDRESS(245,11))</f>
        <v>0</v>
      </c>
      <c r="L246">
        <f>INDIRECT(ADDRESS(246,11))+INDIRECT(ADDRESS(244,12))-INDIRECT(ADDRESS(245,12))</f>
        <v>0</v>
      </c>
      <c r="M246">
        <f>INDIRECT(ADDRESS(246,12))+INDIRECT(ADDRESS(244,13))-INDIRECT(ADDRESS(245,13))</f>
        <v>0</v>
      </c>
      <c r="N246">
        <f>INDIRECT(ADDRESS(246,13))+INDIRECT(ADDRESS(244,14))-INDIRECT(ADDRESS(245,14))</f>
        <v>0</v>
      </c>
      <c r="O246">
        <f>INDIRECT(ADDRESS(246,14))+INDIRECT(ADDRESS(244,15))-INDIRECT(ADDRESS(245,15))</f>
        <v>0</v>
      </c>
      <c r="P246">
        <f>INDIRECT(ADDRESS(246,15))+INDIRECT(ADDRESS(244,16))-INDIRECT(ADDRESS(245,16))</f>
        <v>0</v>
      </c>
      <c r="Q246">
        <f>INDIRECT(ADDRESS(246,16))+INDIRECT(ADDRESS(244,17))-INDIRECT(ADDRESS(245,17))</f>
        <v>0</v>
      </c>
      <c r="R246">
        <f>INDIRECT(ADDRESS(246,17))+INDIRECT(ADDRESS(244,18))-INDIRECT(ADDRESS(245,18))</f>
        <v>0</v>
      </c>
      <c r="S246">
        <f>INDIRECT(ADDRESS(246,18))+INDIRECT(ADDRESS(244,19))-INDIRECT(ADDRESS(245,19))</f>
        <v>0</v>
      </c>
      <c r="T246">
        <f>INDIRECT(ADDRESS(246,19))+INDIRECT(ADDRESS(244,20))-INDIRECT(ADDRESS(245,20))</f>
        <v>0</v>
      </c>
      <c r="U246">
        <f>INDIRECT(ADDRESS(246,20))+INDIRECT(ADDRESS(244,21))-INDIRECT(ADDRESS(245,21))</f>
        <v>0</v>
      </c>
      <c r="V246">
        <f>INDIRECT(ADDRESS(246,21))+INDIRECT(ADDRESS(244,22))-INDIRECT(ADDRESS(245,22))</f>
        <v>0</v>
      </c>
      <c r="W246">
        <f>INDIRECT(ADDRESS(246,22))+INDIRECT(ADDRESS(244,23))-INDIRECT(ADDRESS(245,23))</f>
        <v>0</v>
      </c>
      <c r="X246">
        <f>INDIRECT(ADDRESS(246,23))+INDIRECT(ADDRESS(244,24))-INDIRECT(ADDRESS(245,24))</f>
        <v>0</v>
      </c>
      <c r="Y246">
        <f>INDIRECT(ADDRESS(246,24))+INDIRECT(ADDRESS(244,25))-INDIRECT(ADDRESS(245,25))</f>
        <v>0</v>
      </c>
      <c r="Z246">
        <f>INDIRECT(ADDRESS(246,25))+INDIRECT(ADDRESS(244,26))-INDIRECT(ADDRESS(245,26))</f>
        <v>0</v>
      </c>
      <c r="AA246">
        <f>INDIRECT(ADDRESS(246,26))+INDIRECT(ADDRESS(244,27))-INDIRECT(ADDRESS(245,27))</f>
        <v>0</v>
      </c>
      <c r="AB246">
        <f>INDIRECT(ADDRESS(246,27))+INDIRECT(ADDRESS(244,28))-INDIRECT(ADDRESS(245,28))</f>
        <v>0</v>
      </c>
      <c r="AC246">
        <f>INDIRECT(ADDRESS(246,28))+INDIRECT(ADDRESS(244,29))-INDIRECT(ADDRESS(245,29))</f>
        <v>0</v>
      </c>
      <c r="AD246">
        <f>INDIRECT(ADDRESS(246,29))+INDIRECT(ADDRESS(244,30))-INDIRECT(ADDRESS(245,30))</f>
        <v>0</v>
      </c>
      <c r="AE246">
        <f>INDIRECT(ADDRESS(246,30))+INDIRECT(ADDRESS(244,31))-INDIRECT(ADDRESS(245,31))</f>
        <v>0</v>
      </c>
      <c r="AF246">
        <f>INDIRECT(ADDRESS(246,31))+INDIRECT(ADDRESS(244,32))-INDIRECT(ADDRESS(245,32))</f>
        <v>0</v>
      </c>
      <c r="AG246">
        <f>INDIRECT(ADDRESS(246,32))+INDIRECT(ADDRESS(244,33))-INDIRECT(ADDRESS(245,33))</f>
        <v>0</v>
      </c>
      <c r="AH246">
        <f>INDIRECT(ADDRESS(246,33))+INDIRECT(ADDRESS(244,34))-INDIRECT(ADDRESS(245,34))</f>
        <v>0</v>
      </c>
      <c r="AI246">
        <f>INDIRECT(ADDRESS(246,34))+INDIRECT(ADDRESS(244,35))-INDIRECT(ADDRESS(245,35))</f>
        <v>0</v>
      </c>
      <c r="AJ246">
        <f>INDIRECT(ADDRESS(246,35))+INDIRECT(ADDRESS(244,36))-INDIRECT(ADDRESS(245,36))</f>
        <v>0</v>
      </c>
      <c r="AK246">
        <f>INDIRECT(ADDRESS(246,36))+INDIRECT(ADDRESS(244,37))-INDIRECT(ADDRESS(245,37))</f>
        <v>0</v>
      </c>
      <c r="AL246">
        <f>INDIRECT(ADDRESS(246,37))+INDIRECT(ADDRESS(244,38))-INDIRECT(ADDRESS(245,38))</f>
        <v>0</v>
      </c>
      <c r="AM246">
        <f>INDIRECT(ADDRESS(246,38))+INDIRECT(ADDRESS(244,39))-INDIRECT(ADDRESS(245,39))</f>
        <v>0</v>
      </c>
      <c r="AN246">
        <f>INDIRECT(ADDRESS(246,39))+INDIRECT(ADDRESS(244,40))-INDIRECT(ADDRESS(245,40))</f>
        <v>0</v>
      </c>
      <c r="AO246">
        <f>SUM(INDIRECT(ADDRESS(245,8)):INDIRECT(ADDRESS(245,39)))</f>
        <v>0</v>
      </c>
    </row>
    <row r="247" spans="1:41">
      <c r="A247" t="s">
        <v>180</v>
      </c>
      <c r="B247" t="s">
        <v>282</v>
      </c>
      <c r="C247" t="s">
        <v>283</v>
      </c>
      <c r="E247">
        <v>1</v>
      </c>
      <c r="F247" t="s">
        <v>11</v>
      </c>
      <c r="I247" t="s">
        <v>177</v>
      </c>
    </row>
    <row r="248" spans="1:41">
      <c r="I248" t="s">
        <v>178</v>
      </c>
      <c r="J248">
        <f>IFERROR(VLOOKUP("927-004000-200",B:AB,1+8,0),0)</f>
        <v>0</v>
      </c>
      <c r="K248">
        <f>IFERROR(VLOOKUP("927-004000-200",B:AB,2+8,0),0)</f>
        <v>0</v>
      </c>
      <c r="L248">
        <f>IFERROR(VLOOKUP("927-004000-200",B:AB,3+8,0),0)</f>
        <v>0</v>
      </c>
      <c r="M248">
        <f>IFERROR(VLOOKUP("927-004000-200",B:AB,4+8,0),0)</f>
        <v>0</v>
      </c>
      <c r="N248">
        <f>IFERROR(VLOOKUP("927-004000-200",B:AB,5+8,0),0)</f>
        <v>0</v>
      </c>
      <c r="O248">
        <f>IFERROR(VLOOKUP("927-004000-200",B:AB,6+8,0),0)</f>
        <v>0</v>
      </c>
      <c r="P248">
        <f>IFERROR(VLOOKUP("927-004000-200",B:AB,7+8,0),0)</f>
        <v>0</v>
      </c>
      <c r="Q248">
        <f>IFERROR(VLOOKUP("927-004000-200",B:AB,8+8,0),0)</f>
        <v>0</v>
      </c>
      <c r="R248">
        <f>IFERROR(VLOOKUP("927-004000-200",B:AB,9+8,0),0)</f>
        <v>0</v>
      </c>
      <c r="S248">
        <f>IFERROR(VLOOKUP("927-004000-200",B:AB,10+8,0),0)</f>
        <v>0</v>
      </c>
      <c r="T248">
        <f>IFERROR(VLOOKUP("927-004000-200",B:AB,11+8,0),0)</f>
        <v>0</v>
      </c>
      <c r="U248">
        <f>IFERROR(VLOOKUP("927-004000-200",B:AB,12+8,0),0)</f>
        <v>0</v>
      </c>
      <c r="V248">
        <f>IFERROR(VLOOKUP("927-004000-200",B:AB,13+8,0),0)</f>
        <v>0</v>
      </c>
      <c r="W248">
        <f>IFERROR(VLOOKUP("927-004000-200",B:AB,14+8,0),0)</f>
        <v>0</v>
      </c>
      <c r="X248">
        <f>IFERROR(VLOOKUP("927-004000-200",B:AB,15+8,0),0)</f>
        <v>0</v>
      </c>
      <c r="Y248">
        <f>IFERROR(VLOOKUP("927-004000-200",B:AB,16+8,0),0)</f>
        <v>0</v>
      </c>
      <c r="Z248">
        <f>IFERROR(VLOOKUP("927-004000-200",B:AB,17+8,0),0)</f>
        <v>0</v>
      </c>
      <c r="AA248">
        <f>IFERROR(VLOOKUP("927-004000-200",B:AB,18+8,0),0)</f>
        <v>0</v>
      </c>
      <c r="AB248">
        <f>IFERROR(VLOOKUP("927-004000-200",B:AB,19+8,0),0)</f>
        <v>0</v>
      </c>
      <c r="AC248">
        <f>IFERROR(VLOOKUP("927-004000-200",B:AB,20+8,0),0)</f>
        <v>0</v>
      </c>
      <c r="AD248">
        <f>IFERROR(VLOOKUP("927-004000-200",B:AB,21+8,0),0)</f>
        <v>0</v>
      </c>
      <c r="AE248">
        <f>IFERROR(VLOOKUP("927-004000-200",B:AB,22+8,0),0)</f>
        <v>0</v>
      </c>
      <c r="AF248">
        <f>IFERROR(VLOOKUP("927-004000-200",B:AB,23+8,0),0)</f>
        <v>0</v>
      </c>
      <c r="AG248">
        <f>IFERROR(VLOOKUP("927-004000-200",B:AB,24+8,0),0)</f>
        <v>0</v>
      </c>
      <c r="AH248">
        <f>IFERROR(VLOOKUP("927-004000-200",B:AB,25+8,0),0)</f>
        <v>0</v>
      </c>
      <c r="AI248">
        <f>IFERROR(VLOOKUP("927-004000-200",B:AB,26+8,0),0)</f>
        <v>0</v>
      </c>
      <c r="AJ248">
        <f>IFERROR(VLOOKUP("927-004000-200",B:AB,27+8,0),0)</f>
        <v>0</v>
      </c>
      <c r="AK248">
        <f>IFERROR(VLOOKUP("927-004000-200",B:AB,28+8,0),0)</f>
        <v>0</v>
      </c>
      <c r="AL248">
        <f>IFERROR(VLOOKUP("927-004000-200",B:AB,29+8,0),0)</f>
        <v>0</v>
      </c>
      <c r="AM248">
        <f>IFERROR(VLOOKUP("927-004000-200",B:AB,30+8,0),0)</f>
        <v>0</v>
      </c>
      <c r="AN248">
        <f>IFERROR(VLOOKUP("927-004000-200",B:AB,31+8,0),0)</f>
        <v>0</v>
      </c>
      <c r="AO248">
        <f>SUN(INDIRECT(ADDRESS(247,8)):INDIRECT(ADDRESS(247,39)))</f>
        <v>0</v>
      </c>
    </row>
    <row r="249" spans="1:41">
      <c r="H249" t="s">
        <v>179</v>
      </c>
      <c r="J249">
        <f>INDIRECT(ADDRESS(249,9))+INDIRECT(ADDRESS(247,10))-INDIRECT(ADDRESS(248,10))</f>
        <v>0</v>
      </c>
      <c r="K249">
        <f>INDIRECT(ADDRESS(249,10))+INDIRECT(ADDRESS(247,11))-INDIRECT(ADDRESS(248,11))</f>
        <v>0</v>
      </c>
      <c r="L249">
        <f>INDIRECT(ADDRESS(249,11))+INDIRECT(ADDRESS(247,12))-INDIRECT(ADDRESS(248,12))</f>
        <v>0</v>
      </c>
      <c r="M249">
        <f>INDIRECT(ADDRESS(249,12))+INDIRECT(ADDRESS(247,13))-INDIRECT(ADDRESS(248,13))</f>
        <v>0</v>
      </c>
      <c r="N249">
        <f>INDIRECT(ADDRESS(249,13))+INDIRECT(ADDRESS(247,14))-INDIRECT(ADDRESS(248,14))</f>
        <v>0</v>
      </c>
      <c r="O249">
        <f>INDIRECT(ADDRESS(249,14))+INDIRECT(ADDRESS(247,15))-INDIRECT(ADDRESS(248,15))</f>
        <v>0</v>
      </c>
      <c r="P249">
        <f>INDIRECT(ADDRESS(249,15))+INDIRECT(ADDRESS(247,16))-INDIRECT(ADDRESS(248,16))</f>
        <v>0</v>
      </c>
      <c r="Q249">
        <f>INDIRECT(ADDRESS(249,16))+INDIRECT(ADDRESS(247,17))-INDIRECT(ADDRESS(248,17))</f>
        <v>0</v>
      </c>
      <c r="R249">
        <f>INDIRECT(ADDRESS(249,17))+INDIRECT(ADDRESS(247,18))-INDIRECT(ADDRESS(248,18))</f>
        <v>0</v>
      </c>
      <c r="S249">
        <f>INDIRECT(ADDRESS(249,18))+INDIRECT(ADDRESS(247,19))-INDIRECT(ADDRESS(248,19))</f>
        <v>0</v>
      </c>
      <c r="T249">
        <f>INDIRECT(ADDRESS(249,19))+INDIRECT(ADDRESS(247,20))-INDIRECT(ADDRESS(248,20))</f>
        <v>0</v>
      </c>
      <c r="U249">
        <f>INDIRECT(ADDRESS(249,20))+INDIRECT(ADDRESS(247,21))-INDIRECT(ADDRESS(248,21))</f>
        <v>0</v>
      </c>
      <c r="V249">
        <f>INDIRECT(ADDRESS(249,21))+INDIRECT(ADDRESS(247,22))-INDIRECT(ADDRESS(248,22))</f>
        <v>0</v>
      </c>
      <c r="W249">
        <f>INDIRECT(ADDRESS(249,22))+INDIRECT(ADDRESS(247,23))-INDIRECT(ADDRESS(248,23))</f>
        <v>0</v>
      </c>
      <c r="X249">
        <f>INDIRECT(ADDRESS(249,23))+INDIRECT(ADDRESS(247,24))-INDIRECT(ADDRESS(248,24))</f>
        <v>0</v>
      </c>
      <c r="Y249">
        <f>INDIRECT(ADDRESS(249,24))+INDIRECT(ADDRESS(247,25))-INDIRECT(ADDRESS(248,25))</f>
        <v>0</v>
      </c>
      <c r="Z249">
        <f>INDIRECT(ADDRESS(249,25))+INDIRECT(ADDRESS(247,26))-INDIRECT(ADDRESS(248,26))</f>
        <v>0</v>
      </c>
      <c r="AA249">
        <f>INDIRECT(ADDRESS(249,26))+INDIRECT(ADDRESS(247,27))-INDIRECT(ADDRESS(248,27))</f>
        <v>0</v>
      </c>
      <c r="AB249">
        <f>INDIRECT(ADDRESS(249,27))+INDIRECT(ADDRESS(247,28))-INDIRECT(ADDRESS(248,28))</f>
        <v>0</v>
      </c>
      <c r="AC249">
        <f>INDIRECT(ADDRESS(249,28))+INDIRECT(ADDRESS(247,29))-INDIRECT(ADDRESS(248,29))</f>
        <v>0</v>
      </c>
      <c r="AD249">
        <f>INDIRECT(ADDRESS(249,29))+INDIRECT(ADDRESS(247,30))-INDIRECT(ADDRESS(248,30))</f>
        <v>0</v>
      </c>
      <c r="AE249">
        <f>INDIRECT(ADDRESS(249,30))+INDIRECT(ADDRESS(247,31))-INDIRECT(ADDRESS(248,31))</f>
        <v>0</v>
      </c>
      <c r="AF249">
        <f>INDIRECT(ADDRESS(249,31))+INDIRECT(ADDRESS(247,32))-INDIRECT(ADDRESS(248,32))</f>
        <v>0</v>
      </c>
      <c r="AG249">
        <f>INDIRECT(ADDRESS(249,32))+INDIRECT(ADDRESS(247,33))-INDIRECT(ADDRESS(248,33))</f>
        <v>0</v>
      </c>
      <c r="AH249">
        <f>INDIRECT(ADDRESS(249,33))+INDIRECT(ADDRESS(247,34))-INDIRECT(ADDRESS(248,34))</f>
        <v>0</v>
      </c>
      <c r="AI249">
        <f>INDIRECT(ADDRESS(249,34))+INDIRECT(ADDRESS(247,35))-INDIRECT(ADDRESS(248,35))</f>
        <v>0</v>
      </c>
      <c r="AJ249">
        <f>INDIRECT(ADDRESS(249,35))+INDIRECT(ADDRESS(247,36))-INDIRECT(ADDRESS(248,36))</f>
        <v>0</v>
      </c>
      <c r="AK249">
        <f>INDIRECT(ADDRESS(249,36))+INDIRECT(ADDRESS(247,37))-INDIRECT(ADDRESS(248,37))</f>
        <v>0</v>
      </c>
      <c r="AL249">
        <f>INDIRECT(ADDRESS(249,37))+INDIRECT(ADDRESS(247,38))-INDIRECT(ADDRESS(248,38))</f>
        <v>0</v>
      </c>
      <c r="AM249">
        <f>INDIRECT(ADDRESS(249,38))+INDIRECT(ADDRESS(247,39))-INDIRECT(ADDRESS(248,39))</f>
        <v>0</v>
      </c>
      <c r="AN249">
        <f>INDIRECT(ADDRESS(249,39))+INDIRECT(ADDRESS(247,40))-INDIRECT(ADDRESS(248,40))</f>
        <v>0</v>
      </c>
      <c r="AO249">
        <f>SUM(INDIRECT(ADDRESS(248,8)):INDIRECT(ADDRESS(248,39)))</f>
        <v>0</v>
      </c>
    </row>
    <row r="250" spans="1:41">
      <c r="A250" t="s">
        <v>185</v>
      </c>
      <c r="B250" t="s">
        <v>284</v>
      </c>
      <c r="C250" t="s">
        <v>285</v>
      </c>
      <c r="E250">
        <v>1</v>
      </c>
      <c r="F250" t="s">
        <v>11</v>
      </c>
      <c r="I250" t="s">
        <v>177</v>
      </c>
    </row>
    <row r="251" spans="1:41">
      <c r="I251" t="s">
        <v>178</v>
      </c>
      <c r="J251">
        <f>IFERROR(VLOOKUP("927-004000-200",B:AB,1+8,0),0)</f>
        <v>0</v>
      </c>
      <c r="K251">
        <f>IFERROR(VLOOKUP("927-004000-200",B:AB,2+8,0),0)</f>
        <v>0</v>
      </c>
      <c r="L251">
        <f>IFERROR(VLOOKUP("927-004000-200",B:AB,3+8,0),0)</f>
        <v>0</v>
      </c>
      <c r="M251">
        <f>IFERROR(VLOOKUP("927-004000-200",B:AB,4+8,0),0)</f>
        <v>0</v>
      </c>
      <c r="N251">
        <f>IFERROR(VLOOKUP("927-004000-200",B:AB,5+8,0),0)</f>
        <v>0</v>
      </c>
      <c r="O251">
        <f>IFERROR(VLOOKUP("927-004000-200",B:AB,6+8,0),0)</f>
        <v>0</v>
      </c>
      <c r="P251">
        <f>IFERROR(VLOOKUP("927-004000-200",B:AB,7+8,0),0)</f>
        <v>0</v>
      </c>
      <c r="Q251">
        <f>IFERROR(VLOOKUP("927-004000-200",B:AB,8+8,0),0)</f>
        <v>0</v>
      </c>
      <c r="R251">
        <f>IFERROR(VLOOKUP("927-004000-200",B:AB,9+8,0),0)</f>
        <v>0</v>
      </c>
      <c r="S251">
        <f>IFERROR(VLOOKUP("927-004000-200",B:AB,10+8,0),0)</f>
        <v>0</v>
      </c>
      <c r="T251">
        <f>IFERROR(VLOOKUP("927-004000-200",B:AB,11+8,0),0)</f>
        <v>0</v>
      </c>
      <c r="U251">
        <f>IFERROR(VLOOKUP("927-004000-200",B:AB,12+8,0),0)</f>
        <v>0</v>
      </c>
      <c r="V251">
        <f>IFERROR(VLOOKUP("927-004000-200",B:AB,13+8,0),0)</f>
        <v>0</v>
      </c>
      <c r="W251">
        <f>IFERROR(VLOOKUP("927-004000-200",B:AB,14+8,0),0)</f>
        <v>0</v>
      </c>
      <c r="X251">
        <f>IFERROR(VLOOKUP("927-004000-200",B:AB,15+8,0),0)</f>
        <v>0</v>
      </c>
      <c r="Y251">
        <f>IFERROR(VLOOKUP("927-004000-200",B:AB,16+8,0),0)</f>
        <v>0</v>
      </c>
      <c r="Z251">
        <f>IFERROR(VLOOKUP("927-004000-200",B:AB,17+8,0),0)</f>
        <v>0</v>
      </c>
      <c r="AA251">
        <f>IFERROR(VLOOKUP("927-004000-200",B:AB,18+8,0),0)</f>
        <v>0</v>
      </c>
      <c r="AB251">
        <f>IFERROR(VLOOKUP("927-004000-200",B:AB,19+8,0),0)</f>
        <v>0</v>
      </c>
      <c r="AC251">
        <f>IFERROR(VLOOKUP("927-004000-200",B:AB,20+8,0),0)</f>
        <v>0</v>
      </c>
      <c r="AD251">
        <f>IFERROR(VLOOKUP("927-004000-200",B:AB,21+8,0),0)</f>
        <v>0</v>
      </c>
      <c r="AE251">
        <f>IFERROR(VLOOKUP("927-004000-200",B:AB,22+8,0),0)</f>
        <v>0</v>
      </c>
      <c r="AF251">
        <f>IFERROR(VLOOKUP("927-004000-200",B:AB,23+8,0),0)</f>
        <v>0</v>
      </c>
      <c r="AG251">
        <f>IFERROR(VLOOKUP("927-004000-200",B:AB,24+8,0),0)</f>
        <v>0</v>
      </c>
      <c r="AH251">
        <f>IFERROR(VLOOKUP("927-004000-200",B:AB,25+8,0),0)</f>
        <v>0</v>
      </c>
      <c r="AI251">
        <f>IFERROR(VLOOKUP("927-004000-200",B:AB,26+8,0),0)</f>
        <v>0</v>
      </c>
      <c r="AJ251">
        <f>IFERROR(VLOOKUP("927-004000-200",B:AB,27+8,0),0)</f>
        <v>0</v>
      </c>
      <c r="AK251">
        <f>IFERROR(VLOOKUP("927-004000-200",B:AB,28+8,0),0)</f>
        <v>0</v>
      </c>
      <c r="AL251">
        <f>IFERROR(VLOOKUP("927-004000-200",B:AB,29+8,0),0)</f>
        <v>0</v>
      </c>
      <c r="AM251">
        <f>IFERROR(VLOOKUP("927-004000-200",B:AB,30+8,0),0)</f>
        <v>0</v>
      </c>
      <c r="AN251">
        <f>IFERROR(VLOOKUP("927-004000-200",B:AB,31+8,0),0)</f>
        <v>0</v>
      </c>
      <c r="AO251">
        <f>SUN(INDIRECT(ADDRESS(250,8)):INDIRECT(ADDRESS(250,39)))</f>
        <v>0</v>
      </c>
    </row>
    <row r="252" spans="1:41">
      <c r="H252" t="s">
        <v>179</v>
      </c>
      <c r="J252">
        <f>INDIRECT(ADDRESS(252,9))+INDIRECT(ADDRESS(250,10))-INDIRECT(ADDRESS(251,10))</f>
        <v>0</v>
      </c>
      <c r="K252">
        <f>INDIRECT(ADDRESS(252,10))+INDIRECT(ADDRESS(250,11))-INDIRECT(ADDRESS(251,11))</f>
        <v>0</v>
      </c>
      <c r="L252">
        <f>INDIRECT(ADDRESS(252,11))+INDIRECT(ADDRESS(250,12))-INDIRECT(ADDRESS(251,12))</f>
        <v>0</v>
      </c>
      <c r="M252">
        <f>INDIRECT(ADDRESS(252,12))+INDIRECT(ADDRESS(250,13))-INDIRECT(ADDRESS(251,13))</f>
        <v>0</v>
      </c>
      <c r="N252">
        <f>INDIRECT(ADDRESS(252,13))+INDIRECT(ADDRESS(250,14))-INDIRECT(ADDRESS(251,14))</f>
        <v>0</v>
      </c>
      <c r="O252">
        <f>INDIRECT(ADDRESS(252,14))+INDIRECT(ADDRESS(250,15))-INDIRECT(ADDRESS(251,15))</f>
        <v>0</v>
      </c>
      <c r="P252">
        <f>INDIRECT(ADDRESS(252,15))+INDIRECT(ADDRESS(250,16))-INDIRECT(ADDRESS(251,16))</f>
        <v>0</v>
      </c>
      <c r="Q252">
        <f>INDIRECT(ADDRESS(252,16))+INDIRECT(ADDRESS(250,17))-INDIRECT(ADDRESS(251,17))</f>
        <v>0</v>
      </c>
      <c r="R252">
        <f>INDIRECT(ADDRESS(252,17))+INDIRECT(ADDRESS(250,18))-INDIRECT(ADDRESS(251,18))</f>
        <v>0</v>
      </c>
      <c r="S252">
        <f>INDIRECT(ADDRESS(252,18))+INDIRECT(ADDRESS(250,19))-INDIRECT(ADDRESS(251,19))</f>
        <v>0</v>
      </c>
      <c r="T252">
        <f>INDIRECT(ADDRESS(252,19))+INDIRECT(ADDRESS(250,20))-INDIRECT(ADDRESS(251,20))</f>
        <v>0</v>
      </c>
      <c r="U252">
        <f>INDIRECT(ADDRESS(252,20))+INDIRECT(ADDRESS(250,21))-INDIRECT(ADDRESS(251,21))</f>
        <v>0</v>
      </c>
      <c r="V252">
        <f>INDIRECT(ADDRESS(252,21))+INDIRECT(ADDRESS(250,22))-INDIRECT(ADDRESS(251,22))</f>
        <v>0</v>
      </c>
      <c r="W252">
        <f>INDIRECT(ADDRESS(252,22))+INDIRECT(ADDRESS(250,23))-INDIRECT(ADDRESS(251,23))</f>
        <v>0</v>
      </c>
      <c r="X252">
        <f>INDIRECT(ADDRESS(252,23))+INDIRECT(ADDRESS(250,24))-INDIRECT(ADDRESS(251,24))</f>
        <v>0</v>
      </c>
      <c r="Y252">
        <f>INDIRECT(ADDRESS(252,24))+INDIRECT(ADDRESS(250,25))-INDIRECT(ADDRESS(251,25))</f>
        <v>0</v>
      </c>
      <c r="Z252">
        <f>INDIRECT(ADDRESS(252,25))+INDIRECT(ADDRESS(250,26))-INDIRECT(ADDRESS(251,26))</f>
        <v>0</v>
      </c>
      <c r="AA252">
        <f>INDIRECT(ADDRESS(252,26))+INDIRECT(ADDRESS(250,27))-INDIRECT(ADDRESS(251,27))</f>
        <v>0</v>
      </c>
      <c r="AB252">
        <f>INDIRECT(ADDRESS(252,27))+INDIRECT(ADDRESS(250,28))-INDIRECT(ADDRESS(251,28))</f>
        <v>0</v>
      </c>
      <c r="AC252">
        <f>INDIRECT(ADDRESS(252,28))+INDIRECT(ADDRESS(250,29))-INDIRECT(ADDRESS(251,29))</f>
        <v>0</v>
      </c>
      <c r="AD252">
        <f>INDIRECT(ADDRESS(252,29))+INDIRECT(ADDRESS(250,30))-INDIRECT(ADDRESS(251,30))</f>
        <v>0</v>
      </c>
      <c r="AE252">
        <f>INDIRECT(ADDRESS(252,30))+INDIRECT(ADDRESS(250,31))-INDIRECT(ADDRESS(251,31))</f>
        <v>0</v>
      </c>
      <c r="AF252">
        <f>INDIRECT(ADDRESS(252,31))+INDIRECT(ADDRESS(250,32))-INDIRECT(ADDRESS(251,32))</f>
        <v>0</v>
      </c>
      <c r="AG252">
        <f>INDIRECT(ADDRESS(252,32))+INDIRECT(ADDRESS(250,33))-INDIRECT(ADDRESS(251,33))</f>
        <v>0</v>
      </c>
      <c r="AH252">
        <f>INDIRECT(ADDRESS(252,33))+INDIRECT(ADDRESS(250,34))-INDIRECT(ADDRESS(251,34))</f>
        <v>0</v>
      </c>
      <c r="AI252">
        <f>INDIRECT(ADDRESS(252,34))+INDIRECT(ADDRESS(250,35))-INDIRECT(ADDRESS(251,35))</f>
        <v>0</v>
      </c>
      <c r="AJ252">
        <f>INDIRECT(ADDRESS(252,35))+INDIRECT(ADDRESS(250,36))-INDIRECT(ADDRESS(251,36))</f>
        <v>0</v>
      </c>
      <c r="AK252">
        <f>INDIRECT(ADDRESS(252,36))+INDIRECT(ADDRESS(250,37))-INDIRECT(ADDRESS(251,37))</f>
        <v>0</v>
      </c>
      <c r="AL252">
        <f>INDIRECT(ADDRESS(252,37))+INDIRECT(ADDRESS(250,38))-INDIRECT(ADDRESS(251,38))</f>
        <v>0</v>
      </c>
      <c r="AM252">
        <f>INDIRECT(ADDRESS(252,38))+INDIRECT(ADDRESS(250,39))-INDIRECT(ADDRESS(251,39))</f>
        <v>0</v>
      </c>
      <c r="AN252">
        <f>INDIRECT(ADDRESS(252,39))+INDIRECT(ADDRESS(250,40))-INDIRECT(ADDRESS(251,40))</f>
        <v>0</v>
      </c>
      <c r="AO252">
        <f>SUM(INDIRECT(ADDRESS(251,8)):INDIRECT(ADDRESS(251,39)))</f>
        <v>0</v>
      </c>
    </row>
    <row r="253" spans="1:41">
      <c r="A253" t="s">
        <v>185</v>
      </c>
      <c r="B253" t="s">
        <v>286</v>
      </c>
      <c r="C253" t="s">
        <v>287</v>
      </c>
      <c r="E253">
        <v>1</v>
      </c>
      <c r="F253" t="s">
        <v>11</v>
      </c>
      <c r="I253" t="s">
        <v>177</v>
      </c>
    </row>
    <row r="254" spans="1:41">
      <c r="I254" t="s">
        <v>178</v>
      </c>
      <c r="J254">
        <f>IFERROR(VLOOKUP("927-004000-200",B:AB,1+8,0),0)</f>
        <v>0</v>
      </c>
      <c r="K254">
        <f>IFERROR(VLOOKUP("927-004000-200",B:AB,2+8,0),0)</f>
        <v>0</v>
      </c>
      <c r="L254">
        <f>IFERROR(VLOOKUP("927-004000-200",B:AB,3+8,0),0)</f>
        <v>0</v>
      </c>
      <c r="M254">
        <f>IFERROR(VLOOKUP("927-004000-200",B:AB,4+8,0),0)</f>
        <v>0</v>
      </c>
      <c r="N254">
        <f>IFERROR(VLOOKUP("927-004000-200",B:AB,5+8,0),0)</f>
        <v>0</v>
      </c>
      <c r="O254">
        <f>IFERROR(VLOOKUP("927-004000-200",B:AB,6+8,0),0)</f>
        <v>0</v>
      </c>
      <c r="P254">
        <f>IFERROR(VLOOKUP("927-004000-200",B:AB,7+8,0),0)</f>
        <v>0</v>
      </c>
      <c r="Q254">
        <f>IFERROR(VLOOKUP("927-004000-200",B:AB,8+8,0),0)</f>
        <v>0</v>
      </c>
      <c r="R254">
        <f>IFERROR(VLOOKUP("927-004000-200",B:AB,9+8,0),0)</f>
        <v>0</v>
      </c>
      <c r="S254">
        <f>IFERROR(VLOOKUP("927-004000-200",B:AB,10+8,0),0)</f>
        <v>0</v>
      </c>
      <c r="T254">
        <f>IFERROR(VLOOKUP("927-004000-200",B:AB,11+8,0),0)</f>
        <v>0</v>
      </c>
      <c r="U254">
        <f>IFERROR(VLOOKUP("927-004000-200",B:AB,12+8,0),0)</f>
        <v>0</v>
      </c>
      <c r="V254">
        <f>IFERROR(VLOOKUP("927-004000-200",B:AB,13+8,0),0)</f>
        <v>0</v>
      </c>
      <c r="W254">
        <f>IFERROR(VLOOKUP("927-004000-200",B:AB,14+8,0),0)</f>
        <v>0</v>
      </c>
      <c r="X254">
        <f>IFERROR(VLOOKUP("927-004000-200",B:AB,15+8,0),0)</f>
        <v>0</v>
      </c>
      <c r="Y254">
        <f>IFERROR(VLOOKUP("927-004000-200",B:AB,16+8,0),0)</f>
        <v>0</v>
      </c>
      <c r="Z254">
        <f>IFERROR(VLOOKUP("927-004000-200",B:AB,17+8,0),0)</f>
        <v>0</v>
      </c>
      <c r="AA254">
        <f>IFERROR(VLOOKUP("927-004000-200",B:AB,18+8,0),0)</f>
        <v>0</v>
      </c>
      <c r="AB254">
        <f>IFERROR(VLOOKUP("927-004000-200",B:AB,19+8,0),0)</f>
        <v>0</v>
      </c>
      <c r="AC254">
        <f>IFERROR(VLOOKUP("927-004000-200",B:AB,20+8,0),0)</f>
        <v>0</v>
      </c>
      <c r="AD254">
        <f>IFERROR(VLOOKUP("927-004000-200",B:AB,21+8,0),0)</f>
        <v>0</v>
      </c>
      <c r="AE254">
        <f>IFERROR(VLOOKUP("927-004000-200",B:AB,22+8,0),0)</f>
        <v>0</v>
      </c>
      <c r="AF254">
        <f>IFERROR(VLOOKUP("927-004000-200",B:AB,23+8,0),0)</f>
        <v>0</v>
      </c>
      <c r="AG254">
        <f>IFERROR(VLOOKUP("927-004000-200",B:AB,24+8,0),0)</f>
        <v>0</v>
      </c>
      <c r="AH254">
        <f>IFERROR(VLOOKUP("927-004000-200",B:AB,25+8,0),0)</f>
        <v>0</v>
      </c>
      <c r="AI254">
        <f>IFERROR(VLOOKUP("927-004000-200",B:AB,26+8,0),0)</f>
        <v>0</v>
      </c>
      <c r="AJ254">
        <f>IFERROR(VLOOKUP("927-004000-200",B:AB,27+8,0),0)</f>
        <v>0</v>
      </c>
      <c r="AK254">
        <f>IFERROR(VLOOKUP("927-004000-200",B:AB,28+8,0),0)</f>
        <v>0</v>
      </c>
      <c r="AL254">
        <f>IFERROR(VLOOKUP("927-004000-200",B:AB,29+8,0),0)</f>
        <v>0</v>
      </c>
      <c r="AM254">
        <f>IFERROR(VLOOKUP("927-004000-200",B:AB,30+8,0),0)</f>
        <v>0</v>
      </c>
      <c r="AN254">
        <f>IFERROR(VLOOKUP("927-004000-200",B:AB,31+8,0),0)</f>
        <v>0</v>
      </c>
      <c r="AO254">
        <f>SUN(INDIRECT(ADDRESS(253,8)):INDIRECT(ADDRESS(253,39)))</f>
        <v>0</v>
      </c>
    </row>
    <row r="255" spans="1:41">
      <c r="H255" t="s">
        <v>179</v>
      </c>
      <c r="J255">
        <f>INDIRECT(ADDRESS(255,9))+INDIRECT(ADDRESS(253,10))-INDIRECT(ADDRESS(254,10))</f>
        <v>0</v>
      </c>
      <c r="K255">
        <f>INDIRECT(ADDRESS(255,10))+INDIRECT(ADDRESS(253,11))-INDIRECT(ADDRESS(254,11))</f>
        <v>0</v>
      </c>
      <c r="L255">
        <f>INDIRECT(ADDRESS(255,11))+INDIRECT(ADDRESS(253,12))-INDIRECT(ADDRESS(254,12))</f>
        <v>0</v>
      </c>
      <c r="M255">
        <f>INDIRECT(ADDRESS(255,12))+INDIRECT(ADDRESS(253,13))-INDIRECT(ADDRESS(254,13))</f>
        <v>0</v>
      </c>
      <c r="N255">
        <f>INDIRECT(ADDRESS(255,13))+INDIRECT(ADDRESS(253,14))-INDIRECT(ADDRESS(254,14))</f>
        <v>0</v>
      </c>
      <c r="O255">
        <f>INDIRECT(ADDRESS(255,14))+INDIRECT(ADDRESS(253,15))-INDIRECT(ADDRESS(254,15))</f>
        <v>0</v>
      </c>
      <c r="P255">
        <f>INDIRECT(ADDRESS(255,15))+INDIRECT(ADDRESS(253,16))-INDIRECT(ADDRESS(254,16))</f>
        <v>0</v>
      </c>
      <c r="Q255">
        <f>INDIRECT(ADDRESS(255,16))+INDIRECT(ADDRESS(253,17))-INDIRECT(ADDRESS(254,17))</f>
        <v>0</v>
      </c>
      <c r="R255">
        <f>INDIRECT(ADDRESS(255,17))+INDIRECT(ADDRESS(253,18))-INDIRECT(ADDRESS(254,18))</f>
        <v>0</v>
      </c>
      <c r="S255">
        <f>INDIRECT(ADDRESS(255,18))+INDIRECT(ADDRESS(253,19))-INDIRECT(ADDRESS(254,19))</f>
        <v>0</v>
      </c>
      <c r="T255">
        <f>INDIRECT(ADDRESS(255,19))+INDIRECT(ADDRESS(253,20))-INDIRECT(ADDRESS(254,20))</f>
        <v>0</v>
      </c>
      <c r="U255">
        <f>INDIRECT(ADDRESS(255,20))+INDIRECT(ADDRESS(253,21))-INDIRECT(ADDRESS(254,21))</f>
        <v>0</v>
      </c>
      <c r="V255">
        <f>INDIRECT(ADDRESS(255,21))+INDIRECT(ADDRESS(253,22))-INDIRECT(ADDRESS(254,22))</f>
        <v>0</v>
      </c>
      <c r="W255">
        <f>INDIRECT(ADDRESS(255,22))+INDIRECT(ADDRESS(253,23))-INDIRECT(ADDRESS(254,23))</f>
        <v>0</v>
      </c>
      <c r="X255">
        <f>INDIRECT(ADDRESS(255,23))+INDIRECT(ADDRESS(253,24))-INDIRECT(ADDRESS(254,24))</f>
        <v>0</v>
      </c>
      <c r="Y255">
        <f>INDIRECT(ADDRESS(255,24))+INDIRECT(ADDRESS(253,25))-INDIRECT(ADDRESS(254,25))</f>
        <v>0</v>
      </c>
      <c r="Z255">
        <f>INDIRECT(ADDRESS(255,25))+INDIRECT(ADDRESS(253,26))-INDIRECT(ADDRESS(254,26))</f>
        <v>0</v>
      </c>
      <c r="AA255">
        <f>INDIRECT(ADDRESS(255,26))+INDIRECT(ADDRESS(253,27))-INDIRECT(ADDRESS(254,27))</f>
        <v>0</v>
      </c>
      <c r="AB255">
        <f>INDIRECT(ADDRESS(255,27))+INDIRECT(ADDRESS(253,28))-INDIRECT(ADDRESS(254,28))</f>
        <v>0</v>
      </c>
      <c r="AC255">
        <f>INDIRECT(ADDRESS(255,28))+INDIRECT(ADDRESS(253,29))-INDIRECT(ADDRESS(254,29))</f>
        <v>0</v>
      </c>
      <c r="AD255">
        <f>INDIRECT(ADDRESS(255,29))+INDIRECT(ADDRESS(253,30))-INDIRECT(ADDRESS(254,30))</f>
        <v>0</v>
      </c>
      <c r="AE255">
        <f>INDIRECT(ADDRESS(255,30))+INDIRECT(ADDRESS(253,31))-INDIRECT(ADDRESS(254,31))</f>
        <v>0</v>
      </c>
      <c r="AF255">
        <f>INDIRECT(ADDRESS(255,31))+INDIRECT(ADDRESS(253,32))-INDIRECT(ADDRESS(254,32))</f>
        <v>0</v>
      </c>
      <c r="AG255">
        <f>INDIRECT(ADDRESS(255,32))+INDIRECT(ADDRESS(253,33))-INDIRECT(ADDRESS(254,33))</f>
        <v>0</v>
      </c>
      <c r="AH255">
        <f>INDIRECT(ADDRESS(255,33))+INDIRECT(ADDRESS(253,34))-INDIRECT(ADDRESS(254,34))</f>
        <v>0</v>
      </c>
      <c r="AI255">
        <f>INDIRECT(ADDRESS(255,34))+INDIRECT(ADDRESS(253,35))-INDIRECT(ADDRESS(254,35))</f>
        <v>0</v>
      </c>
      <c r="AJ255">
        <f>INDIRECT(ADDRESS(255,35))+INDIRECT(ADDRESS(253,36))-INDIRECT(ADDRESS(254,36))</f>
        <v>0</v>
      </c>
      <c r="AK255">
        <f>INDIRECT(ADDRESS(255,36))+INDIRECT(ADDRESS(253,37))-INDIRECT(ADDRESS(254,37))</f>
        <v>0</v>
      </c>
      <c r="AL255">
        <f>INDIRECT(ADDRESS(255,37))+INDIRECT(ADDRESS(253,38))-INDIRECT(ADDRESS(254,38))</f>
        <v>0</v>
      </c>
      <c r="AM255">
        <f>INDIRECT(ADDRESS(255,38))+INDIRECT(ADDRESS(253,39))-INDIRECT(ADDRESS(254,39))</f>
        <v>0</v>
      </c>
      <c r="AN255">
        <f>INDIRECT(ADDRESS(255,39))+INDIRECT(ADDRESS(253,40))-INDIRECT(ADDRESS(254,40))</f>
        <v>0</v>
      </c>
      <c r="AO255">
        <f>SUM(INDIRECT(ADDRESS(254,8)):INDIRECT(ADDRESS(254,39)))</f>
        <v>0</v>
      </c>
    </row>
    <row r="256" spans="1:41">
      <c r="A256" t="s">
        <v>238</v>
      </c>
      <c r="B256" t="s">
        <v>288</v>
      </c>
      <c r="C256" t="s">
        <v>289</v>
      </c>
      <c r="E256">
        <v>0.1667</v>
      </c>
      <c r="F256" t="s">
        <v>11</v>
      </c>
      <c r="I256" t="s">
        <v>177</v>
      </c>
    </row>
    <row r="257" spans="1:41">
      <c r="I257" t="s">
        <v>178</v>
      </c>
      <c r="J257">
        <f>IFERROR(VLOOKUP("927-004000-200",B:AB,1+8,0),0)</f>
        <v>0</v>
      </c>
      <c r="K257">
        <f>IFERROR(VLOOKUP("927-004000-200",B:AB,2+8,0),0)</f>
        <v>0</v>
      </c>
      <c r="L257">
        <f>IFERROR(VLOOKUP("927-004000-200",B:AB,3+8,0),0)</f>
        <v>0</v>
      </c>
      <c r="M257">
        <f>IFERROR(VLOOKUP("927-004000-200",B:AB,4+8,0),0)</f>
        <v>0</v>
      </c>
      <c r="N257">
        <f>IFERROR(VLOOKUP("927-004000-200",B:AB,5+8,0),0)</f>
        <v>0</v>
      </c>
      <c r="O257">
        <f>IFERROR(VLOOKUP("927-004000-200",B:AB,6+8,0),0)</f>
        <v>0</v>
      </c>
      <c r="P257">
        <f>IFERROR(VLOOKUP("927-004000-200",B:AB,7+8,0),0)</f>
        <v>0</v>
      </c>
      <c r="Q257">
        <f>IFERROR(VLOOKUP("927-004000-200",B:AB,8+8,0),0)</f>
        <v>0</v>
      </c>
      <c r="R257">
        <f>IFERROR(VLOOKUP("927-004000-200",B:AB,9+8,0),0)</f>
        <v>0</v>
      </c>
      <c r="S257">
        <f>IFERROR(VLOOKUP("927-004000-200",B:AB,10+8,0),0)</f>
        <v>0</v>
      </c>
      <c r="T257">
        <f>IFERROR(VLOOKUP("927-004000-200",B:AB,11+8,0),0)</f>
        <v>0</v>
      </c>
      <c r="U257">
        <f>IFERROR(VLOOKUP("927-004000-200",B:AB,12+8,0),0)</f>
        <v>0</v>
      </c>
      <c r="V257">
        <f>IFERROR(VLOOKUP("927-004000-200",B:AB,13+8,0),0)</f>
        <v>0</v>
      </c>
      <c r="W257">
        <f>IFERROR(VLOOKUP("927-004000-200",B:AB,14+8,0),0)</f>
        <v>0</v>
      </c>
      <c r="X257">
        <f>IFERROR(VLOOKUP("927-004000-200",B:AB,15+8,0),0)</f>
        <v>0</v>
      </c>
      <c r="Y257">
        <f>IFERROR(VLOOKUP("927-004000-200",B:AB,16+8,0),0)</f>
        <v>0</v>
      </c>
      <c r="Z257">
        <f>IFERROR(VLOOKUP("927-004000-200",B:AB,17+8,0),0)</f>
        <v>0</v>
      </c>
      <c r="AA257">
        <f>IFERROR(VLOOKUP("927-004000-200",B:AB,18+8,0),0)</f>
        <v>0</v>
      </c>
      <c r="AB257">
        <f>IFERROR(VLOOKUP("927-004000-200",B:AB,19+8,0),0)</f>
        <v>0</v>
      </c>
      <c r="AC257">
        <f>IFERROR(VLOOKUP("927-004000-200",B:AB,20+8,0),0)</f>
        <v>0</v>
      </c>
      <c r="AD257">
        <f>IFERROR(VLOOKUP("927-004000-200",B:AB,21+8,0),0)</f>
        <v>0</v>
      </c>
      <c r="AE257">
        <f>IFERROR(VLOOKUP("927-004000-200",B:AB,22+8,0),0)</f>
        <v>0</v>
      </c>
      <c r="AF257">
        <f>IFERROR(VLOOKUP("927-004000-200",B:AB,23+8,0),0)</f>
        <v>0</v>
      </c>
      <c r="AG257">
        <f>IFERROR(VLOOKUP("927-004000-200",B:AB,24+8,0),0)</f>
        <v>0</v>
      </c>
      <c r="AH257">
        <f>IFERROR(VLOOKUP("927-004000-200",B:AB,25+8,0),0)</f>
        <v>0</v>
      </c>
      <c r="AI257">
        <f>IFERROR(VLOOKUP("927-004000-200",B:AB,26+8,0),0)</f>
        <v>0</v>
      </c>
      <c r="AJ257">
        <f>IFERROR(VLOOKUP("927-004000-200",B:AB,27+8,0),0)</f>
        <v>0</v>
      </c>
      <c r="AK257">
        <f>IFERROR(VLOOKUP("927-004000-200",B:AB,28+8,0),0)</f>
        <v>0</v>
      </c>
      <c r="AL257">
        <f>IFERROR(VLOOKUP("927-004000-200",B:AB,29+8,0),0)</f>
        <v>0</v>
      </c>
      <c r="AM257">
        <f>IFERROR(VLOOKUP("927-004000-200",B:AB,30+8,0),0)</f>
        <v>0</v>
      </c>
      <c r="AN257">
        <f>IFERROR(VLOOKUP("927-004000-200",B:AB,31+8,0),0)</f>
        <v>0</v>
      </c>
      <c r="AO257">
        <f>SUN(INDIRECT(ADDRESS(256,8)):INDIRECT(ADDRESS(256,39)))</f>
        <v>0</v>
      </c>
    </row>
    <row r="258" spans="1:41">
      <c r="H258" t="s">
        <v>179</v>
      </c>
      <c r="J258">
        <f>INDIRECT(ADDRESS(258,9))+INDIRECT(ADDRESS(256,10))-INDIRECT(ADDRESS(257,10))</f>
        <v>0</v>
      </c>
      <c r="K258">
        <f>INDIRECT(ADDRESS(258,10))+INDIRECT(ADDRESS(256,11))-INDIRECT(ADDRESS(257,11))</f>
        <v>0</v>
      </c>
      <c r="L258">
        <f>INDIRECT(ADDRESS(258,11))+INDIRECT(ADDRESS(256,12))-INDIRECT(ADDRESS(257,12))</f>
        <v>0</v>
      </c>
      <c r="M258">
        <f>INDIRECT(ADDRESS(258,12))+INDIRECT(ADDRESS(256,13))-INDIRECT(ADDRESS(257,13))</f>
        <v>0</v>
      </c>
      <c r="N258">
        <f>INDIRECT(ADDRESS(258,13))+INDIRECT(ADDRESS(256,14))-INDIRECT(ADDRESS(257,14))</f>
        <v>0</v>
      </c>
      <c r="O258">
        <f>INDIRECT(ADDRESS(258,14))+INDIRECT(ADDRESS(256,15))-INDIRECT(ADDRESS(257,15))</f>
        <v>0</v>
      </c>
      <c r="P258">
        <f>INDIRECT(ADDRESS(258,15))+INDIRECT(ADDRESS(256,16))-INDIRECT(ADDRESS(257,16))</f>
        <v>0</v>
      </c>
      <c r="Q258">
        <f>INDIRECT(ADDRESS(258,16))+INDIRECT(ADDRESS(256,17))-INDIRECT(ADDRESS(257,17))</f>
        <v>0</v>
      </c>
      <c r="R258">
        <f>INDIRECT(ADDRESS(258,17))+INDIRECT(ADDRESS(256,18))-INDIRECT(ADDRESS(257,18))</f>
        <v>0</v>
      </c>
      <c r="S258">
        <f>INDIRECT(ADDRESS(258,18))+INDIRECT(ADDRESS(256,19))-INDIRECT(ADDRESS(257,19))</f>
        <v>0</v>
      </c>
      <c r="T258">
        <f>INDIRECT(ADDRESS(258,19))+INDIRECT(ADDRESS(256,20))-INDIRECT(ADDRESS(257,20))</f>
        <v>0</v>
      </c>
      <c r="U258">
        <f>INDIRECT(ADDRESS(258,20))+INDIRECT(ADDRESS(256,21))-INDIRECT(ADDRESS(257,21))</f>
        <v>0</v>
      </c>
      <c r="V258">
        <f>INDIRECT(ADDRESS(258,21))+INDIRECT(ADDRESS(256,22))-INDIRECT(ADDRESS(257,22))</f>
        <v>0</v>
      </c>
      <c r="W258">
        <f>INDIRECT(ADDRESS(258,22))+INDIRECT(ADDRESS(256,23))-INDIRECT(ADDRESS(257,23))</f>
        <v>0</v>
      </c>
      <c r="X258">
        <f>INDIRECT(ADDRESS(258,23))+INDIRECT(ADDRESS(256,24))-INDIRECT(ADDRESS(257,24))</f>
        <v>0</v>
      </c>
      <c r="Y258">
        <f>INDIRECT(ADDRESS(258,24))+INDIRECT(ADDRESS(256,25))-INDIRECT(ADDRESS(257,25))</f>
        <v>0</v>
      </c>
      <c r="Z258">
        <f>INDIRECT(ADDRESS(258,25))+INDIRECT(ADDRESS(256,26))-INDIRECT(ADDRESS(257,26))</f>
        <v>0</v>
      </c>
      <c r="AA258">
        <f>INDIRECT(ADDRESS(258,26))+INDIRECT(ADDRESS(256,27))-INDIRECT(ADDRESS(257,27))</f>
        <v>0</v>
      </c>
      <c r="AB258">
        <f>INDIRECT(ADDRESS(258,27))+INDIRECT(ADDRESS(256,28))-INDIRECT(ADDRESS(257,28))</f>
        <v>0</v>
      </c>
      <c r="AC258">
        <f>INDIRECT(ADDRESS(258,28))+INDIRECT(ADDRESS(256,29))-INDIRECT(ADDRESS(257,29))</f>
        <v>0</v>
      </c>
      <c r="AD258">
        <f>INDIRECT(ADDRESS(258,29))+INDIRECT(ADDRESS(256,30))-INDIRECT(ADDRESS(257,30))</f>
        <v>0</v>
      </c>
      <c r="AE258">
        <f>INDIRECT(ADDRESS(258,30))+INDIRECT(ADDRESS(256,31))-INDIRECT(ADDRESS(257,31))</f>
        <v>0</v>
      </c>
      <c r="AF258">
        <f>INDIRECT(ADDRESS(258,31))+INDIRECT(ADDRESS(256,32))-INDIRECT(ADDRESS(257,32))</f>
        <v>0</v>
      </c>
      <c r="AG258">
        <f>INDIRECT(ADDRESS(258,32))+INDIRECT(ADDRESS(256,33))-INDIRECT(ADDRESS(257,33))</f>
        <v>0</v>
      </c>
      <c r="AH258">
        <f>INDIRECT(ADDRESS(258,33))+INDIRECT(ADDRESS(256,34))-INDIRECT(ADDRESS(257,34))</f>
        <v>0</v>
      </c>
      <c r="AI258">
        <f>INDIRECT(ADDRESS(258,34))+INDIRECT(ADDRESS(256,35))-INDIRECT(ADDRESS(257,35))</f>
        <v>0</v>
      </c>
      <c r="AJ258">
        <f>INDIRECT(ADDRESS(258,35))+INDIRECT(ADDRESS(256,36))-INDIRECT(ADDRESS(257,36))</f>
        <v>0</v>
      </c>
      <c r="AK258">
        <f>INDIRECT(ADDRESS(258,36))+INDIRECT(ADDRESS(256,37))-INDIRECT(ADDRESS(257,37))</f>
        <v>0</v>
      </c>
      <c r="AL258">
        <f>INDIRECT(ADDRESS(258,37))+INDIRECT(ADDRESS(256,38))-INDIRECT(ADDRESS(257,38))</f>
        <v>0</v>
      </c>
      <c r="AM258">
        <f>INDIRECT(ADDRESS(258,38))+INDIRECT(ADDRESS(256,39))-INDIRECT(ADDRESS(257,39))</f>
        <v>0</v>
      </c>
      <c r="AN258">
        <f>INDIRECT(ADDRESS(258,39))+INDIRECT(ADDRESS(256,40))-INDIRECT(ADDRESS(257,40))</f>
        <v>0</v>
      </c>
      <c r="AO258">
        <f>SUM(INDIRECT(ADDRESS(257,8)):INDIRECT(ADDRESS(257,39)))</f>
        <v>0</v>
      </c>
    </row>
    <row r="259" spans="1:41">
      <c r="A259" t="s">
        <v>8</v>
      </c>
      <c r="B259" t="s">
        <v>27</v>
      </c>
      <c r="C259" t="s">
        <v>28</v>
      </c>
      <c r="E259">
        <v>1</v>
      </c>
      <c r="F259" t="s">
        <v>11</v>
      </c>
      <c r="I259" t="s">
        <v>177</v>
      </c>
    </row>
    <row r="260" spans="1:41">
      <c r="I260" t="s">
        <v>178</v>
      </c>
      <c r="J260">
        <f>IFERROR(VLOOKUP("927-004000-100",Out!B:AB,1+8,0),0)</f>
        <v>0</v>
      </c>
      <c r="K260">
        <f>IFERROR(VLOOKUP("927-004000-100",Out!B:AB,2+8,0),0)</f>
        <v>0</v>
      </c>
      <c r="L260">
        <f>IFERROR(VLOOKUP("927-004000-100",Out!B:AB,3+8,0),0)</f>
        <v>0</v>
      </c>
      <c r="M260">
        <f>IFERROR(VLOOKUP("927-004000-100",Out!B:AB,4+8,0),0)</f>
        <v>0</v>
      </c>
      <c r="N260">
        <f>IFERROR(VLOOKUP("927-004000-100",Out!B:AB,5+8,0),0)</f>
        <v>0</v>
      </c>
      <c r="O260">
        <f>IFERROR(VLOOKUP("927-004000-100",Out!B:AB,6+8,0),0)</f>
        <v>0</v>
      </c>
      <c r="P260">
        <f>IFERROR(VLOOKUP("927-004000-100",Out!B:AB,7+8,0),0)</f>
        <v>0</v>
      </c>
      <c r="Q260">
        <f>IFERROR(VLOOKUP("927-004000-100",Out!B:AB,8+8,0),0)</f>
        <v>0</v>
      </c>
      <c r="R260">
        <f>IFERROR(VLOOKUP("927-004000-100",Out!B:AB,9+8,0),0)</f>
        <v>0</v>
      </c>
      <c r="S260">
        <f>IFERROR(VLOOKUP("927-004000-100",Out!B:AB,10+8,0),0)</f>
        <v>0</v>
      </c>
      <c r="T260">
        <f>IFERROR(VLOOKUP("927-004000-100",Out!B:AB,11+8,0),0)</f>
        <v>0</v>
      </c>
      <c r="U260">
        <f>IFERROR(VLOOKUP("927-004000-100",Out!B:AB,12+8,0),0)</f>
        <v>0</v>
      </c>
      <c r="V260">
        <f>IFERROR(VLOOKUP("927-004000-100",Out!B:AB,13+8,0),0)</f>
        <v>0</v>
      </c>
      <c r="W260">
        <f>IFERROR(VLOOKUP("927-004000-100",Out!B:AB,14+8,0),0)</f>
        <v>0</v>
      </c>
      <c r="X260">
        <f>IFERROR(VLOOKUP("927-004000-100",Out!B:AB,15+8,0),0)</f>
        <v>0</v>
      </c>
      <c r="Y260">
        <f>IFERROR(VLOOKUP("927-004000-100",Out!B:AB,16+8,0),0)</f>
        <v>0</v>
      </c>
      <c r="Z260">
        <f>IFERROR(VLOOKUP("927-004000-100",Out!B:AB,17+8,0),0)</f>
        <v>0</v>
      </c>
      <c r="AA260">
        <f>IFERROR(VLOOKUP("927-004000-100",Out!B:AB,18+8,0),0)</f>
        <v>0</v>
      </c>
      <c r="AB260">
        <f>IFERROR(VLOOKUP("927-004000-100",Out!B:AB,19+8,0),0)</f>
        <v>0</v>
      </c>
      <c r="AC260">
        <f>IFERROR(VLOOKUP("927-004000-100",Out!B:AB,20+8,0),0)</f>
        <v>0</v>
      </c>
      <c r="AD260">
        <f>IFERROR(VLOOKUP("927-004000-100",Out!B:AB,21+8,0),0)</f>
        <v>0</v>
      </c>
      <c r="AE260">
        <f>IFERROR(VLOOKUP("927-004000-100",Out!B:AB,22+8,0),0)</f>
        <v>0</v>
      </c>
      <c r="AF260">
        <f>IFERROR(VLOOKUP("927-004000-100",Out!B:AB,23+8,0),0)</f>
        <v>0</v>
      </c>
      <c r="AG260">
        <f>IFERROR(VLOOKUP("927-004000-100",Out!B:AB,24+8,0),0)</f>
        <v>0</v>
      </c>
      <c r="AH260">
        <f>IFERROR(VLOOKUP("927-004000-100",Out!B:AB,25+8,0),0)</f>
        <v>0</v>
      </c>
      <c r="AI260">
        <f>IFERROR(VLOOKUP("927-004000-100",Out!B:AB,26+8,0),0)</f>
        <v>0</v>
      </c>
      <c r="AJ260">
        <f>IFERROR(VLOOKUP("927-004000-100",Out!B:AB,27+8,0),0)</f>
        <v>0</v>
      </c>
      <c r="AK260">
        <f>IFERROR(VLOOKUP("927-004000-100",Out!B:AB,28+8,0),0)</f>
        <v>0</v>
      </c>
      <c r="AL260">
        <f>IFERROR(VLOOKUP("927-004000-100",Out!B:AB,29+8,0),0)</f>
        <v>0</v>
      </c>
      <c r="AM260">
        <f>IFERROR(VLOOKUP("927-004000-100",Out!B:AB,30+8,0),0)</f>
        <v>0</v>
      </c>
      <c r="AN260">
        <f>IFERROR(VLOOKUP("927-004000-100",Out!B:AB,31+8,0),0)</f>
        <v>0</v>
      </c>
      <c r="AO260">
        <f>SUN(INDIRECT(ADDRESS(259,8)):INDIRECT(ADDRESS(259,39)))</f>
        <v>0</v>
      </c>
    </row>
    <row r="261" spans="1:41">
      <c r="H261" t="s">
        <v>179</v>
      </c>
      <c r="J261">
        <f>INDIRECT(ADDRESS(261,9))+INDIRECT(ADDRESS(259,10))-INDIRECT(ADDRESS(260,10))</f>
        <v>0</v>
      </c>
      <c r="K261">
        <f>INDIRECT(ADDRESS(261,10))+INDIRECT(ADDRESS(259,11))-INDIRECT(ADDRESS(260,11))</f>
        <v>0</v>
      </c>
      <c r="L261">
        <f>INDIRECT(ADDRESS(261,11))+INDIRECT(ADDRESS(259,12))-INDIRECT(ADDRESS(260,12))</f>
        <v>0</v>
      </c>
      <c r="M261">
        <f>INDIRECT(ADDRESS(261,12))+INDIRECT(ADDRESS(259,13))-INDIRECT(ADDRESS(260,13))</f>
        <v>0</v>
      </c>
      <c r="N261">
        <f>INDIRECT(ADDRESS(261,13))+INDIRECT(ADDRESS(259,14))-INDIRECT(ADDRESS(260,14))</f>
        <v>0</v>
      </c>
      <c r="O261">
        <f>INDIRECT(ADDRESS(261,14))+INDIRECT(ADDRESS(259,15))-INDIRECT(ADDRESS(260,15))</f>
        <v>0</v>
      </c>
      <c r="P261">
        <f>INDIRECT(ADDRESS(261,15))+INDIRECT(ADDRESS(259,16))-INDIRECT(ADDRESS(260,16))</f>
        <v>0</v>
      </c>
      <c r="Q261">
        <f>INDIRECT(ADDRESS(261,16))+INDIRECT(ADDRESS(259,17))-INDIRECT(ADDRESS(260,17))</f>
        <v>0</v>
      </c>
      <c r="R261">
        <f>INDIRECT(ADDRESS(261,17))+INDIRECT(ADDRESS(259,18))-INDIRECT(ADDRESS(260,18))</f>
        <v>0</v>
      </c>
      <c r="S261">
        <f>INDIRECT(ADDRESS(261,18))+INDIRECT(ADDRESS(259,19))-INDIRECT(ADDRESS(260,19))</f>
        <v>0</v>
      </c>
      <c r="T261">
        <f>INDIRECT(ADDRESS(261,19))+INDIRECT(ADDRESS(259,20))-INDIRECT(ADDRESS(260,20))</f>
        <v>0</v>
      </c>
      <c r="U261">
        <f>INDIRECT(ADDRESS(261,20))+INDIRECT(ADDRESS(259,21))-INDIRECT(ADDRESS(260,21))</f>
        <v>0</v>
      </c>
      <c r="V261">
        <f>INDIRECT(ADDRESS(261,21))+INDIRECT(ADDRESS(259,22))-INDIRECT(ADDRESS(260,22))</f>
        <v>0</v>
      </c>
      <c r="W261">
        <f>INDIRECT(ADDRESS(261,22))+INDIRECT(ADDRESS(259,23))-INDIRECT(ADDRESS(260,23))</f>
        <v>0</v>
      </c>
      <c r="X261">
        <f>INDIRECT(ADDRESS(261,23))+INDIRECT(ADDRESS(259,24))-INDIRECT(ADDRESS(260,24))</f>
        <v>0</v>
      </c>
      <c r="Y261">
        <f>INDIRECT(ADDRESS(261,24))+INDIRECT(ADDRESS(259,25))-INDIRECT(ADDRESS(260,25))</f>
        <v>0</v>
      </c>
      <c r="Z261">
        <f>INDIRECT(ADDRESS(261,25))+INDIRECT(ADDRESS(259,26))-INDIRECT(ADDRESS(260,26))</f>
        <v>0</v>
      </c>
      <c r="AA261">
        <f>INDIRECT(ADDRESS(261,26))+INDIRECT(ADDRESS(259,27))-INDIRECT(ADDRESS(260,27))</f>
        <v>0</v>
      </c>
      <c r="AB261">
        <f>INDIRECT(ADDRESS(261,27))+INDIRECT(ADDRESS(259,28))-INDIRECT(ADDRESS(260,28))</f>
        <v>0</v>
      </c>
      <c r="AC261">
        <f>INDIRECT(ADDRESS(261,28))+INDIRECT(ADDRESS(259,29))-INDIRECT(ADDRESS(260,29))</f>
        <v>0</v>
      </c>
      <c r="AD261">
        <f>INDIRECT(ADDRESS(261,29))+INDIRECT(ADDRESS(259,30))-INDIRECT(ADDRESS(260,30))</f>
        <v>0</v>
      </c>
      <c r="AE261">
        <f>INDIRECT(ADDRESS(261,30))+INDIRECT(ADDRESS(259,31))-INDIRECT(ADDRESS(260,31))</f>
        <v>0</v>
      </c>
      <c r="AF261">
        <f>INDIRECT(ADDRESS(261,31))+INDIRECT(ADDRESS(259,32))-INDIRECT(ADDRESS(260,32))</f>
        <v>0</v>
      </c>
      <c r="AG261">
        <f>INDIRECT(ADDRESS(261,32))+INDIRECT(ADDRESS(259,33))-INDIRECT(ADDRESS(260,33))</f>
        <v>0</v>
      </c>
      <c r="AH261">
        <f>INDIRECT(ADDRESS(261,33))+INDIRECT(ADDRESS(259,34))-INDIRECT(ADDRESS(260,34))</f>
        <v>0</v>
      </c>
      <c r="AI261">
        <f>INDIRECT(ADDRESS(261,34))+INDIRECT(ADDRESS(259,35))-INDIRECT(ADDRESS(260,35))</f>
        <v>0</v>
      </c>
      <c r="AJ261">
        <f>INDIRECT(ADDRESS(261,35))+INDIRECT(ADDRESS(259,36))-INDIRECT(ADDRESS(260,36))</f>
        <v>0</v>
      </c>
      <c r="AK261">
        <f>INDIRECT(ADDRESS(261,36))+INDIRECT(ADDRESS(259,37))-INDIRECT(ADDRESS(260,37))</f>
        <v>0</v>
      </c>
      <c r="AL261">
        <f>INDIRECT(ADDRESS(261,37))+INDIRECT(ADDRESS(259,38))-INDIRECT(ADDRESS(260,38))</f>
        <v>0</v>
      </c>
      <c r="AM261">
        <f>INDIRECT(ADDRESS(261,38))+INDIRECT(ADDRESS(259,39))-INDIRECT(ADDRESS(260,39))</f>
        <v>0</v>
      </c>
      <c r="AN261">
        <f>INDIRECT(ADDRESS(261,39))+INDIRECT(ADDRESS(259,40))-INDIRECT(ADDRESS(260,40))</f>
        <v>0</v>
      </c>
      <c r="AO261">
        <f>SUM(INDIRECT(ADDRESS(260,8)):INDIRECT(ADDRESS(260,39)))</f>
        <v>0</v>
      </c>
    </row>
    <row r="262" spans="1:41">
      <c r="A262" t="s">
        <v>180</v>
      </c>
      <c r="B262" t="s">
        <v>290</v>
      </c>
      <c r="C262" t="s">
        <v>291</v>
      </c>
      <c r="E262">
        <v>1</v>
      </c>
      <c r="F262" t="s">
        <v>11</v>
      </c>
      <c r="I262" t="s">
        <v>177</v>
      </c>
    </row>
    <row r="263" spans="1:41">
      <c r="I263" t="s">
        <v>178</v>
      </c>
      <c r="J263">
        <f>IFERROR(VLOOKUP("927-004000-100",B:AB,1+8,0),0)</f>
        <v>0</v>
      </c>
      <c r="K263">
        <f>IFERROR(VLOOKUP("927-004000-100",B:AB,2+8,0),0)</f>
        <v>0</v>
      </c>
      <c r="L263">
        <f>IFERROR(VLOOKUP("927-004000-100",B:AB,3+8,0),0)</f>
        <v>0</v>
      </c>
      <c r="M263">
        <f>IFERROR(VLOOKUP("927-004000-100",B:AB,4+8,0),0)</f>
        <v>0</v>
      </c>
      <c r="N263">
        <f>IFERROR(VLOOKUP("927-004000-100",B:AB,5+8,0),0)</f>
        <v>0</v>
      </c>
      <c r="O263">
        <f>IFERROR(VLOOKUP("927-004000-100",B:AB,6+8,0),0)</f>
        <v>0</v>
      </c>
      <c r="P263">
        <f>IFERROR(VLOOKUP("927-004000-100",B:AB,7+8,0),0)</f>
        <v>0</v>
      </c>
      <c r="Q263">
        <f>IFERROR(VLOOKUP("927-004000-100",B:AB,8+8,0),0)</f>
        <v>0</v>
      </c>
      <c r="R263">
        <f>IFERROR(VLOOKUP("927-004000-100",B:AB,9+8,0),0)</f>
        <v>0</v>
      </c>
      <c r="S263">
        <f>IFERROR(VLOOKUP("927-004000-100",B:AB,10+8,0),0)</f>
        <v>0</v>
      </c>
      <c r="T263">
        <f>IFERROR(VLOOKUP("927-004000-100",B:AB,11+8,0),0)</f>
        <v>0</v>
      </c>
      <c r="U263">
        <f>IFERROR(VLOOKUP("927-004000-100",B:AB,12+8,0),0)</f>
        <v>0</v>
      </c>
      <c r="V263">
        <f>IFERROR(VLOOKUP("927-004000-100",B:AB,13+8,0),0)</f>
        <v>0</v>
      </c>
      <c r="W263">
        <f>IFERROR(VLOOKUP("927-004000-100",B:AB,14+8,0),0)</f>
        <v>0</v>
      </c>
      <c r="X263">
        <f>IFERROR(VLOOKUP("927-004000-100",B:AB,15+8,0),0)</f>
        <v>0</v>
      </c>
      <c r="Y263">
        <f>IFERROR(VLOOKUP("927-004000-100",B:AB,16+8,0),0)</f>
        <v>0</v>
      </c>
      <c r="Z263">
        <f>IFERROR(VLOOKUP("927-004000-100",B:AB,17+8,0),0)</f>
        <v>0</v>
      </c>
      <c r="AA263">
        <f>IFERROR(VLOOKUP("927-004000-100",B:AB,18+8,0),0)</f>
        <v>0</v>
      </c>
      <c r="AB263">
        <f>IFERROR(VLOOKUP("927-004000-100",B:AB,19+8,0),0)</f>
        <v>0</v>
      </c>
      <c r="AC263">
        <f>IFERROR(VLOOKUP("927-004000-100",B:AB,20+8,0),0)</f>
        <v>0</v>
      </c>
      <c r="AD263">
        <f>IFERROR(VLOOKUP("927-004000-100",B:AB,21+8,0),0)</f>
        <v>0</v>
      </c>
      <c r="AE263">
        <f>IFERROR(VLOOKUP("927-004000-100",B:AB,22+8,0),0)</f>
        <v>0</v>
      </c>
      <c r="AF263">
        <f>IFERROR(VLOOKUP("927-004000-100",B:AB,23+8,0),0)</f>
        <v>0</v>
      </c>
      <c r="AG263">
        <f>IFERROR(VLOOKUP("927-004000-100",B:AB,24+8,0),0)</f>
        <v>0</v>
      </c>
      <c r="AH263">
        <f>IFERROR(VLOOKUP("927-004000-100",B:AB,25+8,0),0)</f>
        <v>0</v>
      </c>
      <c r="AI263">
        <f>IFERROR(VLOOKUP("927-004000-100",B:AB,26+8,0),0)</f>
        <v>0</v>
      </c>
      <c r="AJ263">
        <f>IFERROR(VLOOKUP("927-004000-100",B:AB,27+8,0),0)</f>
        <v>0</v>
      </c>
      <c r="AK263">
        <f>IFERROR(VLOOKUP("927-004000-100",B:AB,28+8,0),0)</f>
        <v>0</v>
      </c>
      <c r="AL263">
        <f>IFERROR(VLOOKUP("927-004000-100",B:AB,29+8,0),0)</f>
        <v>0</v>
      </c>
      <c r="AM263">
        <f>IFERROR(VLOOKUP("927-004000-100",B:AB,30+8,0),0)</f>
        <v>0</v>
      </c>
      <c r="AN263">
        <f>IFERROR(VLOOKUP("927-004000-100",B:AB,31+8,0),0)</f>
        <v>0</v>
      </c>
      <c r="AO263">
        <f>SUN(INDIRECT(ADDRESS(262,8)):INDIRECT(ADDRESS(262,39)))</f>
        <v>0</v>
      </c>
    </row>
    <row r="264" spans="1:41">
      <c r="H264" t="s">
        <v>179</v>
      </c>
      <c r="J264">
        <f>INDIRECT(ADDRESS(264,9))+INDIRECT(ADDRESS(262,10))-INDIRECT(ADDRESS(263,10))</f>
        <v>0</v>
      </c>
      <c r="K264">
        <f>INDIRECT(ADDRESS(264,10))+INDIRECT(ADDRESS(262,11))-INDIRECT(ADDRESS(263,11))</f>
        <v>0</v>
      </c>
      <c r="L264">
        <f>INDIRECT(ADDRESS(264,11))+INDIRECT(ADDRESS(262,12))-INDIRECT(ADDRESS(263,12))</f>
        <v>0</v>
      </c>
      <c r="M264">
        <f>INDIRECT(ADDRESS(264,12))+INDIRECT(ADDRESS(262,13))-INDIRECT(ADDRESS(263,13))</f>
        <v>0</v>
      </c>
      <c r="N264">
        <f>INDIRECT(ADDRESS(264,13))+INDIRECT(ADDRESS(262,14))-INDIRECT(ADDRESS(263,14))</f>
        <v>0</v>
      </c>
      <c r="O264">
        <f>INDIRECT(ADDRESS(264,14))+INDIRECT(ADDRESS(262,15))-INDIRECT(ADDRESS(263,15))</f>
        <v>0</v>
      </c>
      <c r="P264">
        <f>INDIRECT(ADDRESS(264,15))+INDIRECT(ADDRESS(262,16))-INDIRECT(ADDRESS(263,16))</f>
        <v>0</v>
      </c>
      <c r="Q264">
        <f>INDIRECT(ADDRESS(264,16))+INDIRECT(ADDRESS(262,17))-INDIRECT(ADDRESS(263,17))</f>
        <v>0</v>
      </c>
      <c r="R264">
        <f>INDIRECT(ADDRESS(264,17))+INDIRECT(ADDRESS(262,18))-INDIRECT(ADDRESS(263,18))</f>
        <v>0</v>
      </c>
      <c r="S264">
        <f>INDIRECT(ADDRESS(264,18))+INDIRECT(ADDRESS(262,19))-INDIRECT(ADDRESS(263,19))</f>
        <v>0</v>
      </c>
      <c r="T264">
        <f>INDIRECT(ADDRESS(264,19))+INDIRECT(ADDRESS(262,20))-INDIRECT(ADDRESS(263,20))</f>
        <v>0</v>
      </c>
      <c r="U264">
        <f>INDIRECT(ADDRESS(264,20))+INDIRECT(ADDRESS(262,21))-INDIRECT(ADDRESS(263,21))</f>
        <v>0</v>
      </c>
      <c r="V264">
        <f>INDIRECT(ADDRESS(264,21))+INDIRECT(ADDRESS(262,22))-INDIRECT(ADDRESS(263,22))</f>
        <v>0</v>
      </c>
      <c r="W264">
        <f>INDIRECT(ADDRESS(264,22))+INDIRECT(ADDRESS(262,23))-INDIRECT(ADDRESS(263,23))</f>
        <v>0</v>
      </c>
      <c r="X264">
        <f>INDIRECT(ADDRESS(264,23))+INDIRECT(ADDRESS(262,24))-INDIRECT(ADDRESS(263,24))</f>
        <v>0</v>
      </c>
      <c r="Y264">
        <f>INDIRECT(ADDRESS(264,24))+INDIRECT(ADDRESS(262,25))-INDIRECT(ADDRESS(263,25))</f>
        <v>0</v>
      </c>
      <c r="Z264">
        <f>INDIRECT(ADDRESS(264,25))+INDIRECT(ADDRESS(262,26))-INDIRECT(ADDRESS(263,26))</f>
        <v>0</v>
      </c>
      <c r="AA264">
        <f>INDIRECT(ADDRESS(264,26))+INDIRECT(ADDRESS(262,27))-INDIRECT(ADDRESS(263,27))</f>
        <v>0</v>
      </c>
      <c r="AB264">
        <f>INDIRECT(ADDRESS(264,27))+INDIRECT(ADDRESS(262,28))-INDIRECT(ADDRESS(263,28))</f>
        <v>0</v>
      </c>
      <c r="AC264">
        <f>INDIRECT(ADDRESS(264,28))+INDIRECT(ADDRESS(262,29))-INDIRECT(ADDRESS(263,29))</f>
        <v>0</v>
      </c>
      <c r="AD264">
        <f>INDIRECT(ADDRESS(264,29))+INDIRECT(ADDRESS(262,30))-INDIRECT(ADDRESS(263,30))</f>
        <v>0</v>
      </c>
      <c r="AE264">
        <f>INDIRECT(ADDRESS(264,30))+INDIRECT(ADDRESS(262,31))-INDIRECT(ADDRESS(263,31))</f>
        <v>0</v>
      </c>
      <c r="AF264">
        <f>INDIRECT(ADDRESS(264,31))+INDIRECT(ADDRESS(262,32))-INDIRECT(ADDRESS(263,32))</f>
        <v>0</v>
      </c>
      <c r="AG264">
        <f>INDIRECT(ADDRESS(264,32))+INDIRECT(ADDRESS(262,33))-INDIRECT(ADDRESS(263,33))</f>
        <v>0</v>
      </c>
      <c r="AH264">
        <f>INDIRECT(ADDRESS(264,33))+INDIRECT(ADDRESS(262,34))-INDIRECT(ADDRESS(263,34))</f>
        <v>0</v>
      </c>
      <c r="AI264">
        <f>INDIRECT(ADDRESS(264,34))+INDIRECT(ADDRESS(262,35))-INDIRECT(ADDRESS(263,35))</f>
        <v>0</v>
      </c>
      <c r="AJ264">
        <f>INDIRECT(ADDRESS(264,35))+INDIRECT(ADDRESS(262,36))-INDIRECT(ADDRESS(263,36))</f>
        <v>0</v>
      </c>
      <c r="AK264">
        <f>INDIRECT(ADDRESS(264,36))+INDIRECT(ADDRESS(262,37))-INDIRECT(ADDRESS(263,37))</f>
        <v>0</v>
      </c>
      <c r="AL264">
        <f>INDIRECT(ADDRESS(264,37))+INDIRECT(ADDRESS(262,38))-INDIRECT(ADDRESS(263,38))</f>
        <v>0</v>
      </c>
      <c r="AM264">
        <f>INDIRECT(ADDRESS(264,38))+INDIRECT(ADDRESS(262,39))-INDIRECT(ADDRESS(263,39))</f>
        <v>0</v>
      </c>
      <c r="AN264">
        <f>INDIRECT(ADDRESS(264,39))+INDIRECT(ADDRESS(262,40))-INDIRECT(ADDRESS(263,40))</f>
        <v>0</v>
      </c>
      <c r="AO264">
        <f>SUM(INDIRECT(ADDRESS(263,8)):INDIRECT(ADDRESS(263,39)))</f>
        <v>0</v>
      </c>
    </row>
    <row r="265" spans="1:41">
      <c r="A265" t="s">
        <v>180</v>
      </c>
      <c r="B265" t="s">
        <v>284</v>
      </c>
      <c r="C265" t="s">
        <v>292</v>
      </c>
      <c r="E265">
        <v>1</v>
      </c>
      <c r="F265" t="s">
        <v>11</v>
      </c>
      <c r="I265" t="s">
        <v>177</v>
      </c>
    </row>
    <row r="266" spans="1:41">
      <c r="I266" t="s">
        <v>178</v>
      </c>
      <c r="J266">
        <f>IFERROR(VLOOKUP("927-004000-100",B:AB,1+8,0),0)</f>
        <v>0</v>
      </c>
      <c r="K266">
        <f>IFERROR(VLOOKUP("927-004000-100",B:AB,2+8,0),0)</f>
        <v>0</v>
      </c>
      <c r="L266">
        <f>IFERROR(VLOOKUP("927-004000-100",B:AB,3+8,0),0)</f>
        <v>0</v>
      </c>
      <c r="M266">
        <f>IFERROR(VLOOKUP("927-004000-100",B:AB,4+8,0),0)</f>
        <v>0</v>
      </c>
      <c r="N266">
        <f>IFERROR(VLOOKUP("927-004000-100",B:AB,5+8,0),0)</f>
        <v>0</v>
      </c>
      <c r="O266">
        <f>IFERROR(VLOOKUP("927-004000-100",B:AB,6+8,0),0)</f>
        <v>0</v>
      </c>
      <c r="P266">
        <f>IFERROR(VLOOKUP("927-004000-100",B:AB,7+8,0),0)</f>
        <v>0</v>
      </c>
      <c r="Q266">
        <f>IFERROR(VLOOKUP("927-004000-100",B:AB,8+8,0),0)</f>
        <v>0</v>
      </c>
      <c r="R266">
        <f>IFERROR(VLOOKUP("927-004000-100",B:AB,9+8,0),0)</f>
        <v>0</v>
      </c>
      <c r="S266">
        <f>IFERROR(VLOOKUP("927-004000-100",B:AB,10+8,0),0)</f>
        <v>0</v>
      </c>
      <c r="T266">
        <f>IFERROR(VLOOKUP("927-004000-100",B:AB,11+8,0),0)</f>
        <v>0</v>
      </c>
      <c r="U266">
        <f>IFERROR(VLOOKUP("927-004000-100",B:AB,12+8,0),0)</f>
        <v>0</v>
      </c>
      <c r="V266">
        <f>IFERROR(VLOOKUP("927-004000-100",B:AB,13+8,0),0)</f>
        <v>0</v>
      </c>
      <c r="W266">
        <f>IFERROR(VLOOKUP("927-004000-100",B:AB,14+8,0),0)</f>
        <v>0</v>
      </c>
      <c r="X266">
        <f>IFERROR(VLOOKUP("927-004000-100",B:AB,15+8,0),0)</f>
        <v>0</v>
      </c>
      <c r="Y266">
        <f>IFERROR(VLOOKUP("927-004000-100",B:AB,16+8,0),0)</f>
        <v>0</v>
      </c>
      <c r="Z266">
        <f>IFERROR(VLOOKUP("927-004000-100",B:AB,17+8,0),0)</f>
        <v>0</v>
      </c>
      <c r="AA266">
        <f>IFERROR(VLOOKUP("927-004000-100",B:AB,18+8,0),0)</f>
        <v>0</v>
      </c>
      <c r="AB266">
        <f>IFERROR(VLOOKUP("927-004000-100",B:AB,19+8,0),0)</f>
        <v>0</v>
      </c>
      <c r="AC266">
        <f>IFERROR(VLOOKUP("927-004000-100",B:AB,20+8,0),0)</f>
        <v>0</v>
      </c>
      <c r="AD266">
        <f>IFERROR(VLOOKUP("927-004000-100",B:AB,21+8,0),0)</f>
        <v>0</v>
      </c>
      <c r="AE266">
        <f>IFERROR(VLOOKUP("927-004000-100",B:AB,22+8,0),0)</f>
        <v>0</v>
      </c>
      <c r="AF266">
        <f>IFERROR(VLOOKUP("927-004000-100",B:AB,23+8,0),0)</f>
        <v>0</v>
      </c>
      <c r="AG266">
        <f>IFERROR(VLOOKUP("927-004000-100",B:AB,24+8,0),0)</f>
        <v>0</v>
      </c>
      <c r="AH266">
        <f>IFERROR(VLOOKUP("927-004000-100",B:AB,25+8,0),0)</f>
        <v>0</v>
      </c>
      <c r="AI266">
        <f>IFERROR(VLOOKUP("927-004000-100",B:AB,26+8,0),0)</f>
        <v>0</v>
      </c>
      <c r="AJ266">
        <f>IFERROR(VLOOKUP("927-004000-100",B:AB,27+8,0),0)</f>
        <v>0</v>
      </c>
      <c r="AK266">
        <f>IFERROR(VLOOKUP("927-004000-100",B:AB,28+8,0),0)</f>
        <v>0</v>
      </c>
      <c r="AL266">
        <f>IFERROR(VLOOKUP("927-004000-100",B:AB,29+8,0),0)</f>
        <v>0</v>
      </c>
      <c r="AM266">
        <f>IFERROR(VLOOKUP("927-004000-100",B:AB,30+8,0),0)</f>
        <v>0</v>
      </c>
      <c r="AN266">
        <f>IFERROR(VLOOKUP("927-004000-100",B:AB,31+8,0),0)</f>
        <v>0</v>
      </c>
      <c r="AO266">
        <f>SUN(INDIRECT(ADDRESS(265,8)):INDIRECT(ADDRESS(265,39)))</f>
        <v>0</v>
      </c>
    </row>
    <row r="267" spans="1:41">
      <c r="H267" t="s">
        <v>179</v>
      </c>
      <c r="J267">
        <f>INDIRECT(ADDRESS(267,9))+INDIRECT(ADDRESS(265,10))-INDIRECT(ADDRESS(266,10))</f>
        <v>0</v>
      </c>
      <c r="K267">
        <f>INDIRECT(ADDRESS(267,10))+INDIRECT(ADDRESS(265,11))-INDIRECT(ADDRESS(266,11))</f>
        <v>0</v>
      </c>
      <c r="L267">
        <f>INDIRECT(ADDRESS(267,11))+INDIRECT(ADDRESS(265,12))-INDIRECT(ADDRESS(266,12))</f>
        <v>0</v>
      </c>
      <c r="M267">
        <f>INDIRECT(ADDRESS(267,12))+INDIRECT(ADDRESS(265,13))-INDIRECT(ADDRESS(266,13))</f>
        <v>0</v>
      </c>
      <c r="N267">
        <f>INDIRECT(ADDRESS(267,13))+INDIRECT(ADDRESS(265,14))-INDIRECT(ADDRESS(266,14))</f>
        <v>0</v>
      </c>
      <c r="O267">
        <f>INDIRECT(ADDRESS(267,14))+INDIRECT(ADDRESS(265,15))-INDIRECT(ADDRESS(266,15))</f>
        <v>0</v>
      </c>
      <c r="P267">
        <f>INDIRECT(ADDRESS(267,15))+INDIRECT(ADDRESS(265,16))-INDIRECT(ADDRESS(266,16))</f>
        <v>0</v>
      </c>
      <c r="Q267">
        <f>INDIRECT(ADDRESS(267,16))+INDIRECT(ADDRESS(265,17))-INDIRECT(ADDRESS(266,17))</f>
        <v>0</v>
      </c>
      <c r="R267">
        <f>INDIRECT(ADDRESS(267,17))+INDIRECT(ADDRESS(265,18))-INDIRECT(ADDRESS(266,18))</f>
        <v>0</v>
      </c>
      <c r="S267">
        <f>INDIRECT(ADDRESS(267,18))+INDIRECT(ADDRESS(265,19))-INDIRECT(ADDRESS(266,19))</f>
        <v>0</v>
      </c>
      <c r="T267">
        <f>INDIRECT(ADDRESS(267,19))+INDIRECT(ADDRESS(265,20))-INDIRECT(ADDRESS(266,20))</f>
        <v>0</v>
      </c>
      <c r="U267">
        <f>INDIRECT(ADDRESS(267,20))+INDIRECT(ADDRESS(265,21))-INDIRECT(ADDRESS(266,21))</f>
        <v>0</v>
      </c>
      <c r="V267">
        <f>INDIRECT(ADDRESS(267,21))+INDIRECT(ADDRESS(265,22))-INDIRECT(ADDRESS(266,22))</f>
        <v>0</v>
      </c>
      <c r="W267">
        <f>INDIRECT(ADDRESS(267,22))+INDIRECT(ADDRESS(265,23))-INDIRECT(ADDRESS(266,23))</f>
        <v>0</v>
      </c>
      <c r="X267">
        <f>INDIRECT(ADDRESS(267,23))+INDIRECT(ADDRESS(265,24))-INDIRECT(ADDRESS(266,24))</f>
        <v>0</v>
      </c>
      <c r="Y267">
        <f>INDIRECT(ADDRESS(267,24))+INDIRECT(ADDRESS(265,25))-INDIRECT(ADDRESS(266,25))</f>
        <v>0</v>
      </c>
      <c r="Z267">
        <f>INDIRECT(ADDRESS(267,25))+INDIRECT(ADDRESS(265,26))-INDIRECT(ADDRESS(266,26))</f>
        <v>0</v>
      </c>
      <c r="AA267">
        <f>INDIRECT(ADDRESS(267,26))+INDIRECT(ADDRESS(265,27))-INDIRECT(ADDRESS(266,27))</f>
        <v>0</v>
      </c>
      <c r="AB267">
        <f>INDIRECT(ADDRESS(267,27))+INDIRECT(ADDRESS(265,28))-INDIRECT(ADDRESS(266,28))</f>
        <v>0</v>
      </c>
      <c r="AC267">
        <f>INDIRECT(ADDRESS(267,28))+INDIRECT(ADDRESS(265,29))-INDIRECT(ADDRESS(266,29))</f>
        <v>0</v>
      </c>
      <c r="AD267">
        <f>INDIRECT(ADDRESS(267,29))+INDIRECT(ADDRESS(265,30))-INDIRECT(ADDRESS(266,30))</f>
        <v>0</v>
      </c>
      <c r="AE267">
        <f>INDIRECT(ADDRESS(267,30))+INDIRECT(ADDRESS(265,31))-INDIRECT(ADDRESS(266,31))</f>
        <v>0</v>
      </c>
      <c r="AF267">
        <f>INDIRECT(ADDRESS(267,31))+INDIRECT(ADDRESS(265,32))-INDIRECT(ADDRESS(266,32))</f>
        <v>0</v>
      </c>
      <c r="AG267">
        <f>INDIRECT(ADDRESS(267,32))+INDIRECT(ADDRESS(265,33))-INDIRECT(ADDRESS(266,33))</f>
        <v>0</v>
      </c>
      <c r="AH267">
        <f>INDIRECT(ADDRESS(267,33))+INDIRECT(ADDRESS(265,34))-INDIRECT(ADDRESS(266,34))</f>
        <v>0</v>
      </c>
      <c r="AI267">
        <f>INDIRECT(ADDRESS(267,34))+INDIRECT(ADDRESS(265,35))-INDIRECT(ADDRESS(266,35))</f>
        <v>0</v>
      </c>
      <c r="AJ267">
        <f>INDIRECT(ADDRESS(267,35))+INDIRECT(ADDRESS(265,36))-INDIRECT(ADDRESS(266,36))</f>
        <v>0</v>
      </c>
      <c r="AK267">
        <f>INDIRECT(ADDRESS(267,36))+INDIRECT(ADDRESS(265,37))-INDIRECT(ADDRESS(266,37))</f>
        <v>0</v>
      </c>
      <c r="AL267">
        <f>INDIRECT(ADDRESS(267,37))+INDIRECT(ADDRESS(265,38))-INDIRECT(ADDRESS(266,38))</f>
        <v>0</v>
      </c>
      <c r="AM267">
        <f>INDIRECT(ADDRESS(267,38))+INDIRECT(ADDRESS(265,39))-INDIRECT(ADDRESS(266,39))</f>
        <v>0</v>
      </c>
      <c r="AN267">
        <f>INDIRECT(ADDRESS(267,39))+INDIRECT(ADDRESS(265,40))-INDIRECT(ADDRESS(266,40))</f>
        <v>0</v>
      </c>
      <c r="AO267">
        <f>SUM(INDIRECT(ADDRESS(266,8)):INDIRECT(ADDRESS(266,39)))</f>
        <v>0</v>
      </c>
    </row>
    <row r="268" spans="1:41">
      <c r="A268" t="s">
        <v>180</v>
      </c>
      <c r="B268" t="s">
        <v>293</v>
      </c>
      <c r="C268" t="s">
        <v>294</v>
      </c>
      <c r="E268">
        <v>1</v>
      </c>
      <c r="F268" t="s">
        <v>11</v>
      </c>
      <c r="I268" t="s">
        <v>177</v>
      </c>
    </row>
    <row r="269" spans="1:41">
      <c r="I269" t="s">
        <v>178</v>
      </c>
      <c r="J269">
        <f>IFERROR(VLOOKUP("927-004000-100",B:AB,1+8,0),0)</f>
        <v>0</v>
      </c>
      <c r="K269">
        <f>IFERROR(VLOOKUP("927-004000-100",B:AB,2+8,0),0)</f>
        <v>0</v>
      </c>
      <c r="L269">
        <f>IFERROR(VLOOKUP("927-004000-100",B:AB,3+8,0),0)</f>
        <v>0</v>
      </c>
      <c r="M269">
        <f>IFERROR(VLOOKUP("927-004000-100",B:AB,4+8,0),0)</f>
        <v>0</v>
      </c>
      <c r="N269">
        <f>IFERROR(VLOOKUP("927-004000-100",B:AB,5+8,0),0)</f>
        <v>0</v>
      </c>
      <c r="O269">
        <f>IFERROR(VLOOKUP("927-004000-100",B:AB,6+8,0),0)</f>
        <v>0</v>
      </c>
      <c r="P269">
        <f>IFERROR(VLOOKUP("927-004000-100",B:AB,7+8,0),0)</f>
        <v>0</v>
      </c>
      <c r="Q269">
        <f>IFERROR(VLOOKUP("927-004000-100",B:AB,8+8,0),0)</f>
        <v>0</v>
      </c>
      <c r="R269">
        <f>IFERROR(VLOOKUP("927-004000-100",B:AB,9+8,0),0)</f>
        <v>0</v>
      </c>
      <c r="S269">
        <f>IFERROR(VLOOKUP("927-004000-100",B:AB,10+8,0),0)</f>
        <v>0</v>
      </c>
      <c r="T269">
        <f>IFERROR(VLOOKUP("927-004000-100",B:AB,11+8,0),0)</f>
        <v>0</v>
      </c>
      <c r="U269">
        <f>IFERROR(VLOOKUP("927-004000-100",B:AB,12+8,0),0)</f>
        <v>0</v>
      </c>
      <c r="V269">
        <f>IFERROR(VLOOKUP("927-004000-100",B:AB,13+8,0),0)</f>
        <v>0</v>
      </c>
      <c r="W269">
        <f>IFERROR(VLOOKUP("927-004000-100",B:AB,14+8,0),0)</f>
        <v>0</v>
      </c>
      <c r="X269">
        <f>IFERROR(VLOOKUP("927-004000-100",B:AB,15+8,0),0)</f>
        <v>0</v>
      </c>
      <c r="Y269">
        <f>IFERROR(VLOOKUP("927-004000-100",B:AB,16+8,0),0)</f>
        <v>0</v>
      </c>
      <c r="Z269">
        <f>IFERROR(VLOOKUP("927-004000-100",B:AB,17+8,0),0)</f>
        <v>0</v>
      </c>
      <c r="AA269">
        <f>IFERROR(VLOOKUP("927-004000-100",B:AB,18+8,0),0)</f>
        <v>0</v>
      </c>
      <c r="AB269">
        <f>IFERROR(VLOOKUP("927-004000-100",B:AB,19+8,0),0)</f>
        <v>0</v>
      </c>
      <c r="AC269">
        <f>IFERROR(VLOOKUP("927-004000-100",B:AB,20+8,0),0)</f>
        <v>0</v>
      </c>
      <c r="AD269">
        <f>IFERROR(VLOOKUP("927-004000-100",B:AB,21+8,0),0)</f>
        <v>0</v>
      </c>
      <c r="AE269">
        <f>IFERROR(VLOOKUP("927-004000-100",B:AB,22+8,0),0)</f>
        <v>0</v>
      </c>
      <c r="AF269">
        <f>IFERROR(VLOOKUP("927-004000-100",B:AB,23+8,0),0)</f>
        <v>0</v>
      </c>
      <c r="AG269">
        <f>IFERROR(VLOOKUP("927-004000-100",B:AB,24+8,0),0)</f>
        <v>0</v>
      </c>
      <c r="AH269">
        <f>IFERROR(VLOOKUP("927-004000-100",B:AB,25+8,0),0)</f>
        <v>0</v>
      </c>
      <c r="AI269">
        <f>IFERROR(VLOOKUP("927-004000-100",B:AB,26+8,0),0)</f>
        <v>0</v>
      </c>
      <c r="AJ269">
        <f>IFERROR(VLOOKUP("927-004000-100",B:AB,27+8,0),0)</f>
        <v>0</v>
      </c>
      <c r="AK269">
        <f>IFERROR(VLOOKUP("927-004000-100",B:AB,28+8,0),0)</f>
        <v>0</v>
      </c>
      <c r="AL269">
        <f>IFERROR(VLOOKUP("927-004000-100",B:AB,29+8,0),0)</f>
        <v>0</v>
      </c>
      <c r="AM269">
        <f>IFERROR(VLOOKUP("927-004000-100",B:AB,30+8,0),0)</f>
        <v>0</v>
      </c>
      <c r="AN269">
        <f>IFERROR(VLOOKUP("927-004000-100",B:AB,31+8,0),0)</f>
        <v>0</v>
      </c>
      <c r="AO269">
        <f>SUN(INDIRECT(ADDRESS(268,8)):INDIRECT(ADDRESS(268,39)))</f>
        <v>0</v>
      </c>
    </row>
    <row r="270" spans="1:41">
      <c r="H270" t="s">
        <v>179</v>
      </c>
      <c r="J270">
        <f>INDIRECT(ADDRESS(270,9))+INDIRECT(ADDRESS(268,10))-INDIRECT(ADDRESS(269,10))</f>
        <v>0</v>
      </c>
      <c r="K270">
        <f>INDIRECT(ADDRESS(270,10))+INDIRECT(ADDRESS(268,11))-INDIRECT(ADDRESS(269,11))</f>
        <v>0</v>
      </c>
      <c r="L270">
        <f>INDIRECT(ADDRESS(270,11))+INDIRECT(ADDRESS(268,12))-INDIRECT(ADDRESS(269,12))</f>
        <v>0</v>
      </c>
      <c r="M270">
        <f>INDIRECT(ADDRESS(270,12))+INDIRECT(ADDRESS(268,13))-INDIRECT(ADDRESS(269,13))</f>
        <v>0</v>
      </c>
      <c r="N270">
        <f>INDIRECT(ADDRESS(270,13))+INDIRECT(ADDRESS(268,14))-INDIRECT(ADDRESS(269,14))</f>
        <v>0</v>
      </c>
      <c r="O270">
        <f>INDIRECT(ADDRESS(270,14))+INDIRECT(ADDRESS(268,15))-INDIRECT(ADDRESS(269,15))</f>
        <v>0</v>
      </c>
      <c r="P270">
        <f>INDIRECT(ADDRESS(270,15))+INDIRECT(ADDRESS(268,16))-INDIRECT(ADDRESS(269,16))</f>
        <v>0</v>
      </c>
      <c r="Q270">
        <f>INDIRECT(ADDRESS(270,16))+INDIRECT(ADDRESS(268,17))-INDIRECT(ADDRESS(269,17))</f>
        <v>0</v>
      </c>
      <c r="R270">
        <f>INDIRECT(ADDRESS(270,17))+INDIRECT(ADDRESS(268,18))-INDIRECT(ADDRESS(269,18))</f>
        <v>0</v>
      </c>
      <c r="S270">
        <f>INDIRECT(ADDRESS(270,18))+INDIRECT(ADDRESS(268,19))-INDIRECT(ADDRESS(269,19))</f>
        <v>0</v>
      </c>
      <c r="T270">
        <f>INDIRECT(ADDRESS(270,19))+INDIRECT(ADDRESS(268,20))-INDIRECT(ADDRESS(269,20))</f>
        <v>0</v>
      </c>
      <c r="U270">
        <f>INDIRECT(ADDRESS(270,20))+INDIRECT(ADDRESS(268,21))-INDIRECT(ADDRESS(269,21))</f>
        <v>0</v>
      </c>
      <c r="V270">
        <f>INDIRECT(ADDRESS(270,21))+INDIRECT(ADDRESS(268,22))-INDIRECT(ADDRESS(269,22))</f>
        <v>0</v>
      </c>
      <c r="W270">
        <f>INDIRECT(ADDRESS(270,22))+INDIRECT(ADDRESS(268,23))-INDIRECT(ADDRESS(269,23))</f>
        <v>0</v>
      </c>
      <c r="X270">
        <f>INDIRECT(ADDRESS(270,23))+INDIRECT(ADDRESS(268,24))-INDIRECT(ADDRESS(269,24))</f>
        <v>0</v>
      </c>
      <c r="Y270">
        <f>INDIRECT(ADDRESS(270,24))+INDIRECT(ADDRESS(268,25))-INDIRECT(ADDRESS(269,25))</f>
        <v>0</v>
      </c>
      <c r="Z270">
        <f>INDIRECT(ADDRESS(270,25))+INDIRECT(ADDRESS(268,26))-INDIRECT(ADDRESS(269,26))</f>
        <v>0</v>
      </c>
      <c r="AA270">
        <f>INDIRECT(ADDRESS(270,26))+INDIRECT(ADDRESS(268,27))-INDIRECT(ADDRESS(269,27))</f>
        <v>0</v>
      </c>
      <c r="AB270">
        <f>INDIRECT(ADDRESS(270,27))+INDIRECT(ADDRESS(268,28))-INDIRECT(ADDRESS(269,28))</f>
        <v>0</v>
      </c>
      <c r="AC270">
        <f>INDIRECT(ADDRESS(270,28))+INDIRECT(ADDRESS(268,29))-INDIRECT(ADDRESS(269,29))</f>
        <v>0</v>
      </c>
      <c r="AD270">
        <f>INDIRECT(ADDRESS(270,29))+INDIRECT(ADDRESS(268,30))-INDIRECT(ADDRESS(269,30))</f>
        <v>0</v>
      </c>
      <c r="AE270">
        <f>INDIRECT(ADDRESS(270,30))+INDIRECT(ADDRESS(268,31))-INDIRECT(ADDRESS(269,31))</f>
        <v>0</v>
      </c>
      <c r="AF270">
        <f>INDIRECT(ADDRESS(270,31))+INDIRECT(ADDRESS(268,32))-INDIRECT(ADDRESS(269,32))</f>
        <v>0</v>
      </c>
      <c r="AG270">
        <f>INDIRECT(ADDRESS(270,32))+INDIRECT(ADDRESS(268,33))-INDIRECT(ADDRESS(269,33))</f>
        <v>0</v>
      </c>
      <c r="AH270">
        <f>INDIRECT(ADDRESS(270,33))+INDIRECT(ADDRESS(268,34))-INDIRECT(ADDRESS(269,34))</f>
        <v>0</v>
      </c>
      <c r="AI270">
        <f>INDIRECT(ADDRESS(270,34))+INDIRECT(ADDRESS(268,35))-INDIRECT(ADDRESS(269,35))</f>
        <v>0</v>
      </c>
      <c r="AJ270">
        <f>INDIRECT(ADDRESS(270,35))+INDIRECT(ADDRESS(268,36))-INDIRECT(ADDRESS(269,36))</f>
        <v>0</v>
      </c>
      <c r="AK270">
        <f>INDIRECT(ADDRESS(270,36))+INDIRECT(ADDRESS(268,37))-INDIRECT(ADDRESS(269,37))</f>
        <v>0</v>
      </c>
      <c r="AL270">
        <f>INDIRECT(ADDRESS(270,37))+INDIRECT(ADDRESS(268,38))-INDIRECT(ADDRESS(269,38))</f>
        <v>0</v>
      </c>
      <c r="AM270">
        <f>INDIRECT(ADDRESS(270,38))+INDIRECT(ADDRESS(268,39))-INDIRECT(ADDRESS(269,39))</f>
        <v>0</v>
      </c>
      <c r="AN270">
        <f>INDIRECT(ADDRESS(270,39))+INDIRECT(ADDRESS(268,40))-INDIRECT(ADDRESS(269,40))</f>
        <v>0</v>
      </c>
      <c r="AO270">
        <f>SUM(INDIRECT(ADDRESS(269,8)):INDIRECT(ADDRESS(269,39)))</f>
        <v>0</v>
      </c>
    </row>
    <row r="271" spans="1:41">
      <c r="A271" t="s">
        <v>185</v>
      </c>
      <c r="B271" t="s">
        <v>295</v>
      </c>
      <c r="C271" t="s">
        <v>296</v>
      </c>
      <c r="E271">
        <v>1</v>
      </c>
      <c r="F271" t="s">
        <v>11</v>
      </c>
      <c r="I271" t="s">
        <v>177</v>
      </c>
    </row>
    <row r="272" spans="1:41">
      <c r="I272" t="s">
        <v>178</v>
      </c>
      <c r="J272">
        <f>IFERROR(VLOOKUP("927-004000-100",B:AB,1+8,0),0)</f>
        <v>0</v>
      </c>
      <c r="K272">
        <f>IFERROR(VLOOKUP("927-004000-100",B:AB,2+8,0),0)</f>
        <v>0</v>
      </c>
      <c r="L272">
        <f>IFERROR(VLOOKUP("927-004000-100",B:AB,3+8,0),0)</f>
        <v>0</v>
      </c>
      <c r="M272">
        <f>IFERROR(VLOOKUP("927-004000-100",B:AB,4+8,0),0)</f>
        <v>0</v>
      </c>
      <c r="N272">
        <f>IFERROR(VLOOKUP("927-004000-100",B:AB,5+8,0),0)</f>
        <v>0</v>
      </c>
      <c r="O272">
        <f>IFERROR(VLOOKUP("927-004000-100",B:AB,6+8,0),0)</f>
        <v>0</v>
      </c>
      <c r="P272">
        <f>IFERROR(VLOOKUP("927-004000-100",B:AB,7+8,0),0)</f>
        <v>0</v>
      </c>
      <c r="Q272">
        <f>IFERROR(VLOOKUP("927-004000-100",B:AB,8+8,0),0)</f>
        <v>0</v>
      </c>
      <c r="R272">
        <f>IFERROR(VLOOKUP("927-004000-100",B:AB,9+8,0),0)</f>
        <v>0</v>
      </c>
      <c r="S272">
        <f>IFERROR(VLOOKUP("927-004000-100",B:AB,10+8,0),0)</f>
        <v>0</v>
      </c>
      <c r="T272">
        <f>IFERROR(VLOOKUP("927-004000-100",B:AB,11+8,0),0)</f>
        <v>0</v>
      </c>
      <c r="U272">
        <f>IFERROR(VLOOKUP("927-004000-100",B:AB,12+8,0),0)</f>
        <v>0</v>
      </c>
      <c r="V272">
        <f>IFERROR(VLOOKUP("927-004000-100",B:AB,13+8,0),0)</f>
        <v>0</v>
      </c>
      <c r="W272">
        <f>IFERROR(VLOOKUP("927-004000-100",B:AB,14+8,0),0)</f>
        <v>0</v>
      </c>
      <c r="X272">
        <f>IFERROR(VLOOKUP("927-004000-100",B:AB,15+8,0),0)</f>
        <v>0</v>
      </c>
      <c r="Y272">
        <f>IFERROR(VLOOKUP("927-004000-100",B:AB,16+8,0),0)</f>
        <v>0</v>
      </c>
      <c r="Z272">
        <f>IFERROR(VLOOKUP("927-004000-100",B:AB,17+8,0),0)</f>
        <v>0</v>
      </c>
      <c r="AA272">
        <f>IFERROR(VLOOKUP("927-004000-100",B:AB,18+8,0),0)</f>
        <v>0</v>
      </c>
      <c r="AB272">
        <f>IFERROR(VLOOKUP("927-004000-100",B:AB,19+8,0),0)</f>
        <v>0</v>
      </c>
      <c r="AC272">
        <f>IFERROR(VLOOKUP("927-004000-100",B:AB,20+8,0),0)</f>
        <v>0</v>
      </c>
      <c r="AD272">
        <f>IFERROR(VLOOKUP("927-004000-100",B:AB,21+8,0),0)</f>
        <v>0</v>
      </c>
      <c r="AE272">
        <f>IFERROR(VLOOKUP("927-004000-100",B:AB,22+8,0),0)</f>
        <v>0</v>
      </c>
      <c r="AF272">
        <f>IFERROR(VLOOKUP("927-004000-100",B:AB,23+8,0),0)</f>
        <v>0</v>
      </c>
      <c r="AG272">
        <f>IFERROR(VLOOKUP("927-004000-100",B:AB,24+8,0),0)</f>
        <v>0</v>
      </c>
      <c r="AH272">
        <f>IFERROR(VLOOKUP("927-004000-100",B:AB,25+8,0),0)</f>
        <v>0</v>
      </c>
      <c r="AI272">
        <f>IFERROR(VLOOKUP("927-004000-100",B:AB,26+8,0),0)</f>
        <v>0</v>
      </c>
      <c r="AJ272">
        <f>IFERROR(VLOOKUP("927-004000-100",B:AB,27+8,0),0)</f>
        <v>0</v>
      </c>
      <c r="AK272">
        <f>IFERROR(VLOOKUP("927-004000-100",B:AB,28+8,0),0)</f>
        <v>0</v>
      </c>
      <c r="AL272">
        <f>IFERROR(VLOOKUP("927-004000-100",B:AB,29+8,0),0)</f>
        <v>0</v>
      </c>
      <c r="AM272">
        <f>IFERROR(VLOOKUP("927-004000-100",B:AB,30+8,0),0)</f>
        <v>0</v>
      </c>
      <c r="AN272">
        <f>IFERROR(VLOOKUP("927-004000-100",B:AB,31+8,0),0)</f>
        <v>0</v>
      </c>
      <c r="AO272">
        <f>SUN(INDIRECT(ADDRESS(271,8)):INDIRECT(ADDRESS(271,39)))</f>
        <v>0</v>
      </c>
    </row>
    <row r="273" spans="1:41">
      <c r="H273" t="s">
        <v>179</v>
      </c>
      <c r="J273">
        <f>INDIRECT(ADDRESS(273,9))+INDIRECT(ADDRESS(271,10))-INDIRECT(ADDRESS(272,10))</f>
        <v>0</v>
      </c>
      <c r="K273">
        <f>INDIRECT(ADDRESS(273,10))+INDIRECT(ADDRESS(271,11))-INDIRECT(ADDRESS(272,11))</f>
        <v>0</v>
      </c>
      <c r="L273">
        <f>INDIRECT(ADDRESS(273,11))+INDIRECT(ADDRESS(271,12))-INDIRECT(ADDRESS(272,12))</f>
        <v>0</v>
      </c>
      <c r="M273">
        <f>INDIRECT(ADDRESS(273,12))+INDIRECT(ADDRESS(271,13))-INDIRECT(ADDRESS(272,13))</f>
        <v>0</v>
      </c>
      <c r="N273">
        <f>INDIRECT(ADDRESS(273,13))+INDIRECT(ADDRESS(271,14))-INDIRECT(ADDRESS(272,14))</f>
        <v>0</v>
      </c>
      <c r="O273">
        <f>INDIRECT(ADDRESS(273,14))+INDIRECT(ADDRESS(271,15))-INDIRECT(ADDRESS(272,15))</f>
        <v>0</v>
      </c>
      <c r="P273">
        <f>INDIRECT(ADDRESS(273,15))+INDIRECT(ADDRESS(271,16))-INDIRECT(ADDRESS(272,16))</f>
        <v>0</v>
      </c>
      <c r="Q273">
        <f>INDIRECT(ADDRESS(273,16))+INDIRECT(ADDRESS(271,17))-INDIRECT(ADDRESS(272,17))</f>
        <v>0</v>
      </c>
      <c r="R273">
        <f>INDIRECT(ADDRESS(273,17))+INDIRECT(ADDRESS(271,18))-INDIRECT(ADDRESS(272,18))</f>
        <v>0</v>
      </c>
      <c r="S273">
        <f>INDIRECT(ADDRESS(273,18))+INDIRECT(ADDRESS(271,19))-INDIRECT(ADDRESS(272,19))</f>
        <v>0</v>
      </c>
      <c r="T273">
        <f>INDIRECT(ADDRESS(273,19))+INDIRECT(ADDRESS(271,20))-INDIRECT(ADDRESS(272,20))</f>
        <v>0</v>
      </c>
      <c r="U273">
        <f>INDIRECT(ADDRESS(273,20))+INDIRECT(ADDRESS(271,21))-INDIRECT(ADDRESS(272,21))</f>
        <v>0</v>
      </c>
      <c r="V273">
        <f>INDIRECT(ADDRESS(273,21))+INDIRECT(ADDRESS(271,22))-INDIRECT(ADDRESS(272,22))</f>
        <v>0</v>
      </c>
      <c r="W273">
        <f>INDIRECT(ADDRESS(273,22))+INDIRECT(ADDRESS(271,23))-INDIRECT(ADDRESS(272,23))</f>
        <v>0</v>
      </c>
      <c r="X273">
        <f>INDIRECT(ADDRESS(273,23))+INDIRECT(ADDRESS(271,24))-INDIRECT(ADDRESS(272,24))</f>
        <v>0</v>
      </c>
      <c r="Y273">
        <f>INDIRECT(ADDRESS(273,24))+INDIRECT(ADDRESS(271,25))-INDIRECT(ADDRESS(272,25))</f>
        <v>0</v>
      </c>
      <c r="Z273">
        <f>INDIRECT(ADDRESS(273,25))+INDIRECT(ADDRESS(271,26))-INDIRECT(ADDRESS(272,26))</f>
        <v>0</v>
      </c>
      <c r="AA273">
        <f>INDIRECT(ADDRESS(273,26))+INDIRECT(ADDRESS(271,27))-INDIRECT(ADDRESS(272,27))</f>
        <v>0</v>
      </c>
      <c r="AB273">
        <f>INDIRECT(ADDRESS(273,27))+INDIRECT(ADDRESS(271,28))-INDIRECT(ADDRESS(272,28))</f>
        <v>0</v>
      </c>
      <c r="AC273">
        <f>INDIRECT(ADDRESS(273,28))+INDIRECT(ADDRESS(271,29))-INDIRECT(ADDRESS(272,29))</f>
        <v>0</v>
      </c>
      <c r="AD273">
        <f>INDIRECT(ADDRESS(273,29))+INDIRECT(ADDRESS(271,30))-INDIRECT(ADDRESS(272,30))</f>
        <v>0</v>
      </c>
      <c r="AE273">
        <f>INDIRECT(ADDRESS(273,30))+INDIRECT(ADDRESS(271,31))-INDIRECT(ADDRESS(272,31))</f>
        <v>0</v>
      </c>
      <c r="AF273">
        <f>INDIRECT(ADDRESS(273,31))+INDIRECT(ADDRESS(271,32))-INDIRECT(ADDRESS(272,32))</f>
        <v>0</v>
      </c>
      <c r="AG273">
        <f>INDIRECT(ADDRESS(273,32))+INDIRECT(ADDRESS(271,33))-INDIRECT(ADDRESS(272,33))</f>
        <v>0</v>
      </c>
      <c r="AH273">
        <f>INDIRECT(ADDRESS(273,33))+INDIRECT(ADDRESS(271,34))-INDIRECT(ADDRESS(272,34))</f>
        <v>0</v>
      </c>
      <c r="AI273">
        <f>INDIRECT(ADDRESS(273,34))+INDIRECT(ADDRESS(271,35))-INDIRECT(ADDRESS(272,35))</f>
        <v>0</v>
      </c>
      <c r="AJ273">
        <f>INDIRECT(ADDRESS(273,35))+INDIRECT(ADDRESS(271,36))-INDIRECT(ADDRESS(272,36))</f>
        <v>0</v>
      </c>
      <c r="AK273">
        <f>INDIRECT(ADDRESS(273,36))+INDIRECT(ADDRESS(271,37))-INDIRECT(ADDRESS(272,37))</f>
        <v>0</v>
      </c>
      <c r="AL273">
        <f>INDIRECT(ADDRESS(273,37))+INDIRECT(ADDRESS(271,38))-INDIRECT(ADDRESS(272,38))</f>
        <v>0</v>
      </c>
      <c r="AM273">
        <f>INDIRECT(ADDRESS(273,38))+INDIRECT(ADDRESS(271,39))-INDIRECT(ADDRESS(272,39))</f>
        <v>0</v>
      </c>
      <c r="AN273">
        <f>INDIRECT(ADDRESS(273,39))+INDIRECT(ADDRESS(271,40))-INDIRECT(ADDRESS(272,40))</f>
        <v>0</v>
      </c>
      <c r="AO273">
        <f>SUM(INDIRECT(ADDRESS(272,8)):INDIRECT(ADDRESS(272,39)))</f>
        <v>0</v>
      </c>
    </row>
    <row r="274" spans="1:41">
      <c r="A274" t="s">
        <v>185</v>
      </c>
      <c r="B274" t="s">
        <v>286</v>
      </c>
      <c r="C274" t="s">
        <v>297</v>
      </c>
      <c r="E274">
        <v>1</v>
      </c>
      <c r="F274" t="s">
        <v>298</v>
      </c>
      <c r="I274" t="s">
        <v>177</v>
      </c>
    </row>
    <row r="275" spans="1:41">
      <c r="I275" t="s">
        <v>178</v>
      </c>
      <c r="J275">
        <f>IFERROR(VLOOKUP("927-004000-100",B:AB,1+8,0),0)</f>
        <v>0</v>
      </c>
      <c r="K275">
        <f>IFERROR(VLOOKUP("927-004000-100",B:AB,2+8,0),0)</f>
        <v>0</v>
      </c>
      <c r="L275">
        <f>IFERROR(VLOOKUP("927-004000-100",B:AB,3+8,0),0)</f>
        <v>0</v>
      </c>
      <c r="M275">
        <f>IFERROR(VLOOKUP("927-004000-100",B:AB,4+8,0),0)</f>
        <v>0</v>
      </c>
      <c r="N275">
        <f>IFERROR(VLOOKUP("927-004000-100",B:AB,5+8,0),0)</f>
        <v>0</v>
      </c>
      <c r="O275">
        <f>IFERROR(VLOOKUP("927-004000-100",B:AB,6+8,0),0)</f>
        <v>0</v>
      </c>
      <c r="P275">
        <f>IFERROR(VLOOKUP("927-004000-100",B:AB,7+8,0),0)</f>
        <v>0</v>
      </c>
      <c r="Q275">
        <f>IFERROR(VLOOKUP("927-004000-100",B:AB,8+8,0),0)</f>
        <v>0</v>
      </c>
      <c r="R275">
        <f>IFERROR(VLOOKUP("927-004000-100",B:AB,9+8,0),0)</f>
        <v>0</v>
      </c>
      <c r="S275">
        <f>IFERROR(VLOOKUP("927-004000-100",B:AB,10+8,0),0)</f>
        <v>0</v>
      </c>
      <c r="T275">
        <f>IFERROR(VLOOKUP("927-004000-100",B:AB,11+8,0),0)</f>
        <v>0</v>
      </c>
      <c r="U275">
        <f>IFERROR(VLOOKUP("927-004000-100",B:AB,12+8,0),0)</f>
        <v>0</v>
      </c>
      <c r="V275">
        <f>IFERROR(VLOOKUP("927-004000-100",B:AB,13+8,0),0)</f>
        <v>0</v>
      </c>
      <c r="W275">
        <f>IFERROR(VLOOKUP("927-004000-100",B:AB,14+8,0),0)</f>
        <v>0</v>
      </c>
      <c r="X275">
        <f>IFERROR(VLOOKUP("927-004000-100",B:AB,15+8,0),0)</f>
        <v>0</v>
      </c>
      <c r="Y275">
        <f>IFERROR(VLOOKUP("927-004000-100",B:AB,16+8,0),0)</f>
        <v>0</v>
      </c>
      <c r="Z275">
        <f>IFERROR(VLOOKUP("927-004000-100",B:AB,17+8,0),0)</f>
        <v>0</v>
      </c>
      <c r="AA275">
        <f>IFERROR(VLOOKUP("927-004000-100",B:AB,18+8,0),0)</f>
        <v>0</v>
      </c>
      <c r="AB275">
        <f>IFERROR(VLOOKUP("927-004000-100",B:AB,19+8,0),0)</f>
        <v>0</v>
      </c>
      <c r="AC275">
        <f>IFERROR(VLOOKUP("927-004000-100",B:AB,20+8,0),0)</f>
        <v>0</v>
      </c>
      <c r="AD275">
        <f>IFERROR(VLOOKUP("927-004000-100",B:AB,21+8,0),0)</f>
        <v>0</v>
      </c>
      <c r="AE275">
        <f>IFERROR(VLOOKUP("927-004000-100",B:AB,22+8,0),0)</f>
        <v>0</v>
      </c>
      <c r="AF275">
        <f>IFERROR(VLOOKUP("927-004000-100",B:AB,23+8,0),0)</f>
        <v>0</v>
      </c>
      <c r="AG275">
        <f>IFERROR(VLOOKUP("927-004000-100",B:AB,24+8,0),0)</f>
        <v>0</v>
      </c>
      <c r="AH275">
        <f>IFERROR(VLOOKUP("927-004000-100",B:AB,25+8,0),0)</f>
        <v>0</v>
      </c>
      <c r="AI275">
        <f>IFERROR(VLOOKUP("927-004000-100",B:AB,26+8,0),0)</f>
        <v>0</v>
      </c>
      <c r="AJ275">
        <f>IFERROR(VLOOKUP("927-004000-100",B:AB,27+8,0),0)</f>
        <v>0</v>
      </c>
      <c r="AK275">
        <f>IFERROR(VLOOKUP("927-004000-100",B:AB,28+8,0),0)</f>
        <v>0</v>
      </c>
      <c r="AL275">
        <f>IFERROR(VLOOKUP("927-004000-100",B:AB,29+8,0),0)</f>
        <v>0</v>
      </c>
      <c r="AM275">
        <f>IFERROR(VLOOKUP("927-004000-100",B:AB,30+8,0),0)</f>
        <v>0</v>
      </c>
      <c r="AN275">
        <f>IFERROR(VLOOKUP("927-004000-100",B:AB,31+8,0),0)</f>
        <v>0</v>
      </c>
      <c r="AO275">
        <f>SUN(INDIRECT(ADDRESS(274,8)):INDIRECT(ADDRESS(274,39)))</f>
        <v>0</v>
      </c>
    </row>
    <row r="276" spans="1:41">
      <c r="H276" t="s">
        <v>179</v>
      </c>
      <c r="J276">
        <f>INDIRECT(ADDRESS(276,9))+INDIRECT(ADDRESS(274,10))-INDIRECT(ADDRESS(275,10))</f>
        <v>0</v>
      </c>
      <c r="K276">
        <f>INDIRECT(ADDRESS(276,10))+INDIRECT(ADDRESS(274,11))-INDIRECT(ADDRESS(275,11))</f>
        <v>0</v>
      </c>
      <c r="L276">
        <f>INDIRECT(ADDRESS(276,11))+INDIRECT(ADDRESS(274,12))-INDIRECT(ADDRESS(275,12))</f>
        <v>0</v>
      </c>
      <c r="M276">
        <f>INDIRECT(ADDRESS(276,12))+INDIRECT(ADDRESS(274,13))-INDIRECT(ADDRESS(275,13))</f>
        <v>0</v>
      </c>
      <c r="N276">
        <f>INDIRECT(ADDRESS(276,13))+INDIRECT(ADDRESS(274,14))-INDIRECT(ADDRESS(275,14))</f>
        <v>0</v>
      </c>
      <c r="O276">
        <f>INDIRECT(ADDRESS(276,14))+INDIRECT(ADDRESS(274,15))-INDIRECT(ADDRESS(275,15))</f>
        <v>0</v>
      </c>
      <c r="P276">
        <f>INDIRECT(ADDRESS(276,15))+INDIRECT(ADDRESS(274,16))-INDIRECT(ADDRESS(275,16))</f>
        <v>0</v>
      </c>
      <c r="Q276">
        <f>INDIRECT(ADDRESS(276,16))+INDIRECT(ADDRESS(274,17))-INDIRECT(ADDRESS(275,17))</f>
        <v>0</v>
      </c>
      <c r="R276">
        <f>INDIRECT(ADDRESS(276,17))+INDIRECT(ADDRESS(274,18))-INDIRECT(ADDRESS(275,18))</f>
        <v>0</v>
      </c>
      <c r="S276">
        <f>INDIRECT(ADDRESS(276,18))+INDIRECT(ADDRESS(274,19))-INDIRECT(ADDRESS(275,19))</f>
        <v>0</v>
      </c>
      <c r="T276">
        <f>INDIRECT(ADDRESS(276,19))+INDIRECT(ADDRESS(274,20))-INDIRECT(ADDRESS(275,20))</f>
        <v>0</v>
      </c>
      <c r="U276">
        <f>INDIRECT(ADDRESS(276,20))+INDIRECT(ADDRESS(274,21))-INDIRECT(ADDRESS(275,21))</f>
        <v>0</v>
      </c>
      <c r="V276">
        <f>INDIRECT(ADDRESS(276,21))+INDIRECT(ADDRESS(274,22))-INDIRECT(ADDRESS(275,22))</f>
        <v>0</v>
      </c>
      <c r="W276">
        <f>INDIRECT(ADDRESS(276,22))+INDIRECT(ADDRESS(274,23))-INDIRECT(ADDRESS(275,23))</f>
        <v>0</v>
      </c>
      <c r="X276">
        <f>INDIRECT(ADDRESS(276,23))+INDIRECT(ADDRESS(274,24))-INDIRECT(ADDRESS(275,24))</f>
        <v>0</v>
      </c>
      <c r="Y276">
        <f>INDIRECT(ADDRESS(276,24))+INDIRECT(ADDRESS(274,25))-INDIRECT(ADDRESS(275,25))</f>
        <v>0</v>
      </c>
      <c r="Z276">
        <f>INDIRECT(ADDRESS(276,25))+INDIRECT(ADDRESS(274,26))-INDIRECT(ADDRESS(275,26))</f>
        <v>0</v>
      </c>
      <c r="AA276">
        <f>INDIRECT(ADDRESS(276,26))+INDIRECT(ADDRESS(274,27))-INDIRECT(ADDRESS(275,27))</f>
        <v>0</v>
      </c>
      <c r="AB276">
        <f>INDIRECT(ADDRESS(276,27))+INDIRECT(ADDRESS(274,28))-INDIRECT(ADDRESS(275,28))</f>
        <v>0</v>
      </c>
      <c r="AC276">
        <f>INDIRECT(ADDRESS(276,28))+INDIRECT(ADDRESS(274,29))-INDIRECT(ADDRESS(275,29))</f>
        <v>0</v>
      </c>
      <c r="AD276">
        <f>INDIRECT(ADDRESS(276,29))+INDIRECT(ADDRESS(274,30))-INDIRECT(ADDRESS(275,30))</f>
        <v>0</v>
      </c>
      <c r="AE276">
        <f>INDIRECT(ADDRESS(276,30))+INDIRECT(ADDRESS(274,31))-INDIRECT(ADDRESS(275,31))</f>
        <v>0</v>
      </c>
      <c r="AF276">
        <f>INDIRECT(ADDRESS(276,31))+INDIRECT(ADDRESS(274,32))-INDIRECT(ADDRESS(275,32))</f>
        <v>0</v>
      </c>
      <c r="AG276">
        <f>INDIRECT(ADDRESS(276,32))+INDIRECT(ADDRESS(274,33))-INDIRECT(ADDRESS(275,33))</f>
        <v>0</v>
      </c>
      <c r="AH276">
        <f>INDIRECT(ADDRESS(276,33))+INDIRECT(ADDRESS(274,34))-INDIRECT(ADDRESS(275,34))</f>
        <v>0</v>
      </c>
      <c r="AI276">
        <f>INDIRECT(ADDRESS(276,34))+INDIRECT(ADDRESS(274,35))-INDIRECT(ADDRESS(275,35))</f>
        <v>0</v>
      </c>
      <c r="AJ276">
        <f>INDIRECT(ADDRESS(276,35))+INDIRECT(ADDRESS(274,36))-INDIRECT(ADDRESS(275,36))</f>
        <v>0</v>
      </c>
      <c r="AK276">
        <f>INDIRECT(ADDRESS(276,36))+INDIRECT(ADDRESS(274,37))-INDIRECT(ADDRESS(275,37))</f>
        <v>0</v>
      </c>
      <c r="AL276">
        <f>INDIRECT(ADDRESS(276,37))+INDIRECT(ADDRESS(274,38))-INDIRECT(ADDRESS(275,38))</f>
        <v>0</v>
      </c>
      <c r="AM276">
        <f>INDIRECT(ADDRESS(276,38))+INDIRECT(ADDRESS(274,39))-INDIRECT(ADDRESS(275,39))</f>
        <v>0</v>
      </c>
      <c r="AN276">
        <f>INDIRECT(ADDRESS(276,39))+INDIRECT(ADDRESS(274,40))-INDIRECT(ADDRESS(275,40))</f>
        <v>0</v>
      </c>
      <c r="AO276">
        <f>SUM(INDIRECT(ADDRESS(275,8)):INDIRECT(ADDRESS(275,39)))</f>
        <v>0</v>
      </c>
    </row>
    <row r="277" spans="1:41">
      <c r="A277" t="s">
        <v>185</v>
      </c>
      <c r="B277" t="s">
        <v>299</v>
      </c>
      <c r="C277" t="s">
        <v>300</v>
      </c>
      <c r="E277">
        <v>2</v>
      </c>
      <c r="F277" t="s">
        <v>11</v>
      </c>
      <c r="I277" t="s">
        <v>177</v>
      </c>
    </row>
    <row r="278" spans="1:41">
      <c r="I278" t="s">
        <v>178</v>
      </c>
      <c r="J278">
        <f>IFERROR(VLOOKUP("927-004000-100",B:AB,1+8,0),0)</f>
        <v>0</v>
      </c>
      <c r="K278">
        <f>IFERROR(VLOOKUP("927-004000-100",B:AB,2+8,0),0)</f>
        <v>0</v>
      </c>
      <c r="L278">
        <f>IFERROR(VLOOKUP("927-004000-100",B:AB,3+8,0),0)</f>
        <v>0</v>
      </c>
      <c r="M278">
        <f>IFERROR(VLOOKUP("927-004000-100",B:AB,4+8,0),0)</f>
        <v>0</v>
      </c>
      <c r="N278">
        <f>IFERROR(VLOOKUP("927-004000-100",B:AB,5+8,0),0)</f>
        <v>0</v>
      </c>
      <c r="O278">
        <f>IFERROR(VLOOKUP("927-004000-100",B:AB,6+8,0),0)</f>
        <v>0</v>
      </c>
      <c r="P278">
        <f>IFERROR(VLOOKUP("927-004000-100",B:AB,7+8,0),0)</f>
        <v>0</v>
      </c>
      <c r="Q278">
        <f>IFERROR(VLOOKUP("927-004000-100",B:AB,8+8,0),0)</f>
        <v>0</v>
      </c>
      <c r="R278">
        <f>IFERROR(VLOOKUP("927-004000-100",B:AB,9+8,0),0)</f>
        <v>0</v>
      </c>
      <c r="S278">
        <f>IFERROR(VLOOKUP("927-004000-100",B:AB,10+8,0),0)</f>
        <v>0</v>
      </c>
      <c r="T278">
        <f>IFERROR(VLOOKUP("927-004000-100",B:AB,11+8,0),0)</f>
        <v>0</v>
      </c>
      <c r="U278">
        <f>IFERROR(VLOOKUP("927-004000-100",B:AB,12+8,0),0)</f>
        <v>0</v>
      </c>
      <c r="V278">
        <f>IFERROR(VLOOKUP("927-004000-100",B:AB,13+8,0),0)</f>
        <v>0</v>
      </c>
      <c r="W278">
        <f>IFERROR(VLOOKUP("927-004000-100",B:AB,14+8,0),0)</f>
        <v>0</v>
      </c>
      <c r="X278">
        <f>IFERROR(VLOOKUP("927-004000-100",B:AB,15+8,0),0)</f>
        <v>0</v>
      </c>
      <c r="Y278">
        <f>IFERROR(VLOOKUP("927-004000-100",B:AB,16+8,0),0)</f>
        <v>0</v>
      </c>
      <c r="Z278">
        <f>IFERROR(VLOOKUP("927-004000-100",B:AB,17+8,0),0)</f>
        <v>0</v>
      </c>
      <c r="AA278">
        <f>IFERROR(VLOOKUP("927-004000-100",B:AB,18+8,0),0)</f>
        <v>0</v>
      </c>
      <c r="AB278">
        <f>IFERROR(VLOOKUP("927-004000-100",B:AB,19+8,0),0)</f>
        <v>0</v>
      </c>
      <c r="AC278">
        <f>IFERROR(VLOOKUP("927-004000-100",B:AB,20+8,0),0)</f>
        <v>0</v>
      </c>
      <c r="AD278">
        <f>IFERROR(VLOOKUP("927-004000-100",B:AB,21+8,0),0)</f>
        <v>0</v>
      </c>
      <c r="AE278">
        <f>IFERROR(VLOOKUP("927-004000-100",B:AB,22+8,0),0)</f>
        <v>0</v>
      </c>
      <c r="AF278">
        <f>IFERROR(VLOOKUP("927-004000-100",B:AB,23+8,0),0)</f>
        <v>0</v>
      </c>
      <c r="AG278">
        <f>IFERROR(VLOOKUP("927-004000-100",B:AB,24+8,0),0)</f>
        <v>0</v>
      </c>
      <c r="AH278">
        <f>IFERROR(VLOOKUP("927-004000-100",B:AB,25+8,0),0)</f>
        <v>0</v>
      </c>
      <c r="AI278">
        <f>IFERROR(VLOOKUP("927-004000-100",B:AB,26+8,0),0)</f>
        <v>0</v>
      </c>
      <c r="AJ278">
        <f>IFERROR(VLOOKUP("927-004000-100",B:AB,27+8,0),0)</f>
        <v>0</v>
      </c>
      <c r="AK278">
        <f>IFERROR(VLOOKUP("927-004000-100",B:AB,28+8,0),0)</f>
        <v>0</v>
      </c>
      <c r="AL278">
        <f>IFERROR(VLOOKUP("927-004000-100",B:AB,29+8,0),0)</f>
        <v>0</v>
      </c>
      <c r="AM278">
        <f>IFERROR(VLOOKUP("927-004000-100",B:AB,30+8,0),0)</f>
        <v>0</v>
      </c>
      <c r="AN278">
        <f>IFERROR(VLOOKUP("927-004000-100",B:AB,31+8,0),0)</f>
        <v>0</v>
      </c>
      <c r="AO278">
        <f>SUN(INDIRECT(ADDRESS(277,8)):INDIRECT(ADDRESS(277,39)))</f>
        <v>0</v>
      </c>
    </row>
    <row r="279" spans="1:41">
      <c r="H279" t="s">
        <v>179</v>
      </c>
      <c r="J279">
        <f>INDIRECT(ADDRESS(279,9))+INDIRECT(ADDRESS(277,10))-INDIRECT(ADDRESS(278,10))</f>
        <v>0</v>
      </c>
      <c r="K279">
        <f>INDIRECT(ADDRESS(279,10))+INDIRECT(ADDRESS(277,11))-INDIRECT(ADDRESS(278,11))</f>
        <v>0</v>
      </c>
      <c r="L279">
        <f>INDIRECT(ADDRESS(279,11))+INDIRECT(ADDRESS(277,12))-INDIRECT(ADDRESS(278,12))</f>
        <v>0</v>
      </c>
      <c r="M279">
        <f>INDIRECT(ADDRESS(279,12))+INDIRECT(ADDRESS(277,13))-INDIRECT(ADDRESS(278,13))</f>
        <v>0</v>
      </c>
      <c r="N279">
        <f>INDIRECT(ADDRESS(279,13))+INDIRECT(ADDRESS(277,14))-INDIRECT(ADDRESS(278,14))</f>
        <v>0</v>
      </c>
      <c r="O279">
        <f>INDIRECT(ADDRESS(279,14))+INDIRECT(ADDRESS(277,15))-INDIRECT(ADDRESS(278,15))</f>
        <v>0</v>
      </c>
      <c r="P279">
        <f>INDIRECT(ADDRESS(279,15))+INDIRECT(ADDRESS(277,16))-INDIRECT(ADDRESS(278,16))</f>
        <v>0</v>
      </c>
      <c r="Q279">
        <f>INDIRECT(ADDRESS(279,16))+INDIRECT(ADDRESS(277,17))-INDIRECT(ADDRESS(278,17))</f>
        <v>0</v>
      </c>
      <c r="R279">
        <f>INDIRECT(ADDRESS(279,17))+INDIRECT(ADDRESS(277,18))-INDIRECT(ADDRESS(278,18))</f>
        <v>0</v>
      </c>
      <c r="S279">
        <f>INDIRECT(ADDRESS(279,18))+INDIRECT(ADDRESS(277,19))-INDIRECT(ADDRESS(278,19))</f>
        <v>0</v>
      </c>
      <c r="T279">
        <f>INDIRECT(ADDRESS(279,19))+INDIRECT(ADDRESS(277,20))-INDIRECT(ADDRESS(278,20))</f>
        <v>0</v>
      </c>
      <c r="U279">
        <f>INDIRECT(ADDRESS(279,20))+INDIRECT(ADDRESS(277,21))-INDIRECT(ADDRESS(278,21))</f>
        <v>0</v>
      </c>
      <c r="V279">
        <f>INDIRECT(ADDRESS(279,21))+INDIRECT(ADDRESS(277,22))-INDIRECT(ADDRESS(278,22))</f>
        <v>0</v>
      </c>
      <c r="W279">
        <f>INDIRECT(ADDRESS(279,22))+INDIRECT(ADDRESS(277,23))-INDIRECT(ADDRESS(278,23))</f>
        <v>0</v>
      </c>
      <c r="X279">
        <f>INDIRECT(ADDRESS(279,23))+INDIRECT(ADDRESS(277,24))-INDIRECT(ADDRESS(278,24))</f>
        <v>0</v>
      </c>
      <c r="Y279">
        <f>INDIRECT(ADDRESS(279,24))+INDIRECT(ADDRESS(277,25))-INDIRECT(ADDRESS(278,25))</f>
        <v>0</v>
      </c>
      <c r="Z279">
        <f>INDIRECT(ADDRESS(279,25))+INDIRECT(ADDRESS(277,26))-INDIRECT(ADDRESS(278,26))</f>
        <v>0</v>
      </c>
      <c r="AA279">
        <f>INDIRECT(ADDRESS(279,26))+INDIRECT(ADDRESS(277,27))-INDIRECT(ADDRESS(278,27))</f>
        <v>0</v>
      </c>
      <c r="AB279">
        <f>INDIRECT(ADDRESS(279,27))+INDIRECT(ADDRESS(277,28))-INDIRECT(ADDRESS(278,28))</f>
        <v>0</v>
      </c>
      <c r="AC279">
        <f>INDIRECT(ADDRESS(279,28))+INDIRECT(ADDRESS(277,29))-INDIRECT(ADDRESS(278,29))</f>
        <v>0</v>
      </c>
      <c r="AD279">
        <f>INDIRECT(ADDRESS(279,29))+INDIRECT(ADDRESS(277,30))-INDIRECT(ADDRESS(278,30))</f>
        <v>0</v>
      </c>
      <c r="AE279">
        <f>INDIRECT(ADDRESS(279,30))+INDIRECT(ADDRESS(277,31))-INDIRECT(ADDRESS(278,31))</f>
        <v>0</v>
      </c>
      <c r="AF279">
        <f>INDIRECT(ADDRESS(279,31))+INDIRECT(ADDRESS(277,32))-INDIRECT(ADDRESS(278,32))</f>
        <v>0</v>
      </c>
      <c r="AG279">
        <f>INDIRECT(ADDRESS(279,32))+INDIRECT(ADDRESS(277,33))-INDIRECT(ADDRESS(278,33))</f>
        <v>0</v>
      </c>
      <c r="AH279">
        <f>INDIRECT(ADDRESS(279,33))+INDIRECT(ADDRESS(277,34))-INDIRECT(ADDRESS(278,34))</f>
        <v>0</v>
      </c>
      <c r="AI279">
        <f>INDIRECT(ADDRESS(279,34))+INDIRECT(ADDRESS(277,35))-INDIRECT(ADDRESS(278,35))</f>
        <v>0</v>
      </c>
      <c r="AJ279">
        <f>INDIRECT(ADDRESS(279,35))+INDIRECT(ADDRESS(277,36))-INDIRECT(ADDRESS(278,36))</f>
        <v>0</v>
      </c>
      <c r="AK279">
        <f>INDIRECT(ADDRESS(279,36))+INDIRECT(ADDRESS(277,37))-INDIRECT(ADDRESS(278,37))</f>
        <v>0</v>
      </c>
      <c r="AL279">
        <f>INDIRECT(ADDRESS(279,37))+INDIRECT(ADDRESS(277,38))-INDIRECT(ADDRESS(278,38))</f>
        <v>0</v>
      </c>
      <c r="AM279">
        <f>INDIRECT(ADDRESS(279,38))+INDIRECT(ADDRESS(277,39))-INDIRECT(ADDRESS(278,39))</f>
        <v>0</v>
      </c>
      <c r="AN279">
        <f>INDIRECT(ADDRESS(279,39))+INDIRECT(ADDRESS(277,40))-INDIRECT(ADDRESS(278,40))</f>
        <v>0</v>
      </c>
      <c r="AO279">
        <f>SUM(INDIRECT(ADDRESS(278,8)):INDIRECT(ADDRESS(278,39)))</f>
        <v>0</v>
      </c>
    </row>
    <row r="280" spans="1:41">
      <c r="A280" t="s">
        <v>238</v>
      </c>
      <c r="B280" t="s">
        <v>288</v>
      </c>
      <c r="C280" t="s">
        <v>301</v>
      </c>
      <c r="E280">
        <v>0.17</v>
      </c>
      <c r="F280" t="s">
        <v>11</v>
      </c>
      <c r="I280" t="s">
        <v>177</v>
      </c>
    </row>
    <row r="281" spans="1:41">
      <c r="I281" t="s">
        <v>178</v>
      </c>
      <c r="J281">
        <f>IFERROR(VLOOKUP("927-004000-100",B:AB,1+8,0),0)</f>
        <v>0</v>
      </c>
      <c r="K281">
        <f>IFERROR(VLOOKUP("927-004000-100",B:AB,2+8,0),0)</f>
        <v>0</v>
      </c>
      <c r="L281">
        <f>IFERROR(VLOOKUP("927-004000-100",B:AB,3+8,0),0)</f>
        <v>0</v>
      </c>
      <c r="M281">
        <f>IFERROR(VLOOKUP("927-004000-100",B:AB,4+8,0),0)</f>
        <v>0</v>
      </c>
      <c r="N281">
        <f>IFERROR(VLOOKUP("927-004000-100",B:AB,5+8,0),0)</f>
        <v>0</v>
      </c>
      <c r="O281">
        <f>IFERROR(VLOOKUP("927-004000-100",B:AB,6+8,0),0)</f>
        <v>0</v>
      </c>
      <c r="P281">
        <f>IFERROR(VLOOKUP("927-004000-100",B:AB,7+8,0),0)</f>
        <v>0</v>
      </c>
      <c r="Q281">
        <f>IFERROR(VLOOKUP("927-004000-100",B:AB,8+8,0),0)</f>
        <v>0</v>
      </c>
      <c r="R281">
        <f>IFERROR(VLOOKUP("927-004000-100",B:AB,9+8,0),0)</f>
        <v>0</v>
      </c>
      <c r="S281">
        <f>IFERROR(VLOOKUP("927-004000-100",B:AB,10+8,0),0)</f>
        <v>0</v>
      </c>
      <c r="T281">
        <f>IFERROR(VLOOKUP("927-004000-100",B:AB,11+8,0),0)</f>
        <v>0</v>
      </c>
      <c r="U281">
        <f>IFERROR(VLOOKUP("927-004000-100",B:AB,12+8,0),0)</f>
        <v>0</v>
      </c>
      <c r="V281">
        <f>IFERROR(VLOOKUP("927-004000-100",B:AB,13+8,0),0)</f>
        <v>0</v>
      </c>
      <c r="W281">
        <f>IFERROR(VLOOKUP("927-004000-100",B:AB,14+8,0),0)</f>
        <v>0</v>
      </c>
      <c r="X281">
        <f>IFERROR(VLOOKUP("927-004000-100",B:AB,15+8,0),0)</f>
        <v>0</v>
      </c>
      <c r="Y281">
        <f>IFERROR(VLOOKUP("927-004000-100",B:AB,16+8,0),0)</f>
        <v>0</v>
      </c>
      <c r="Z281">
        <f>IFERROR(VLOOKUP("927-004000-100",B:AB,17+8,0),0)</f>
        <v>0</v>
      </c>
      <c r="AA281">
        <f>IFERROR(VLOOKUP("927-004000-100",B:AB,18+8,0),0)</f>
        <v>0</v>
      </c>
      <c r="AB281">
        <f>IFERROR(VLOOKUP("927-004000-100",B:AB,19+8,0),0)</f>
        <v>0</v>
      </c>
      <c r="AC281">
        <f>IFERROR(VLOOKUP("927-004000-100",B:AB,20+8,0),0)</f>
        <v>0</v>
      </c>
      <c r="AD281">
        <f>IFERROR(VLOOKUP("927-004000-100",B:AB,21+8,0),0)</f>
        <v>0</v>
      </c>
      <c r="AE281">
        <f>IFERROR(VLOOKUP("927-004000-100",B:AB,22+8,0),0)</f>
        <v>0</v>
      </c>
      <c r="AF281">
        <f>IFERROR(VLOOKUP("927-004000-100",B:AB,23+8,0),0)</f>
        <v>0</v>
      </c>
      <c r="AG281">
        <f>IFERROR(VLOOKUP("927-004000-100",B:AB,24+8,0),0)</f>
        <v>0</v>
      </c>
      <c r="AH281">
        <f>IFERROR(VLOOKUP("927-004000-100",B:AB,25+8,0),0)</f>
        <v>0</v>
      </c>
      <c r="AI281">
        <f>IFERROR(VLOOKUP("927-004000-100",B:AB,26+8,0),0)</f>
        <v>0</v>
      </c>
      <c r="AJ281">
        <f>IFERROR(VLOOKUP("927-004000-100",B:AB,27+8,0),0)</f>
        <v>0</v>
      </c>
      <c r="AK281">
        <f>IFERROR(VLOOKUP("927-004000-100",B:AB,28+8,0),0)</f>
        <v>0</v>
      </c>
      <c r="AL281">
        <f>IFERROR(VLOOKUP("927-004000-100",B:AB,29+8,0),0)</f>
        <v>0</v>
      </c>
      <c r="AM281">
        <f>IFERROR(VLOOKUP("927-004000-100",B:AB,30+8,0),0)</f>
        <v>0</v>
      </c>
      <c r="AN281">
        <f>IFERROR(VLOOKUP("927-004000-100",B:AB,31+8,0),0)</f>
        <v>0</v>
      </c>
      <c r="AO281">
        <f>SUN(INDIRECT(ADDRESS(280,8)):INDIRECT(ADDRESS(280,39)))</f>
        <v>0</v>
      </c>
    </row>
    <row r="282" spans="1:41">
      <c r="H282" t="s">
        <v>179</v>
      </c>
      <c r="J282">
        <f>INDIRECT(ADDRESS(282,9))+INDIRECT(ADDRESS(280,10))-INDIRECT(ADDRESS(281,10))</f>
        <v>0</v>
      </c>
      <c r="K282">
        <f>INDIRECT(ADDRESS(282,10))+INDIRECT(ADDRESS(280,11))-INDIRECT(ADDRESS(281,11))</f>
        <v>0</v>
      </c>
      <c r="L282">
        <f>INDIRECT(ADDRESS(282,11))+INDIRECT(ADDRESS(280,12))-INDIRECT(ADDRESS(281,12))</f>
        <v>0</v>
      </c>
      <c r="M282">
        <f>INDIRECT(ADDRESS(282,12))+INDIRECT(ADDRESS(280,13))-INDIRECT(ADDRESS(281,13))</f>
        <v>0</v>
      </c>
      <c r="N282">
        <f>INDIRECT(ADDRESS(282,13))+INDIRECT(ADDRESS(280,14))-INDIRECT(ADDRESS(281,14))</f>
        <v>0</v>
      </c>
      <c r="O282">
        <f>INDIRECT(ADDRESS(282,14))+INDIRECT(ADDRESS(280,15))-INDIRECT(ADDRESS(281,15))</f>
        <v>0</v>
      </c>
      <c r="P282">
        <f>INDIRECT(ADDRESS(282,15))+INDIRECT(ADDRESS(280,16))-INDIRECT(ADDRESS(281,16))</f>
        <v>0</v>
      </c>
      <c r="Q282">
        <f>INDIRECT(ADDRESS(282,16))+INDIRECT(ADDRESS(280,17))-INDIRECT(ADDRESS(281,17))</f>
        <v>0</v>
      </c>
      <c r="R282">
        <f>INDIRECT(ADDRESS(282,17))+INDIRECT(ADDRESS(280,18))-INDIRECT(ADDRESS(281,18))</f>
        <v>0</v>
      </c>
      <c r="S282">
        <f>INDIRECT(ADDRESS(282,18))+INDIRECT(ADDRESS(280,19))-INDIRECT(ADDRESS(281,19))</f>
        <v>0</v>
      </c>
      <c r="T282">
        <f>INDIRECT(ADDRESS(282,19))+INDIRECT(ADDRESS(280,20))-INDIRECT(ADDRESS(281,20))</f>
        <v>0</v>
      </c>
      <c r="U282">
        <f>INDIRECT(ADDRESS(282,20))+INDIRECT(ADDRESS(280,21))-INDIRECT(ADDRESS(281,21))</f>
        <v>0</v>
      </c>
      <c r="V282">
        <f>INDIRECT(ADDRESS(282,21))+INDIRECT(ADDRESS(280,22))-INDIRECT(ADDRESS(281,22))</f>
        <v>0</v>
      </c>
      <c r="W282">
        <f>INDIRECT(ADDRESS(282,22))+INDIRECT(ADDRESS(280,23))-INDIRECT(ADDRESS(281,23))</f>
        <v>0</v>
      </c>
      <c r="X282">
        <f>INDIRECT(ADDRESS(282,23))+INDIRECT(ADDRESS(280,24))-INDIRECT(ADDRESS(281,24))</f>
        <v>0</v>
      </c>
      <c r="Y282">
        <f>INDIRECT(ADDRESS(282,24))+INDIRECT(ADDRESS(280,25))-INDIRECT(ADDRESS(281,25))</f>
        <v>0</v>
      </c>
      <c r="Z282">
        <f>INDIRECT(ADDRESS(282,25))+INDIRECT(ADDRESS(280,26))-INDIRECT(ADDRESS(281,26))</f>
        <v>0</v>
      </c>
      <c r="AA282">
        <f>INDIRECT(ADDRESS(282,26))+INDIRECT(ADDRESS(280,27))-INDIRECT(ADDRESS(281,27))</f>
        <v>0</v>
      </c>
      <c r="AB282">
        <f>INDIRECT(ADDRESS(282,27))+INDIRECT(ADDRESS(280,28))-INDIRECT(ADDRESS(281,28))</f>
        <v>0</v>
      </c>
      <c r="AC282">
        <f>INDIRECT(ADDRESS(282,28))+INDIRECT(ADDRESS(280,29))-INDIRECT(ADDRESS(281,29))</f>
        <v>0</v>
      </c>
      <c r="AD282">
        <f>INDIRECT(ADDRESS(282,29))+INDIRECT(ADDRESS(280,30))-INDIRECT(ADDRESS(281,30))</f>
        <v>0</v>
      </c>
      <c r="AE282">
        <f>INDIRECT(ADDRESS(282,30))+INDIRECT(ADDRESS(280,31))-INDIRECT(ADDRESS(281,31))</f>
        <v>0</v>
      </c>
      <c r="AF282">
        <f>INDIRECT(ADDRESS(282,31))+INDIRECT(ADDRESS(280,32))-INDIRECT(ADDRESS(281,32))</f>
        <v>0</v>
      </c>
      <c r="AG282">
        <f>INDIRECT(ADDRESS(282,32))+INDIRECT(ADDRESS(280,33))-INDIRECT(ADDRESS(281,33))</f>
        <v>0</v>
      </c>
      <c r="AH282">
        <f>INDIRECT(ADDRESS(282,33))+INDIRECT(ADDRESS(280,34))-INDIRECT(ADDRESS(281,34))</f>
        <v>0</v>
      </c>
      <c r="AI282">
        <f>INDIRECT(ADDRESS(282,34))+INDIRECT(ADDRESS(280,35))-INDIRECT(ADDRESS(281,35))</f>
        <v>0</v>
      </c>
      <c r="AJ282">
        <f>INDIRECT(ADDRESS(282,35))+INDIRECT(ADDRESS(280,36))-INDIRECT(ADDRESS(281,36))</f>
        <v>0</v>
      </c>
      <c r="AK282">
        <f>INDIRECT(ADDRESS(282,36))+INDIRECT(ADDRESS(280,37))-INDIRECT(ADDRESS(281,37))</f>
        <v>0</v>
      </c>
      <c r="AL282">
        <f>INDIRECT(ADDRESS(282,37))+INDIRECT(ADDRESS(280,38))-INDIRECT(ADDRESS(281,38))</f>
        <v>0</v>
      </c>
      <c r="AM282">
        <f>INDIRECT(ADDRESS(282,38))+INDIRECT(ADDRESS(280,39))-INDIRECT(ADDRESS(281,39))</f>
        <v>0</v>
      </c>
      <c r="AN282">
        <f>INDIRECT(ADDRESS(282,39))+INDIRECT(ADDRESS(280,40))-INDIRECT(ADDRESS(281,40))</f>
        <v>0</v>
      </c>
      <c r="AO282">
        <f>SUM(INDIRECT(ADDRESS(281,8)):INDIRECT(ADDRESS(281,39)))</f>
        <v>0</v>
      </c>
    </row>
    <row r="283" spans="1:41">
      <c r="A283" t="s">
        <v>8</v>
      </c>
      <c r="B283" t="s">
        <v>27</v>
      </c>
      <c r="C283" t="s">
        <v>29</v>
      </c>
      <c r="E283">
        <v>1</v>
      </c>
      <c r="F283" t="s">
        <v>11</v>
      </c>
      <c r="I283" t="s">
        <v>177</v>
      </c>
    </row>
    <row r="284" spans="1:41">
      <c r="I284" t="s">
        <v>178</v>
      </c>
      <c r="J284">
        <f>IFERROR(VLOOKUP("927-004000-100",Out!B:AB,1+8,0),0)</f>
        <v>0</v>
      </c>
      <c r="K284">
        <f>IFERROR(VLOOKUP("927-004000-100",Out!B:AB,2+8,0),0)</f>
        <v>0</v>
      </c>
      <c r="L284">
        <f>IFERROR(VLOOKUP("927-004000-100",Out!B:AB,3+8,0),0)</f>
        <v>0</v>
      </c>
      <c r="M284">
        <f>IFERROR(VLOOKUP("927-004000-100",Out!B:AB,4+8,0),0)</f>
        <v>0</v>
      </c>
      <c r="N284">
        <f>IFERROR(VLOOKUP("927-004000-100",Out!B:AB,5+8,0),0)</f>
        <v>0</v>
      </c>
      <c r="O284">
        <f>IFERROR(VLOOKUP("927-004000-100",Out!B:AB,6+8,0),0)</f>
        <v>0</v>
      </c>
      <c r="P284">
        <f>IFERROR(VLOOKUP("927-004000-100",Out!B:AB,7+8,0),0)</f>
        <v>0</v>
      </c>
      <c r="Q284">
        <f>IFERROR(VLOOKUP("927-004000-100",Out!B:AB,8+8,0),0)</f>
        <v>0</v>
      </c>
      <c r="R284">
        <f>IFERROR(VLOOKUP("927-004000-100",Out!B:AB,9+8,0),0)</f>
        <v>0</v>
      </c>
      <c r="S284">
        <f>IFERROR(VLOOKUP("927-004000-100",Out!B:AB,10+8,0),0)</f>
        <v>0</v>
      </c>
      <c r="T284">
        <f>IFERROR(VLOOKUP("927-004000-100",Out!B:AB,11+8,0),0)</f>
        <v>0</v>
      </c>
      <c r="U284">
        <f>IFERROR(VLOOKUP("927-004000-100",Out!B:AB,12+8,0),0)</f>
        <v>0</v>
      </c>
      <c r="V284">
        <f>IFERROR(VLOOKUP("927-004000-100",Out!B:AB,13+8,0),0)</f>
        <v>0</v>
      </c>
      <c r="W284">
        <f>IFERROR(VLOOKUP("927-004000-100",Out!B:AB,14+8,0),0)</f>
        <v>0</v>
      </c>
      <c r="X284">
        <f>IFERROR(VLOOKUP("927-004000-100",Out!B:AB,15+8,0),0)</f>
        <v>0</v>
      </c>
      <c r="Y284">
        <f>IFERROR(VLOOKUP("927-004000-100",Out!B:AB,16+8,0),0)</f>
        <v>0</v>
      </c>
      <c r="Z284">
        <f>IFERROR(VLOOKUP("927-004000-100",Out!B:AB,17+8,0),0)</f>
        <v>0</v>
      </c>
      <c r="AA284">
        <f>IFERROR(VLOOKUP("927-004000-100",Out!B:AB,18+8,0),0)</f>
        <v>0</v>
      </c>
      <c r="AB284">
        <f>IFERROR(VLOOKUP("927-004000-100",Out!B:AB,19+8,0),0)</f>
        <v>0</v>
      </c>
      <c r="AC284">
        <f>IFERROR(VLOOKUP("927-004000-100",Out!B:AB,20+8,0),0)</f>
        <v>0</v>
      </c>
      <c r="AD284">
        <f>IFERROR(VLOOKUP("927-004000-100",Out!B:AB,21+8,0),0)</f>
        <v>0</v>
      </c>
      <c r="AE284">
        <f>IFERROR(VLOOKUP("927-004000-100",Out!B:AB,22+8,0),0)</f>
        <v>0</v>
      </c>
      <c r="AF284">
        <f>IFERROR(VLOOKUP("927-004000-100",Out!B:AB,23+8,0),0)</f>
        <v>0</v>
      </c>
      <c r="AG284">
        <f>IFERROR(VLOOKUP("927-004000-100",Out!B:AB,24+8,0),0)</f>
        <v>0</v>
      </c>
      <c r="AH284">
        <f>IFERROR(VLOOKUP("927-004000-100",Out!B:AB,25+8,0),0)</f>
        <v>0</v>
      </c>
      <c r="AI284">
        <f>IFERROR(VLOOKUP("927-004000-100",Out!B:AB,26+8,0),0)</f>
        <v>0</v>
      </c>
      <c r="AJ284">
        <f>IFERROR(VLOOKUP("927-004000-100",Out!B:AB,27+8,0),0)</f>
        <v>0</v>
      </c>
      <c r="AK284">
        <f>IFERROR(VLOOKUP("927-004000-100",Out!B:AB,28+8,0),0)</f>
        <v>0</v>
      </c>
      <c r="AL284">
        <f>IFERROR(VLOOKUP("927-004000-100",Out!B:AB,29+8,0),0)</f>
        <v>0</v>
      </c>
      <c r="AM284">
        <f>IFERROR(VLOOKUP("927-004000-100",Out!B:AB,30+8,0),0)</f>
        <v>0</v>
      </c>
      <c r="AN284">
        <f>IFERROR(VLOOKUP("927-004000-100",Out!B:AB,31+8,0),0)</f>
        <v>0</v>
      </c>
      <c r="AO284">
        <f>SUN(INDIRECT(ADDRESS(283,8)):INDIRECT(ADDRESS(283,39)))</f>
        <v>0</v>
      </c>
    </row>
    <row r="285" spans="1:41">
      <c r="H285" t="s">
        <v>179</v>
      </c>
      <c r="J285">
        <f>INDIRECT(ADDRESS(285,9))+INDIRECT(ADDRESS(283,10))-INDIRECT(ADDRESS(284,10))</f>
        <v>0</v>
      </c>
      <c r="K285">
        <f>INDIRECT(ADDRESS(285,10))+INDIRECT(ADDRESS(283,11))-INDIRECT(ADDRESS(284,11))</f>
        <v>0</v>
      </c>
      <c r="L285">
        <f>INDIRECT(ADDRESS(285,11))+INDIRECT(ADDRESS(283,12))-INDIRECT(ADDRESS(284,12))</f>
        <v>0</v>
      </c>
      <c r="M285">
        <f>INDIRECT(ADDRESS(285,12))+INDIRECT(ADDRESS(283,13))-INDIRECT(ADDRESS(284,13))</f>
        <v>0</v>
      </c>
      <c r="N285">
        <f>INDIRECT(ADDRESS(285,13))+INDIRECT(ADDRESS(283,14))-INDIRECT(ADDRESS(284,14))</f>
        <v>0</v>
      </c>
      <c r="O285">
        <f>INDIRECT(ADDRESS(285,14))+INDIRECT(ADDRESS(283,15))-INDIRECT(ADDRESS(284,15))</f>
        <v>0</v>
      </c>
      <c r="P285">
        <f>INDIRECT(ADDRESS(285,15))+INDIRECT(ADDRESS(283,16))-INDIRECT(ADDRESS(284,16))</f>
        <v>0</v>
      </c>
      <c r="Q285">
        <f>INDIRECT(ADDRESS(285,16))+INDIRECT(ADDRESS(283,17))-INDIRECT(ADDRESS(284,17))</f>
        <v>0</v>
      </c>
      <c r="R285">
        <f>INDIRECT(ADDRESS(285,17))+INDIRECT(ADDRESS(283,18))-INDIRECT(ADDRESS(284,18))</f>
        <v>0</v>
      </c>
      <c r="S285">
        <f>INDIRECT(ADDRESS(285,18))+INDIRECT(ADDRESS(283,19))-INDIRECT(ADDRESS(284,19))</f>
        <v>0</v>
      </c>
      <c r="T285">
        <f>INDIRECT(ADDRESS(285,19))+INDIRECT(ADDRESS(283,20))-INDIRECT(ADDRESS(284,20))</f>
        <v>0</v>
      </c>
      <c r="U285">
        <f>INDIRECT(ADDRESS(285,20))+INDIRECT(ADDRESS(283,21))-INDIRECT(ADDRESS(284,21))</f>
        <v>0</v>
      </c>
      <c r="V285">
        <f>INDIRECT(ADDRESS(285,21))+INDIRECT(ADDRESS(283,22))-INDIRECT(ADDRESS(284,22))</f>
        <v>0</v>
      </c>
      <c r="W285">
        <f>INDIRECT(ADDRESS(285,22))+INDIRECT(ADDRESS(283,23))-INDIRECT(ADDRESS(284,23))</f>
        <v>0</v>
      </c>
      <c r="X285">
        <f>INDIRECT(ADDRESS(285,23))+INDIRECT(ADDRESS(283,24))-INDIRECT(ADDRESS(284,24))</f>
        <v>0</v>
      </c>
      <c r="Y285">
        <f>INDIRECT(ADDRESS(285,24))+INDIRECT(ADDRESS(283,25))-INDIRECT(ADDRESS(284,25))</f>
        <v>0</v>
      </c>
      <c r="Z285">
        <f>INDIRECT(ADDRESS(285,25))+INDIRECT(ADDRESS(283,26))-INDIRECT(ADDRESS(284,26))</f>
        <v>0</v>
      </c>
      <c r="AA285">
        <f>INDIRECT(ADDRESS(285,26))+INDIRECT(ADDRESS(283,27))-INDIRECT(ADDRESS(284,27))</f>
        <v>0</v>
      </c>
      <c r="AB285">
        <f>INDIRECT(ADDRESS(285,27))+INDIRECT(ADDRESS(283,28))-INDIRECT(ADDRESS(284,28))</f>
        <v>0</v>
      </c>
      <c r="AC285">
        <f>INDIRECT(ADDRESS(285,28))+INDIRECT(ADDRESS(283,29))-INDIRECT(ADDRESS(284,29))</f>
        <v>0</v>
      </c>
      <c r="AD285">
        <f>INDIRECT(ADDRESS(285,29))+INDIRECT(ADDRESS(283,30))-INDIRECT(ADDRESS(284,30))</f>
        <v>0</v>
      </c>
      <c r="AE285">
        <f>INDIRECT(ADDRESS(285,30))+INDIRECT(ADDRESS(283,31))-INDIRECT(ADDRESS(284,31))</f>
        <v>0</v>
      </c>
      <c r="AF285">
        <f>INDIRECT(ADDRESS(285,31))+INDIRECT(ADDRESS(283,32))-INDIRECT(ADDRESS(284,32))</f>
        <v>0</v>
      </c>
      <c r="AG285">
        <f>INDIRECT(ADDRESS(285,32))+INDIRECT(ADDRESS(283,33))-INDIRECT(ADDRESS(284,33))</f>
        <v>0</v>
      </c>
      <c r="AH285">
        <f>INDIRECT(ADDRESS(285,33))+INDIRECT(ADDRESS(283,34))-INDIRECT(ADDRESS(284,34))</f>
        <v>0</v>
      </c>
      <c r="AI285">
        <f>INDIRECT(ADDRESS(285,34))+INDIRECT(ADDRESS(283,35))-INDIRECT(ADDRESS(284,35))</f>
        <v>0</v>
      </c>
      <c r="AJ285">
        <f>INDIRECT(ADDRESS(285,35))+INDIRECT(ADDRESS(283,36))-INDIRECT(ADDRESS(284,36))</f>
        <v>0</v>
      </c>
      <c r="AK285">
        <f>INDIRECT(ADDRESS(285,36))+INDIRECT(ADDRESS(283,37))-INDIRECT(ADDRESS(284,37))</f>
        <v>0</v>
      </c>
      <c r="AL285">
        <f>INDIRECT(ADDRESS(285,37))+INDIRECT(ADDRESS(283,38))-INDIRECT(ADDRESS(284,38))</f>
        <v>0</v>
      </c>
      <c r="AM285">
        <f>INDIRECT(ADDRESS(285,38))+INDIRECT(ADDRESS(283,39))-INDIRECT(ADDRESS(284,39))</f>
        <v>0</v>
      </c>
      <c r="AN285">
        <f>INDIRECT(ADDRESS(285,39))+INDIRECT(ADDRESS(283,40))-INDIRECT(ADDRESS(284,40))</f>
        <v>0</v>
      </c>
      <c r="AO285">
        <f>SUM(INDIRECT(ADDRESS(284,8)):INDIRECT(ADDRESS(284,39)))</f>
        <v>0</v>
      </c>
    </row>
    <row r="286" spans="1:41">
      <c r="A286" t="s">
        <v>180</v>
      </c>
      <c r="B286" t="s">
        <v>302</v>
      </c>
      <c r="C286" t="s">
        <v>303</v>
      </c>
      <c r="E286">
        <v>1</v>
      </c>
      <c r="F286" t="s">
        <v>11</v>
      </c>
      <c r="I286" t="s">
        <v>177</v>
      </c>
    </row>
    <row r="287" spans="1:41">
      <c r="I287" t="s">
        <v>178</v>
      </c>
      <c r="J287">
        <f>IFERROR(VLOOKUP("927-004000-100",B:AB,1+8,0),0)</f>
        <v>0</v>
      </c>
      <c r="K287">
        <f>IFERROR(VLOOKUP("927-004000-100",B:AB,2+8,0),0)</f>
        <v>0</v>
      </c>
      <c r="L287">
        <f>IFERROR(VLOOKUP("927-004000-100",B:AB,3+8,0),0)</f>
        <v>0</v>
      </c>
      <c r="M287">
        <f>IFERROR(VLOOKUP("927-004000-100",B:AB,4+8,0),0)</f>
        <v>0</v>
      </c>
      <c r="N287">
        <f>IFERROR(VLOOKUP("927-004000-100",B:AB,5+8,0),0)</f>
        <v>0</v>
      </c>
      <c r="O287">
        <f>IFERROR(VLOOKUP("927-004000-100",B:AB,6+8,0),0)</f>
        <v>0</v>
      </c>
      <c r="P287">
        <f>IFERROR(VLOOKUP("927-004000-100",B:AB,7+8,0),0)</f>
        <v>0</v>
      </c>
      <c r="Q287">
        <f>IFERROR(VLOOKUP("927-004000-100",B:AB,8+8,0),0)</f>
        <v>0</v>
      </c>
      <c r="R287">
        <f>IFERROR(VLOOKUP("927-004000-100",B:AB,9+8,0),0)</f>
        <v>0</v>
      </c>
      <c r="S287">
        <f>IFERROR(VLOOKUP("927-004000-100",B:AB,10+8,0),0)</f>
        <v>0</v>
      </c>
      <c r="T287">
        <f>IFERROR(VLOOKUP("927-004000-100",B:AB,11+8,0),0)</f>
        <v>0</v>
      </c>
      <c r="U287">
        <f>IFERROR(VLOOKUP("927-004000-100",B:AB,12+8,0),0)</f>
        <v>0</v>
      </c>
      <c r="V287">
        <f>IFERROR(VLOOKUP("927-004000-100",B:AB,13+8,0),0)</f>
        <v>0</v>
      </c>
      <c r="W287">
        <f>IFERROR(VLOOKUP("927-004000-100",B:AB,14+8,0),0)</f>
        <v>0</v>
      </c>
      <c r="X287">
        <f>IFERROR(VLOOKUP("927-004000-100",B:AB,15+8,0),0)</f>
        <v>0</v>
      </c>
      <c r="Y287">
        <f>IFERROR(VLOOKUP("927-004000-100",B:AB,16+8,0),0)</f>
        <v>0</v>
      </c>
      <c r="Z287">
        <f>IFERROR(VLOOKUP("927-004000-100",B:AB,17+8,0),0)</f>
        <v>0</v>
      </c>
      <c r="AA287">
        <f>IFERROR(VLOOKUP("927-004000-100",B:AB,18+8,0),0)</f>
        <v>0</v>
      </c>
      <c r="AB287">
        <f>IFERROR(VLOOKUP("927-004000-100",B:AB,19+8,0),0)</f>
        <v>0</v>
      </c>
      <c r="AC287">
        <f>IFERROR(VLOOKUP("927-004000-100",B:AB,20+8,0),0)</f>
        <v>0</v>
      </c>
      <c r="AD287">
        <f>IFERROR(VLOOKUP("927-004000-100",B:AB,21+8,0),0)</f>
        <v>0</v>
      </c>
      <c r="AE287">
        <f>IFERROR(VLOOKUP("927-004000-100",B:AB,22+8,0),0)</f>
        <v>0</v>
      </c>
      <c r="AF287">
        <f>IFERROR(VLOOKUP("927-004000-100",B:AB,23+8,0),0)</f>
        <v>0</v>
      </c>
      <c r="AG287">
        <f>IFERROR(VLOOKUP("927-004000-100",B:AB,24+8,0),0)</f>
        <v>0</v>
      </c>
      <c r="AH287">
        <f>IFERROR(VLOOKUP("927-004000-100",B:AB,25+8,0),0)</f>
        <v>0</v>
      </c>
      <c r="AI287">
        <f>IFERROR(VLOOKUP("927-004000-100",B:AB,26+8,0),0)</f>
        <v>0</v>
      </c>
      <c r="AJ287">
        <f>IFERROR(VLOOKUP("927-004000-100",B:AB,27+8,0),0)</f>
        <v>0</v>
      </c>
      <c r="AK287">
        <f>IFERROR(VLOOKUP("927-004000-100",B:AB,28+8,0),0)</f>
        <v>0</v>
      </c>
      <c r="AL287">
        <f>IFERROR(VLOOKUP("927-004000-100",B:AB,29+8,0),0)</f>
        <v>0</v>
      </c>
      <c r="AM287">
        <f>IFERROR(VLOOKUP("927-004000-100",B:AB,30+8,0),0)</f>
        <v>0</v>
      </c>
      <c r="AN287">
        <f>IFERROR(VLOOKUP("927-004000-100",B:AB,31+8,0),0)</f>
        <v>0</v>
      </c>
      <c r="AO287">
        <f>SUN(INDIRECT(ADDRESS(286,8)):INDIRECT(ADDRESS(286,39)))</f>
        <v>0</v>
      </c>
    </row>
    <row r="288" spans="1:41">
      <c r="H288" t="s">
        <v>179</v>
      </c>
      <c r="J288">
        <f>INDIRECT(ADDRESS(288,9))+INDIRECT(ADDRESS(286,10))-INDIRECT(ADDRESS(287,10))</f>
        <v>0</v>
      </c>
      <c r="K288">
        <f>INDIRECT(ADDRESS(288,10))+INDIRECT(ADDRESS(286,11))-INDIRECT(ADDRESS(287,11))</f>
        <v>0</v>
      </c>
      <c r="L288">
        <f>INDIRECT(ADDRESS(288,11))+INDIRECT(ADDRESS(286,12))-INDIRECT(ADDRESS(287,12))</f>
        <v>0</v>
      </c>
      <c r="M288">
        <f>INDIRECT(ADDRESS(288,12))+INDIRECT(ADDRESS(286,13))-INDIRECT(ADDRESS(287,13))</f>
        <v>0</v>
      </c>
      <c r="N288">
        <f>INDIRECT(ADDRESS(288,13))+INDIRECT(ADDRESS(286,14))-INDIRECT(ADDRESS(287,14))</f>
        <v>0</v>
      </c>
      <c r="O288">
        <f>INDIRECT(ADDRESS(288,14))+INDIRECT(ADDRESS(286,15))-INDIRECT(ADDRESS(287,15))</f>
        <v>0</v>
      </c>
      <c r="P288">
        <f>INDIRECT(ADDRESS(288,15))+INDIRECT(ADDRESS(286,16))-INDIRECT(ADDRESS(287,16))</f>
        <v>0</v>
      </c>
      <c r="Q288">
        <f>INDIRECT(ADDRESS(288,16))+INDIRECT(ADDRESS(286,17))-INDIRECT(ADDRESS(287,17))</f>
        <v>0</v>
      </c>
      <c r="R288">
        <f>INDIRECT(ADDRESS(288,17))+INDIRECT(ADDRESS(286,18))-INDIRECT(ADDRESS(287,18))</f>
        <v>0</v>
      </c>
      <c r="S288">
        <f>INDIRECT(ADDRESS(288,18))+INDIRECT(ADDRESS(286,19))-INDIRECT(ADDRESS(287,19))</f>
        <v>0</v>
      </c>
      <c r="T288">
        <f>INDIRECT(ADDRESS(288,19))+INDIRECT(ADDRESS(286,20))-INDIRECT(ADDRESS(287,20))</f>
        <v>0</v>
      </c>
      <c r="U288">
        <f>INDIRECT(ADDRESS(288,20))+INDIRECT(ADDRESS(286,21))-INDIRECT(ADDRESS(287,21))</f>
        <v>0</v>
      </c>
      <c r="V288">
        <f>INDIRECT(ADDRESS(288,21))+INDIRECT(ADDRESS(286,22))-INDIRECT(ADDRESS(287,22))</f>
        <v>0</v>
      </c>
      <c r="W288">
        <f>INDIRECT(ADDRESS(288,22))+INDIRECT(ADDRESS(286,23))-INDIRECT(ADDRESS(287,23))</f>
        <v>0</v>
      </c>
      <c r="X288">
        <f>INDIRECT(ADDRESS(288,23))+INDIRECT(ADDRESS(286,24))-INDIRECT(ADDRESS(287,24))</f>
        <v>0</v>
      </c>
      <c r="Y288">
        <f>INDIRECT(ADDRESS(288,24))+INDIRECT(ADDRESS(286,25))-INDIRECT(ADDRESS(287,25))</f>
        <v>0</v>
      </c>
      <c r="Z288">
        <f>INDIRECT(ADDRESS(288,25))+INDIRECT(ADDRESS(286,26))-INDIRECT(ADDRESS(287,26))</f>
        <v>0</v>
      </c>
      <c r="AA288">
        <f>INDIRECT(ADDRESS(288,26))+INDIRECT(ADDRESS(286,27))-INDIRECT(ADDRESS(287,27))</f>
        <v>0</v>
      </c>
      <c r="AB288">
        <f>INDIRECT(ADDRESS(288,27))+INDIRECT(ADDRESS(286,28))-INDIRECT(ADDRESS(287,28))</f>
        <v>0</v>
      </c>
      <c r="AC288">
        <f>INDIRECT(ADDRESS(288,28))+INDIRECT(ADDRESS(286,29))-INDIRECT(ADDRESS(287,29))</f>
        <v>0</v>
      </c>
      <c r="AD288">
        <f>INDIRECT(ADDRESS(288,29))+INDIRECT(ADDRESS(286,30))-INDIRECT(ADDRESS(287,30))</f>
        <v>0</v>
      </c>
      <c r="AE288">
        <f>INDIRECT(ADDRESS(288,30))+INDIRECT(ADDRESS(286,31))-INDIRECT(ADDRESS(287,31))</f>
        <v>0</v>
      </c>
      <c r="AF288">
        <f>INDIRECT(ADDRESS(288,31))+INDIRECT(ADDRESS(286,32))-INDIRECT(ADDRESS(287,32))</f>
        <v>0</v>
      </c>
      <c r="AG288">
        <f>INDIRECT(ADDRESS(288,32))+INDIRECT(ADDRESS(286,33))-INDIRECT(ADDRESS(287,33))</f>
        <v>0</v>
      </c>
      <c r="AH288">
        <f>INDIRECT(ADDRESS(288,33))+INDIRECT(ADDRESS(286,34))-INDIRECT(ADDRESS(287,34))</f>
        <v>0</v>
      </c>
      <c r="AI288">
        <f>INDIRECT(ADDRESS(288,34))+INDIRECT(ADDRESS(286,35))-INDIRECT(ADDRESS(287,35))</f>
        <v>0</v>
      </c>
      <c r="AJ288">
        <f>INDIRECT(ADDRESS(288,35))+INDIRECT(ADDRESS(286,36))-INDIRECT(ADDRESS(287,36))</f>
        <v>0</v>
      </c>
      <c r="AK288">
        <f>INDIRECT(ADDRESS(288,36))+INDIRECT(ADDRESS(286,37))-INDIRECT(ADDRESS(287,37))</f>
        <v>0</v>
      </c>
      <c r="AL288">
        <f>INDIRECT(ADDRESS(288,37))+INDIRECT(ADDRESS(286,38))-INDIRECT(ADDRESS(287,38))</f>
        <v>0</v>
      </c>
      <c r="AM288">
        <f>INDIRECT(ADDRESS(288,38))+INDIRECT(ADDRESS(286,39))-INDIRECT(ADDRESS(287,39))</f>
        <v>0</v>
      </c>
      <c r="AN288">
        <f>INDIRECT(ADDRESS(288,39))+INDIRECT(ADDRESS(286,40))-INDIRECT(ADDRESS(287,40))</f>
        <v>0</v>
      </c>
      <c r="AO288">
        <f>SUM(INDIRECT(ADDRESS(287,8)):INDIRECT(ADDRESS(287,39)))</f>
        <v>0</v>
      </c>
    </row>
    <row r="289" spans="1:41">
      <c r="A289" t="s">
        <v>180</v>
      </c>
      <c r="B289" t="s">
        <v>304</v>
      </c>
      <c r="C289" t="s">
        <v>305</v>
      </c>
      <c r="E289">
        <v>1</v>
      </c>
      <c r="F289" t="s">
        <v>11</v>
      </c>
      <c r="I289" t="s">
        <v>177</v>
      </c>
    </row>
    <row r="290" spans="1:41">
      <c r="I290" t="s">
        <v>178</v>
      </c>
      <c r="J290">
        <f>IFERROR(VLOOKUP("927-004000-100",B:AB,1+8,0),0)</f>
        <v>0</v>
      </c>
      <c r="K290">
        <f>IFERROR(VLOOKUP("927-004000-100",B:AB,2+8,0),0)</f>
        <v>0</v>
      </c>
      <c r="L290">
        <f>IFERROR(VLOOKUP("927-004000-100",B:AB,3+8,0),0)</f>
        <v>0</v>
      </c>
      <c r="M290">
        <f>IFERROR(VLOOKUP("927-004000-100",B:AB,4+8,0),0)</f>
        <v>0</v>
      </c>
      <c r="N290">
        <f>IFERROR(VLOOKUP("927-004000-100",B:AB,5+8,0),0)</f>
        <v>0</v>
      </c>
      <c r="O290">
        <f>IFERROR(VLOOKUP("927-004000-100",B:AB,6+8,0),0)</f>
        <v>0</v>
      </c>
      <c r="P290">
        <f>IFERROR(VLOOKUP("927-004000-100",B:AB,7+8,0),0)</f>
        <v>0</v>
      </c>
      <c r="Q290">
        <f>IFERROR(VLOOKUP("927-004000-100",B:AB,8+8,0),0)</f>
        <v>0</v>
      </c>
      <c r="R290">
        <f>IFERROR(VLOOKUP("927-004000-100",B:AB,9+8,0),0)</f>
        <v>0</v>
      </c>
      <c r="S290">
        <f>IFERROR(VLOOKUP("927-004000-100",B:AB,10+8,0),0)</f>
        <v>0</v>
      </c>
      <c r="T290">
        <f>IFERROR(VLOOKUP("927-004000-100",B:AB,11+8,0),0)</f>
        <v>0</v>
      </c>
      <c r="U290">
        <f>IFERROR(VLOOKUP("927-004000-100",B:AB,12+8,0),0)</f>
        <v>0</v>
      </c>
      <c r="V290">
        <f>IFERROR(VLOOKUP("927-004000-100",B:AB,13+8,0),0)</f>
        <v>0</v>
      </c>
      <c r="W290">
        <f>IFERROR(VLOOKUP("927-004000-100",B:AB,14+8,0),0)</f>
        <v>0</v>
      </c>
      <c r="X290">
        <f>IFERROR(VLOOKUP("927-004000-100",B:AB,15+8,0),0)</f>
        <v>0</v>
      </c>
      <c r="Y290">
        <f>IFERROR(VLOOKUP("927-004000-100",B:AB,16+8,0),0)</f>
        <v>0</v>
      </c>
      <c r="Z290">
        <f>IFERROR(VLOOKUP("927-004000-100",B:AB,17+8,0),0)</f>
        <v>0</v>
      </c>
      <c r="AA290">
        <f>IFERROR(VLOOKUP("927-004000-100",B:AB,18+8,0),0)</f>
        <v>0</v>
      </c>
      <c r="AB290">
        <f>IFERROR(VLOOKUP("927-004000-100",B:AB,19+8,0),0)</f>
        <v>0</v>
      </c>
      <c r="AC290">
        <f>IFERROR(VLOOKUP("927-004000-100",B:AB,20+8,0),0)</f>
        <v>0</v>
      </c>
      <c r="AD290">
        <f>IFERROR(VLOOKUP("927-004000-100",B:AB,21+8,0),0)</f>
        <v>0</v>
      </c>
      <c r="AE290">
        <f>IFERROR(VLOOKUP("927-004000-100",B:AB,22+8,0),0)</f>
        <v>0</v>
      </c>
      <c r="AF290">
        <f>IFERROR(VLOOKUP("927-004000-100",B:AB,23+8,0),0)</f>
        <v>0</v>
      </c>
      <c r="AG290">
        <f>IFERROR(VLOOKUP("927-004000-100",B:AB,24+8,0),0)</f>
        <v>0</v>
      </c>
      <c r="AH290">
        <f>IFERROR(VLOOKUP("927-004000-100",B:AB,25+8,0),0)</f>
        <v>0</v>
      </c>
      <c r="AI290">
        <f>IFERROR(VLOOKUP("927-004000-100",B:AB,26+8,0),0)</f>
        <v>0</v>
      </c>
      <c r="AJ290">
        <f>IFERROR(VLOOKUP("927-004000-100",B:AB,27+8,0),0)</f>
        <v>0</v>
      </c>
      <c r="AK290">
        <f>IFERROR(VLOOKUP("927-004000-100",B:AB,28+8,0),0)</f>
        <v>0</v>
      </c>
      <c r="AL290">
        <f>IFERROR(VLOOKUP("927-004000-100",B:AB,29+8,0),0)</f>
        <v>0</v>
      </c>
      <c r="AM290">
        <f>IFERROR(VLOOKUP("927-004000-100",B:AB,30+8,0),0)</f>
        <v>0</v>
      </c>
      <c r="AN290">
        <f>IFERROR(VLOOKUP("927-004000-100",B:AB,31+8,0),0)</f>
        <v>0</v>
      </c>
      <c r="AO290">
        <f>SUN(INDIRECT(ADDRESS(289,8)):INDIRECT(ADDRESS(289,39)))</f>
        <v>0</v>
      </c>
    </row>
    <row r="291" spans="1:41">
      <c r="H291" t="s">
        <v>179</v>
      </c>
      <c r="J291">
        <f>INDIRECT(ADDRESS(291,9))+INDIRECT(ADDRESS(289,10))-INDIRECT(ADDRESS(290,10))</f>
        <v>0</v>
      </c>
      <c r="K291">
        <f>INDIRECT(ADDRESS(291,10))+INDIRECT(ADDRESS(289,11))-INDIRECT(ADDRESS(290,11))</f>
        <v>0</v>
      </c>
      <c r="L291">
        <f>INDIRECT(ADDRESS(291,11))+INDIRECT(ADDRESS(289,12))-INDIRECT(ADDRESS(290,12))</f>
        <v>0</v>
      </c>
      <c r="M291">
        <f>INDIRECT(ADDRESS(291,12))+INDIRECT(ADDRESS(289,13))-INDIRECT(ADDRESS(290,13))</f>
        <v>0</v>
      </c>
      <c r="N291">
        <f>INDIRECT(ADDRESS(291,13))+INDIRECT(ADDRESS(289,14))-INDIRECT(ADDRESS(290,14))</f>
        <v>0</v>
      </c>
      <c r="O291">
        <f>INDIRECT(ADDRESS(291,14))+INDIRECT(ADDRESS(289,15))-INDIRECT(ADDRESS(290,15))</f>
        <v>0</v>
      </c>
      <c r="P291">
        <f>INDIRECT(ADDRESS(291,15))+INDIRECT(ADDRESS(289,16))-INDIRECT(ADDRESS(290,16))</f>
        <v>0</v>
      </c>
      <c r="Q291">
        <f>INDIRECT(ADDRESS(291,16))+INDIRECT(ADDRESS(289,17))-INDIRECT(ADDRESS(290,17))</f>
        <v>0</v>
      </c>
      <c r="R291">
        <f>INDIRECT(ADDRESS(291,17))+INDIRECT(ADDRESS(289,18))-INDIRECT(ADDRESS(290,18))</f>
        <v>0</v>
      </c>
      <c r="S291">
        <f>INDIRECT(ADDRESS(291,18))+INDIRECT(ADDRESS(289,19))-INDIRECT(ADDRESS(290,19))</f>
        <v>0</v>
      </c>
      <c r="T291">
        <f>INDIRECT(ADDRESS(291,19))+INDIRECT(ADDRESS(289,20))-INDIRECT(ADDRESS(290,20))</f>
        <v>0</v>
      </c>
      <c r="U291">
        <f>INDIRECT(ADDRESS(291,20))+INDIRECT(ADDRESS(289,21))-INDIRECT(ADDRESS(290,21))</f>
        <v>0</v>
      </c>
      <c r="V291">
        <f>INDIRECT(ADDRESS(291,21))+INDIRECT(ADDRESS(289,22))-INDIRECT(ADDRESS(290,22))</f>
        <v>0</v>
      </c>
      <c r="W291">
        <f>INDIRECT(ADDRESS(291,22))+INDIRECT(ADDRESS(289,23))-INDIRECT(ADDRESS(290,23))</f>
        <v>0</v>
      </c>
      <c r="X291">
        <f>INDIRECT(ADDRESS(291,23))+INDIRECT(ADDRESS(289,24))-INDIRECT(ADDRESS(290,24))</f>
        <v>0</v>
      </c>
      <c r="Y291">
        <f>INDIRECT(ADDRESS(291,24))+INDIRECT(ADDRESS(289,25))-INDIRECT(ADDRESS(290,25))</f>
        <v>0</v>
      </c>
      <c r="Z291">
        <f>INDIRECT(ADDRESS(291,25))+INDIRECT(ADDRESS(289,26))-INDIRECT(ADDRESS(290,26))</f>
        <v>0</v>
      </c>
      <c r="AA291">
        <f>INDIRECT(ADDRESS(291,26))+INDIRECT(ADDRESS(289,27))-INDIRECT(ADDRESS(290,27))</f>
        <v>0</v>
      </c>
      <c r="AB291">
        <f>INDIRECT(ADDRESS(291,27))+INDIRECT(ADDRESS(289,28))-INDIRECT(ADDRESS(290,28))</f>
        <v>0</v>
      </c>
      <c r="AC291">
        <f>INDIRECT(ADDRESS(291,28))+INDIRECT(ADDRESS(289,29))-INDIRECT(ADDRESS(290,29))</f>
        <v>0</v>
      </c>
      <c r="AD291">
        <f>INDIRECT(ADDRESS(291,29))+INDIRECT(ADDRESS(289,30))-INDIRECT(ADDRESS(290,30))</f>
        <v>0</v>
      </c>
      <c r="AE291">
        <f>INDIRECT(ADDRESS(291,30))+INDIRECT(ADDRESS(289,31))-INDIRECT(ADDRESS(290,31))</f>
        <v>0</v>
      </c>
      <c r="AF291">
        <f>INDIRECT(ADDRESS(291,31))+INDIRECT(ADDRESS(289,32))-INDIRECT(ADDRESS(290,32))</f>
        <v>0</v>
      </c>
      <c r="AG291">
        <f>INDIRECT(ADDRESS(291,32))+INDIRECT(ADDRESS(289,33))-INDIRECT(ADDRESS(290,33))</f>
        <v>0</v>
      </c>
      <c r="AH291">
        <f>INDIRECT(ADDRESS(291,33))+INDIRECT(ADDRESS(289,34))-INDIRECT(ADDRESS(290,34))</f>
        <v>0</v>
      </c>
      <c r="AI291">
        <f>INDIRECT(ADDRESS(291,34))+INDIRECT(ADDRESS(289,35))-INDIRECT(ADDRESS(290,35))</f>
        <v>0</v>
      </c>
      <c r="AJ291">
        <f>INDIRECT(ADDRESS(291,35))+INDIRECT(ADDRESS(289,36))-INDIRECT(ADDRESS(290,36))</f>
        <v>0</v>
      </c>
      <c r="AK291">
        <f>INDIRECT(ADDRESS(291,36))+INDIRECT(ADDRESS(289,37))-INDIRECT(ADDRESS(290,37))</f>
        <v>0</v>
      </c>
      <c r="AL291">
        <f>INDIRECT(ADDRESS(291,37))+INDIRECT(ADDRESS(289,38))-INDIRECT(ADDRESS(290,38))</f>
        <v>0</v>
      </c>
      <c r="AM291">
        <f>INDIRECT(ADDRESS(291,38))+INDIRECT(ADDRESS(289,39))-INDIRECT(ADDRESS(290,39))</f>
        <v>0</v>
      </c>
      <c r="AN291">
        <f>INDIRECT(ADDRESS(291,39))+INDIRECT(ADDRESS(289,40))-INDIRECT(ADDRESS(290,40))</f>
        <v>0</v>
      </c>
      <c r="AO291">
        <f>SUM(INDIRECT(ADDRESS(290,8)):INDIRECT(ADDRESS(290,39)))</f>
        <v>0</v>
      </c>
    </row>
    <row r="292" spans="1:41">
      <c r="A292" t="s">
        <v>180</v>
      </c>
      <c r="B292" t="s">
        <v>306</v>
      </c>
      <c r="C292" t="s">
        <v>307</v>
      </c>
      <c r="E292">
        <v>1</v>
      </c>
      <c r="F292" t="s">
        <v>11</v>
      </c>
      <c r="I292" t="s">
        <v>177</v>
      </c>
    </row>
    <row r="293" spans="1:41">
      <c r="I293" t="s">
        <v>178</v>
      </c>
      <c r="J293">
        <f>IFERROR(VLOOKUP("927-004000-100",B:AB,1+8,0),0)</f>
        <v>0</v>
      </c>
      <c r="K293">
        <f>IFERROR(VLOOKUP("927-004000-100",B:AB,2+8,0),0)</f>
        <v>0</v>
      </c>
      <c r="L293">
        <f>IFERROR(VLOOKUP("927-004000-100",B:AB,3+8,0),0)</f>
        <v>0</v>
      </c>
      <c r="M293">
        <f>IFERROR(VLOOKUP("927-004000-100",B:AB,4+8,0),0)</f>
        <v>0</v>
      </c>
      <c r="N293">
        <f>IFERROR(VLOOKUP("927-004000-100",B:AB,5+8,0),0)</f>
        <v>0</v>
      </c>
      <c r="O293">
        <f>IFERROR(VLOOKUP("927-004000-100",B:AB,6+8,0),0)</f>
        <v>0</v>
      </c>
      <c r="P293">
        <f>IFERROR(VLOOKUP("927-004000-100",B:AB,7+8,0),0)</f>
        <v>0</v>
      </c>
      <c r="Q293">
        <f>IFERROR(VLOOKUP("927-004000-100",B:AB,8+8,0),0)</f>
        <v>0</v>
      </c>
      <c r="R293">
        <f>IFERROR(VLOOKUP("927-004000-100",B:AB,9+8,0),0)</f>
        <v>0</v>
      </c>
      <c r="S293">
        <f>IFERROR(VLOOKUP("927-004000-100",B:AB,10+8,0),0)</f>
        <v>0</v>
      </c>
      <c r="T293">
        <f>IFERROR(VLOOKUP("927-004000-100",B:AB,11+8,0),0)</f>
        <v>0</v>
      </c>
      <c r="U293">
        <f>IFERROR(VLOOKUP("927-004000-100",B:AB,12+8,0),0)</f>
        <v>0</v>
      </c>
      <c r="V293">
        <f>IFERROR(VLOOKUP("927-004000-100",B:AB,13+8,0),0)</f>
        <v>0</v>
      </c>
      <c r="W293">
        <f>IFERROR(VLOOKUP("927-004000-100",B:AB,14+8,0),0)</f>
        <v>0</v>
      </c>
      <c r="X293">
        <f>IFERROR(VLOOKUP("927-004000-100",B:AB,15+8,0),0)</f>
        <v>0</v>
      </c>
      <c r="Y293">
        <f>IFERROR(VLOOKUP("927-004000-100",B:AB,16+8,0),0)</f>
        <v>0</v>
      </c>
      <c r="Z293">
        <f>IFERROR(VLOOKUP("927-004000-100",B:AB,17+8,0),0)</f>
        <v>0</v>
      </c>
      <c r="AA293">
        <f>IFERROR(VLOOKUP("927-004000-100",B:AB,18+8,0),0)</f>
        <v>0</v>
      </c>
      <c r="AB293">
        <f>IFERROR(VLOOKUP("927-004000-100",B:AB,19+8,0),0)</f>
        <v>0</v>
      </c>
      <c r="AC293">
        <f>IFERROR(VLOOKUP("927-004000-100",B:AB,20+8,0),0)</f>
        <v>0</v>
      </c>
      <c r="AD293">
        <f>IFERROR(VLOOKUP("927-004000-100",B:AB,21+8,0),0)</f>
        <v>0</v>
      </c>
      <c r="AE293">
        <f>IFERROR(VLOOKUP("927-004000-100",B:AB,22+8,0),0)</f>
        <v>0</v>
      </c>
      <c r="AF293">
        <f>IFERROR(VLOOKUP("927-004000-100",B:AB,23+8,0),0)</f>
        <v>0</v>
      </c>
      <c r="AG293">
        <f>IFERROR(VLOOKUP("927-004000-100",B:AB,24+8,0),0)</f>
        <v>0</v>
      </c>
      <c r="AH293">
        <f>IFERROR(VLOOKUP("927-004000-100",B:AB,25+8,0),0)</f>
        <v>0</v>
      </c>
      <c r="AI293">
        <f>IFERROR(VLOOKUP("927-004000-100",B:AB,26+8,0),0)</f>
        <v>0</v>
      </c>
      <c r="AJ293">
        <f>IFERROR(VLOOKUP("927-004000-100",B:AB,27+8,0),0)</f>
        <v>0</v>
      </c>
      <c r="AK293">
        <f>IFERROR(VLOOKUP("927-004000-100",B:AB,28+8,0),0)</f>
        <v>0</v>
      </c>
      <c r="AL293">
        <f>IFERROR(VLOOKUP("927-004000-100",B:AB,29+8,0),0)</f>
        <v>0</v>
      </c>
      <c r="AM293">
        <f>IFERROR(VLOOKUP("927-004000-100",B:AB,30+8,0),0)</f>
        <v>0</v>
      </c>
      <c r="AN293">
        <f>IFERROR(VLOOKUP("927-004000-100",B:AB,31+8,0),0)</f>
        <v>0</v>
      </c>
      <c r="AO293">
        <f>SUN(INDIRECT(ADDRESS(292,8)):INDIRECT(ADDRESS(292,39)))</f>
        <v>0</v>
      </c>
    </row>
    <row r="294" spans="1:41">
      <c r="H294" t="s">
        <v>179</v>
      </c>
      <c r="J294">
        <f>INDIRECT(ADDRESS(294,9))+INDIRECT(ADDRESS(292,10))-INDIRECT(ADDRESS(293,10))</f>
        <v>0</v>
      </c>
      <c r="K294">
        <f>INDIRECT(ADDRESS(294,10))+INDIRECT(ADDRESS(292,11))-INDIRECT(ADDRESS(293,11))</f>
        <v>0</v>
      </c>
      <c r="L294">
        <f>INDIRECT(ADDRESS(294,11))+INDIRECT(ADDRESS(292,12))-INDIRECT(ADDRESS(293,12))</f>
        <v>0</v>
      </c>
      <c r="M294">
        <f>INDIRECT(ADDRESS(294,12))+INDIRECT(ADDRESS(292,13))-INDIRECT(ADDRESS(293,13))</f>
        <v>0</v>
      </c>
      <c r="N294">
        <f>INDIRECT(ADDRESS(294,13))+INDIRECT(ADDRESS(292,14))-INDIRECT(ADDRESS(293,14))</f>
        <v>0</v>
      </c>
      <c r="O294">
        <f>INDIRECT(ADDRESS(294,14))+INDIRECT(ADDRESS(292,15))-INDIRECT(ADDRESS(293,15))</f>
        <v>0</v>
      </c>
      <c r="P294">
        <f>INDIRECT(ADDRESS(294,15))+INDIRECT(ADDRESS(292,16))-INDIRECT(ADDRESS(293,16))</f>
        <v>0</v>
      </c>
      <c r="Q294">
        <f>INDIRECT(ADDRESS(294,16))+INDIRECT(ADDRESS(292,17))-INDIRECT(ADDRESS(293,17))</f>
        <v>0</v>
      </c>
      <c r="R294">
        <f>INDIRECT(ADDRESS(294,17))+INDIRECT(ADDRESS(292,18))-INDIRECT(ADDRESS(293,18))</f>
        <v>0</v>
      </c>
      <c r="S294">
        <f>INDIRECT(ADDRESS(294,18))+INDIRECT(ADDRESS(292,19))-INDIRECT(ADDRESS(293,19))</f>
        <v>0</v>
      </c>
      <c r="T294">
        <f>INDIRECT(ADDRESS(294,19))+INDIRECT(ADDRESS(292,20))-INDIRECT(ADDRESS(293,20))</f>
        <v>0</v>
      </c>
      <c r="U294">
        <f>INDIRECT(ADDRESS(294,20))+INDIRECT(ADDRESS(292,21))-INDIRECT(ADDRESS(293,21))</f>
        <v>0</v>
      </c>
      <c r="V294">
        <f>INDIRECT(ADDRESS(294,21))+INDIRECT(ADDRESS(292,22))-INDIRECT(ADDRESS(293,22))</f>
        <v>0</v>
      </c>
      <c r="W294">
        <f>INDIRECT(ADDRESS(294,22))+INDIRECT(ADDRESS(292,23))-INDIRECT(ADDRESS(293,23))</f>
        <v>0</v>
      </c>
      <c r="X294">
        <f>INDIRECT(ADDRESS(294,23))+INDIRECT(ADDRESS(292,24))-INDIRECT(ADDRESS(293,24))</f>
        <v>0</v>
      </c>
      <c r="Y294">
        <f>INDIRECT(ADDRESS(294,24))+INDIRECT(ADDRESS(292,25))-INDIRECT(ADDRESS(293,25))</f>
        <v>0</v>
      </c>
      <c r="Z294">
        <f>INDIRECT(ADDRESS(294,25))+INDIRECT(ADDRESS(292,26))-INDIRECT(ADDRESS(293,26))</f>
        <v>0</v>
      </c>
      <c r="AA294">
        <f>INDIRECT(ADDRESS(294,26))+INDIRECT(ADDRESS(292,27))-INDIRECT(ADDRESS(293,27))</f>
        <v>0</v>
      </c>
      <c r="AB294">
        <f>INDIRECT(ADDRESS(294,27))+INDIRECT(ADDRESS(292,28))-INDIRECT(ADDRESS(293,28))</f>
        <v>0</v>
      </c>
      <c r="AC294">
        <f>INDIRECT(ADDRESS(294,28))+INDIRECT(ADDRESS(292,29))-INDIRECT(ADDRESS(293,29))</f>
        <v>0</v>
      </c>
      <c r="AD294">
        <f>INDIRECT(ADDRESS(294,29))+INDIRECT(ADDRESS(292,30))-INDIRECT(ADDRESS(293,30))</f>
        <v>0</v>
      </c>
      <c r="AE294">
        <f>INDIRECT(ADDRESS(294,30))+INDIRECT(ADDRESS(292,31))-INDIRECT(ADDRESS(293,31))</f>
        <v>0</v>
      </c>
      <c r="AF294">
        <f>INDIRECT(ADDRESS(294,31))+INDIRECT(ADDRESS(292,32))-INDIRECT(ADDRESS(293,32))</f>
        <v>0</v>
      </c>
      <c r="AG294">
        <f>INDIRECT(ADDRESS(294,32))+INDIRECT(ADDRESS(292,33))-INDIRECT(ADDRESS(293,33))</f>
        <v>0</v>
      </c>
      <c r="AH294">
        <f>INDIRECT(ADDRESS(294,33))+INDIRECT(ADDRESS(292,34))-INDIRECT(ADDRESS(293,34))</f>
        <v>0</v>
      </c>
      <c r="AI294">
        <f>INDIRECT(ADDRESS(294,34))+INDIRECT(ADDRESS(292,35))-INDIRECT(ADDRESS(293,35))</f>
        <v>0</v>
      </c>
      <c r="AJ294">
        <f>INDIRECT(ADDRESS(294,35))+INDIRECT(ADDRESS(292,36))-INDIRECT(ADDRESS(293,36))</f>
        <v>0</v>
      </c>
      <c r="AK294">
        <f>INDIRECT(ADDRESS(294,36))+INDIRECT(ADDRESS(292,37))-INDIRECT(ADDRESS(293,37))</f>
        <v>0</v>
      </c>
      <c r="AL294">
        <f>INDIRECT(ADDRESS(294,37))+INDIRECT(ADDRESS(292,38))-INDIRECT(ADDRESS(293,38))</f>
        <v>0</v>
      </c>
      <c r="AM294">
        <f>INDIRECT(ADDRESS(294,38))+INDIRECT(ADDRESS(292,39))-INDIRECT(ADDRESS(293,39))</f>
        <v>0</v>
      </c>
      <c r="AN294">
        <f>INDIRECT(ADDRESS(294,39))+INDIRECT(ADDRESS(292,40))-INDIRECT(ADDRESS(293,40))</f>
        <v>0</v>
      </c>
      <c r="AO294">
        <f>SUM(INDIRECT(ADDRESS(293,8)):INDIRECT(ADDRESS(293,39)))</f>
        <v>0</v>
      </c>
    </row>
    <row r="295" spans="1:41">
      <c r="A295" t="s">
        <v>185</v>
      </c>
      <c r="B295" t="s">
        <v>284</v>
      </c>
      <c r="C295" t="s">
        <v>285</v>
      </c>
      <c r="E295">
        <v>1</v>
      </c>
      <c r="F295" t="s">
        <v>11</v>
      </c>
      <c r="I295" t="s">
        <v>177</v>
      </c>
    </row>
    <row r="296" spans="1:41">
      <c r="I296" t="s">
        <v>178</v>
      </c>
      <c r="J296">
        <f>IFERROR(VLOOKUP("927-004000-100",B:AB,1+8,0),0)</f>
        <v>0</v>
      </c>
      <c r="K296">
        <f>IFERROR(VLOOKUP("927-004000-100",B:AB,2+8,0),0)</f>
        <v>0</v>
      </c>
      <c r="L296">
        <f>IFERROR(VLOOKUP("927-004000-100",B:AB,3+8,0),0)</f>
        <v>0</v>
      </c>
      <c r="M296">
        <f>IFERROR(VLOOKUP("927-004000-100",B:AB,4+8,0),0)</f>
        <v>0</v>
      </c>
      <c r="N296">
        <f>IFERROR(VLOOKUP("927-004000-100",B:AB,5+8,0),0)</f>
        <v>0</v>
      </c>
      <c r="O296">
        <f>IFERROR(VLOOKUP("927-004000-100",B:AB,6+8,0),0)</f>
        <v>0</v>
      </c>
      <c r="P296">
        <f>IFERROR(VLOOKUP("927-004000-100",B:AB,7+8,0),0)</f>
        <v>0</v>
      </c>
      <c r="Q296">
        <f>IFERROR(VLOOKUP("927-004000-100",B:AB,8+8,0),0)</f>
        <v>0</v>
      </c>
      <c r="R296">
        <f>IFERROR(VLOOKUP("927-004000-100",B:AB,9+8,0),0)</f>
        <v>0</v>
      </c>
      <c r="S296">
        <f>IFERROR(VLOOKUP("927-004000-100",B:AB,10+8,0),0)</f>
        <v>0</v>
      </c>
      <c r="T296">
        <f>IFERROR(VLOOKUP("927-004000-100",B:AB,11+8,0),0)</f>
        <v>0</v>
      </c>
      <c r="U296">
        <f>IFERROR(VLOOKUP("927-004000-100",B:AB,12+8,0),0)</f>
        <v>0</v>
      </c>
      <c r="V296">
        <f>IFERROR(VLOOKUP("927-004000-100",B:AB,13+8,0),0)</f>
        <v>0</v>
      </c>
      <c r="W296">
        <f>IFERROR(VLOOKUP("927-004000-100",B:AB,14+8,0),0)</f>
        <v>0</v>
      </c>
      <c r="X296">
        <f>IFERROR(VLOOKUP("927-004000-100",B:AB,15+8,0),0)</f>
        <v>0</v>
      </c>
      <c r="Y296">
        <f>IFERROR(VLOOKUP("927-004000-100",B:AB,16+8,0),0)</f>
        <v>0</v>
      </c>
      <c r="Z296">
        <f>IFERROR(VLOOKUP("927-004000-100",B:AB,17+8,0),0)</f>
        <v>0</v>
      </c>
      <c r="AA296">
        <f>IFERROR(VLOOKUP("927-004000-100",B:AB,18+8,0),0)</f>
        <v>0</v>
      </c>
      <c r="AB296">
        <f>IFERROR(VLOOKUP("927-004000-100",B:AB,19+8,0),0)</f>
        <v>0</v>
      </c>
      <c r="AC296">
        <f>IFERROR(VLOOKUP("927-004000-100",B:AB,20+8,0),0)</f>
        <v>0</v>
      </c>
      <c r="AD296">
        <f>IFERROR(VLOOKUP("927-004000-100",B:AB,21+8,0),0)</f>
        <v>0</v>
      </c>
      <c r="AE296">
        <f>IFERROR(VLOOKUP("927-004000-100",B:AB,22+8,0),0)</f>
        <v>0</v>
      </c>
      <c r="AF296">
        <f>IFERROR(VLOOKUP("927-004000-100",B:AB,23+8,0),0)</f>
        <v>0</v>
      </c>
      <c r="AG296">
        <f>IFERROR(VLOOKUP("927-004000-100",B:AB,24+8,0),0)</f>
        <v>0</v>
      </c>
      <c r="AH296">
        <f>IFERROR(VLOOKUP("927-004000-100",B:AB,25+8,0),0)</f>
        <v>0</v>
      </c>
      <c r="AI296">
        <f>IFERROR(VLOOKUP("927-004000-100",B:AB,26+8,0),0)</f>
        <v>0</v>
      </c>
      <c r="AJ296">
        <f>IFERROR(VLOOKUP("927-004000-100",B:AB,27+8,0),0)</f>
        <v>0</v>
      </c>
      <c r="AK296">
        <f>IFERROR(VLOOKUP("927-004000-100",B:AB,28+8,0),0)</f>
        <v>0</v>
      </c>
      <c r="AL296">
        <f>IFERROR(VLOOKUP("927-004000-100",B:AB,29+8,0),0)</f>
        <v>0</v>
      </c>
      <c r="AM296">
        <f>IFERROR(VLOOKUP("927-004000-100",B:AB,30+8,0),0)</f>
        <v>0</v>
      </c>
      <c r="AN296">
        <f>IFERROR(VLOOKUP("927-004000-100",B:AB,31+8,0),0)</f>
        <v>0</v>
      </c>
      <c r="AO296">
        <f>SUN(INDIRECT(ADDRESS(295,8)):INDIRECT(ADDRESS(295,39)))</f>
        <v>0</v>
      </c>
    </row>
    <row r="297" spans="1:41">
      <c r="H297" t="s">
        <v>179</v>
      </c>
      <c r="J297">
        <f>INDIRECT(ADDRESS(297,9))+INDIRECT(ADDRESS(295,10))-INDIRECT(ADDRESS(296,10))</f>
        <v>0</v>
      </c>
      <c r="K297">
        <f>INDIRECT(ADDRESS(297,10))+INDIRECT(ADDRESS(295,11))-INDIRECT(ADDRESS(296,11))</f>
        <v>0</v>
      </c>
      <c r="L297">
        <f>INDIRECT(ADDRESS(297,11))+INDIRECT(ADDRESS(295,12))-INDIRECT(ADDRESS(296,12))</f>
        <v>0</v>
      </c>
      <c r="M297">
        <f>INDIRECT(ADDRESS(297,12))+INDIRECT(ADDRESS(295,13))-INDIRECT(ADDRESS(296,13))</f>
        <v>0</v>
      </c>
      <c r="N297">
        <f>INDIRECT(ADDRESS(297,13))+INDIRECT(ADDRESS(295,14))-INDIRECT(ADDRESS(296,14))</f>
        <v>0</v>
      </c>
      <c r="O297">
        <f>INDIRECT(ADDRESS(297,14))+INDIRECT(ADDRESS(295,15))-INDIRECT(ADDRESS(296,15))</f>
        <v>0</v>
      </c>
      <c r="P297">
        <f>INDIRECT(ADDRESS(297,15))+INDIRECT(ADDRESS(295,16))-INDIRECT(ADDRESS(296,16))</f>
        <v>0</v>
      </c>
      <c r="Q297">
        <f>INDIRECT(ADDRESS(297,16))+INDIRECT(ADDRESS(295,17))-INDIRECT(ADDRESS(296,17))</f>
        <v>0</v>
      </c>
      <c r="R297">
        <f>INDIRECT(ADDRESS(297,17))+INDIRECT(ADDRESS(295,18))-INDIRECT(ADDRESS(296,18))</f>
        <v>0</v>
      </c>
      <c r="S297">
        <f>INDIRECT(ADDRESS(297,18))+INDIRECT(ADDRESS(295,19))-INDIRECT(ADDRESS(296,19))</f>
        <v>0</v>
      </c>
      <c r="T297">
        <f>INDIRECT(ADDRESS(297,19))+INDIRECT(ADDRESS(295,20))-INDIRECT(ADDRESS(296,20))</f>
        <v>0</v>
      </c>
      <c r="U297">
        <f>INDIRECT(ADDRESS(297,20))+INDIRECT(ADDRESS(295,21))-INDIRECT(ADDRESS(296,21))</f>
        <v>0</v>
      </c>
      <c r="V297">
        <f>INDIRECT(ADDRESS(297,21))+INDIRECT(ADDRESS(295,22))-INDIRECT(ADDRESS(296,22))</f>
        <v>0</v>
      </c>
      <c r="W297">
        <f>INDIRECT(ADDRESS(297,22))+INDIRECT(ADDRESS(295,23))-INDIRECT(ADDRESS(296,23))</f>
        <v>0</v>
      </c>
      <c r="X297">
        <f>INDIRECT(ADDRESS(297,23))+INDIRECT(ADDRESS(295,24))-INDIRECT(ADDRESS(296,24))</f>
        <v>0</v>
      </c>
      <c r="Y297">
        <f>INDIRECT(ADDRESS(297,24))+INDIRECT(ADDRESS(295,25))-INDIRECT(ADDRESS(296,25))</f>
        <v>0</v>
      </c>
      <c r="Z297">
        <f>INDIRECT(ADDRESS(297,25))+INDIRECT(ADDRESS(295,26))-INDIRECT(ADDRESS(296,26))</f>
        <v>0</v>
      </c>
      <c r="AA297">
        <f>INDIRECT(ADDRESS(297,26))+INDIRECT(ADDRESS(295,27))-INDIRECT(ADDRESS(296,27))</f>
        <v>0</v>
      </c>
      <c r="AB297">
        <f>INDIRECT(ADDRESS(297,27))+INDIRECT(ADDRESS(295,28))-INDIRECT(ADDRESS(296,28))</f>
        <v>0</v>
      </c>
      <c r="AC297">
        <f>INDIRECT(ADDRESS(297,28))+INDIRECT(ADDRESS(295,29))-INDIRECT(ADDRESS(296,29))</f>
        <v>0</v>
      </c>
      <c r="AD297">
        <f>INDIRECT(ADDRESS(297,29))+INDIRECT(ADDRESS(295,30))-INDIRECT(ADDRESS(296,30))</f>
        <v>0</v>
      </c>
      <c r="AE297">
        <f>INDIRECT(ADDRESS(297,30))+INDIRECT(ADDRESS(295,31))-INDIRECT(ADDRESS(296,31))</f>
        <v>0</v>
      </c>
      <c r="AF297">
        <f>INDIRECT(ADDRESS(297,31))+INDIRECT(ADDRESS(295,32))-INDIRECT(ADDRESS(296,32))</f>
        <v>0</v>
      </c>
      <c r="AG297">
        <f>INDIRECT(ADDRESS(297,32))+INDIRECT(ADDRESS(295,33))-INDIRECT(ADDRESS(296,33))</f>
        <v>0</v>
      </c>
      <c r="AH297">
        <f>INDIRECT(ADDRESS(297,33))+INDIRECT(ADDRESS(295,34))-INDIRECT(ADDRESS(296,34))</f>
        <v>0</v>
      </c>
      <c r="AI297">
        <f>INDIRECT(ADDRESS(297,34))+INDIRECT(ADDRESS(295,35))-INDIRECT(ADDRESS(296,35))</f>
        <v>0</v>
      </c>
      <c r="AJ297">
        <f>INDIRECT(ADDRESS(297,35))+INDIRECT(ADDRESS(295,36))-INDIRECT(ADDRESS(296,36))</f>
        <v>0</v>
      </c>
      <c r="AK297">
        <f>INDIRECT(ADDRESS(297,36))+INDIRECT(ADDRESS(295,37))-INDIRECT(ADDRESS(296,37))</f>
        <v>0</v>
      </c>
      <c r="AL297">
        <f>INDIRECT(ADDRESS(297,37))+INDIRECT(ADDRESS(295,38))-INDIRECT(ADDRESS(296,38))</f>
        <v>0</v>
      </c>
      <c r="AM297">
        <f>INDIRECT(ADDRESS(297,38))+INDIRECT(ADDRESS(295,39))-INDIRECT(ADDRESS(296,39))</f>
        <v>0</v>
      </c>
      <c r="AN297">
        <f>INDIRECT(ADDRESS(297,39))+INDIRECT(ADDRESS(295,40))-INDIRECT(ADDRESS(296,40))</f>
        <v>0</v>
      </c>
      <c r="AO297">
        <f>SUM(INDIRECT(ADDRESS(296,8)):INDIRECT(ADDRESS(296,39)))</f>
        <v>0</v>
      </c>
    </row>
    <row r="298" spans="1:41">
      <c r="A298" t="s">
        <v>185</v>
      </c>
      <c r="B298" t="s">
        <v>286</v>
      </c>
      <c r="C298" t="s">
        <v>287</v>
      </c>
      <c r="E298">
        <v>1</v>
      </c>
      <c r="F298" t="s">
        <v>11</v>
      </c>
      <c r="I298" t="s">
        <v>177</v>
      </c>
    </row>
    <row r="299" spans="1:41">
      <c r="I299" t="s">
        <v>178</v>
      </c>
      <c r="J299">
        <f>IFERROR(VLOOKUP("927-004000-100",B:AB,1+8,0),0)</f>
        <v>0</v>
      </c>
      <c r="K299">
        <f>IFERROR(VLOOKUP("927-004000-100",B:AB,2+8,0),0)</f>
        <v>0</v>
      </c>
      <c r="L299">
        <f>IFERROR(VLOOKUP("927-004000-100",B:AB,3+8,0),0)</f>
        <v>0</v>
      </c>
      <c r="M299">
        <f>IFERROR(VLOOKUP("927-004000-100",B:AB,4+8,0),0)</f>
        <v>0</v>
      </c>
      <c r="N299">
        <f>IFERROR(VLOOKUP("927-004000-100",B:AB,5+8,0),0)</f>
        <v>0</v>
      </c>
      <c r="O299">
        <f>IFERROR(VLOOKUP("927-004000-100",B:AB,6+8,0),0)</f>
        <v>0</v>
      </c>
      <c r="P299">
        <f>IFERROR(VLOOKUP("927-004000-100",B:AB,7+8,0),0)</f>
        <v>0</v>
      </c>
      <c r="Q299">
        <f>IFERROR(VLOOKUP("927-004000-100",B:AB,8+8,0),0)</f>
        <v>0</v>
      </c>
      <c r="R299">
        <f>IFERROR(VLOOKUP("927-004000-100",B:AB,9+8,0),0)</f>
        <v>0</v>
      </c>
      <c r="S299">
        <f>IFERROR(VLOOKUP("927-004000-100",B:AB,10+8,0),0)</f>
        <v>0</v>
      </c>
      <c r="T299">
        <f>IFERROR(VLOOKUP("927-004000-100",B:AB,11+8,0),0)</f>
        <v>0</v>
      </c>
      <c r="U299">
        <f>IFERROR(VLOOKUP("927-004000-100",B:AB,12+8,0),0)</f>
        <v>0</v>
      </c>
      <c r="V299">
        <f>IFERROR(VLOOKUP("927-004000-100",B:AB,13+8,0),0)</f>
        <v>0</v>
      </c>
      <c r="W299">
        <f>IFERROR(VLOOKUP("927-004000-100",B:AB,14+8,0),0)</f>
        <v>0</v>
      </c>
      <c r="X299">
        <f>IFERROR(VLOOKUP("927-004000-100",B:AB,15+8,0),0)</f>
        <v>0</v>
      </c>
      <c r="Y299">
        <f>IFERROR(VLOOKUP("927-004000-100",B:AB,16+8,0),0)</f>
        <v>0</v>
      </c>
      <c r="Z299">
        <f>IFERROR(VLOOKUP("927-004000-100",B:AB,17+8,0),0)</f>
        <v>0</v>
      </c>
      <c r="AA299">
        <f>IFERROR(VLOOKUP("927-004000-100",B:AB,18+8,0),0)</f>
        <v>0</v>
      </c>
      <c r="AB299">
        <f>IFERROR(VLOOKUP("927-004000-100",B:AB,19+8,0),0)</f>
        <v>0</v>
      </c>
      <c r="AC299">
        <f>IFERROR(VLOOKUP("927-004000-100",B:AB,20+8,0),0)</f>
        <v>0</v>
      </c>
      <c r="AD299">
        <f>IFERROR(VLOOKUP("927-004000-100",B:AB,21+8,0),0)</f>
        <v>0</v>
      </c>
      <c r="AE299">
        <f>IFERROR(VLOOKUP("927-004000-100",B:AB,22+8,0),0)</f>
        <v>0</v>
      </c>
      <c r="AF299">
        <f>IFERROR(VLOOKUP("927-004000-100",B:AB,23+8,0),0)</f>
        <v>0</v>
      </c>
      <c r="AG299">
        <f>IFERROR(VLOOKUP("927-004000-100",B:AB,24+8,0),0)</f>
        <v>0</v>
      </c>
      <c r="AH299">
        <f>IFERROR(VLOOKUP("927-004000-100",B:AB,25+8,0),0)</f>
        <v>0</v>
      </c>
      <c r="AI299">
        <f>IFERROR(VLOOKUP("927-004000-100",B:AB,26+8,0),0)</f>
        <v>0</v>
      </c>
      <c r="AJ299">
        <f>IFERROR(VLOOKUP("927-004000-100",B:AB,27+8,0),0)</f>
        <v>0</v>
      </c>
      <c r="AK299">
        <f>IFERROR(VLOOKUP("927-004000-100",B:AB,28+8,0),0)</f>
        <v>0</v>
      </c>
      <c r="AL299">
        <f>IFERROR(VLOOKUP("927-004000-100",B:AB,29+8,0),0)</f>
        <v>0</v>
      </c>
      <c r="AM299">
        <f>IFERROR(VLOOKUP("927-004000-100",B:AB,30+8,0),0)</f>
        <v>0</v>
      </c>
      <c r="AN299">
        <f>IFERROR(VLOOKUP("927-004000-100",B:AB,31+8,0),0)</f>
        <v>0</v>
      </c>
      <c r="AO299">
        <f>SUN(INDIRECT(ADDRESS(298,8)):INDIRECT(ADDRESS(298,39)))</f>
        <v>0</v>
      </c>
    </row>
    <row r="300" spans="1:41">
      <c r="H300" t="s">
        <v>179</v>
      </c>
      <c r="J300">
        <f>INDIRECT(ADDRESS(300,9))+INDIRECT(ADDRESS(298,10))-INDIRECT(ADDRESS(299,10))</f>
        <v>0</v>
      </c>
      <c r="K300">
        <f>INDIRECT(ADDRESS(300,10))+INDIRECT(ADDRESS(298,11))-INDIRECT(ADDRESS(299,11))</f>
        <v>0</v>
      </c>
      <c r="L300">
        <f>INDIRECT(ADDRESS(300,11))+INDIRECT(ADDRESS(298,12))-INDIRECT(ADDRESS(299,12))</f>
        <v>0</v>
      </c>
      <c r="M300">
        <f>INDIRECT(ADDRESS(300,12))+INDIRECT(ADDRESS(298,13))-INDIRECT(ADDRESS(299,13))</f>
        <v>0</v>
      </c>
      <c r="N300">
        <f>INDIRECT(ADDRESS(300,13))+INDIRECT(ADDRESS(298,14))-INDIRECT(ADDRESS(299,14))</f>
        <v>0</v>
      </c>
      <c r="O300">
        <f>INDIRECT(ADDRESS(300,14))+INDIRECT(ADDRESS(298,15))-INDIRECT(ADDRESS(299,15))</f>
        <v>0</v>
      </c>
      <c r="P300">
        <f>INDIRECT(ADDRESS(300,15))+INDIRECT(ADDRESS(298,16))-INDIRECT(ADDRESS(299,16))</f>
        <v>0</v>
      </c>
      <c r="Q300">
        <f>INDIRECT(ADDRESS(300,16))+INDIRECT(ADDRESS(298,17))-INDIRECT(ADDRESS(299,17))</f>
        <v>0</v>
      </c>
      <c r="R300">
        <f>INDIRECT(ADDRESS(300,17))+INDIRECT(ADDRESS(298,18))-INDIRECT(ADDRESS(299,18))</f>
        <v>0</v>
      </c>
      <c r="S300">
        <f>INDIRECT(ADDRESS(300,18))+INDIRECT(ADDRESS(298,19))-INDIRECT(ADDRESS(299,19))</f>
        <v>0</v>
      </c>
      <c r="T300">
        <f>INDIRECT(ADDRESS(300,19))+INDIRECT(ADDRESS(298,20))-INDIRECT(ADDRESS(299,20))</f>
        <v>0</v>
      </c>
      <c r="U300">
        <f>INDIRECT(ADDRESS(300,20))+INDIRECT(ADDRESS(298,21))-INDIRECT(ADDRESS(299,21))</f>
        <v>0</v>
      </c>
      <c r="V300">
        <f>INDIRECT(ADDRESS(300,21))+INDIRECT(ADDRESS(298,22))-INDIRECT(ADDRESS(299,22))</f>
        <v>0</v>
      </c>
      <c r="W300">
        <f>INDIRECT(ADDRESS(300,22))+INDIRECT(ADDRESS(298,23))-INDIRECT(ADDRESS(299,23))</f>
        <v>0</v>
      </c>
      <c r="X300">
        <f>INDIRECT(ADDRESS(300,23))+INDIRECT(ADDRESS(298,24))-INDIRECT(ADDRESS(299,24))</f>
        <v>0</v>
      </c>
      <c r="Y300">
        <f>INDIRECT(ADDRESS(300,24))+INDIRECT(ADDRESS(298,25))-INDIRECT(ADDRESS(299,25))</f>
        <v>0</v>
      </c>
      <c r="Z300">
        <f>INDIRECT(ADDRESS(300,25))+INDIRECT(ADDRESS(298,26))-INDIRECT(ADDRESS(299,26))</f>
        <v>0</v>
      </c>
      <c r="AA300">
        <f>INDIRECT(ADDRESS(300,26))+INDIRECT(ADDRESS(298,27))-INDIRECT(ADDRESS(299,27))</f>
        <v>0</v>
      </c>
      <c r="AB300">
        <f>INDIRECT(ADDRESS(300,27))+INDIRECT(ADDRESS(298,28))-INDIRECT(ADDRESS(299,28))</f>
        <v>0</v>
      </c>
      <c r="AC300">
        <f>INDIRECT(ADDRESS(300,28))+INDIRECT(ADDRESS(298,29))-INDIRECT(ADDRESS(299,29))</f>
        <v>0</v>
      </c>
      <c r="AD300">
        <f>INDIRECT(ADDRESS(300,29))+INDIRECT(ADDRESS(298,30))-INDIRECT(ADDRESS(299,30))</f>
        <v>0</v>
      </c>
      <c r="AE300">
        <f>INDIRECT(ADDRESS(300,30))+INDIRECT(ADDRESS(298,31))-INDIRECT(ADDRESS(299,31))</f>
        <v>0</v>
      </c>
      <c r="AF300">
        <f>INDIRECT(ADDRESS(300,31))+INDIRECT(ADDRESS(298,32))-INDIRECT(ADDRESS(299,32))</f>
        <v>0</v>
      </c>
      <c r="AG300">
        <f>INDIRECT(ADDRESS(300,32))+INDIRECT(ADDRESS(298,33))-INDIRECT(ADDRESS(299,33))</f>
        <v>0</v>
      </c>
      <c r="AH300">
        <f>INDIRECT(ADDRESS(300,33))+INDIRECT(ADDRESS(298,34))-INDIRECT(ADDRESS(299,34))</f>
        <v>0</v>
      </c>
      <c r="AI300">
        <f>INDIRECT(ADDRESS(300,34))+INDIRECT(ADDRESS(298,35))-INDIRECT(ADDRESS(299,35))</f>
        <v>0</v>
      </c>
      <c r="AJ300">
        <f>INDIRECT(ADDRESS(300,35))+INDIRECT(ADDRESS(298,36))-INDIRECT(ADDRESS(299,36))</f>
        <v>0</v>
      </c>
      <c r="AK300">
        <f>INDIRECT(ADDRESS(300,36))+INDIRECT(ADDRESS(298,37))-INDIRECT(ADDRESS(299,37))</f>
        <v>0</v>
      </c>
      <c r="AL300">
        <f>INDIRECT(ADDRESS(300,37))+INDIRECT(ADDRESS(298,38))-INDIRECT(ADDRESS(299,38))</f>
        <v>0</v>
      </c>
      <c r="AM300">
        <f>INDIRECT(ADDRESS(300,38))+INDIRECT(ADDRESS(298,39))-INDIRECT(ADDRESS(299,39))</f>
        <v>0</v>
      </c>
      <c r="AN300">
        <f>INDIRECT(ADDRESS(300,39))+INDIRECT(ADDRESS(298,40))-INDIRECT(ADDRESS(299,40))</f>
        <v>0</v>
      </c>
      <c r="AO300">
        <f>SUM(INDIRECT(ADDRESS(299,8)):INDIRECT(ADDRESS(299,39)))</f>
        <v>0</v>
      </c>
    </row>
    <row r="301" spans="1:41">
      <c r="A301" t="s">
        <v>238</v>
      </c>
      <c r="B301" t="s">
        <v>288</v>
      </c>
      <c r="C301" t="s">
        <v>289</v>
      </c>
      <c r="E301">
        <v>0.1667</v>
      </c>
      <c r="F301" t="s">
        <v>11</v>
      </c>
      <c r="I301" t="s">
        <v>177</v>
      </c>
    </row>
    <row r="302" spans="1:41">
      <c r="I302" t="s">
        <v>178</v>
      </c>
      <c r="J302">
        <f>IFERROR(VLOOKUP("927-004000-100",B:AB,1+8,0),0)</f>
        <v>0</v>
      </c>
      <c r="K302">
        <f>IFERROR(VLOOKUP("927-004000-100",B:AB,2+8,0),0)</f>
        <v>0</v>
      </c>
      <c r="L302">
        <f>IFERROR(VLOOKUP("927-004000-100",B:AB,3+8,0),0)</f>
        <v>0</v>
      </c>
      <c r="M302">
        <f>IFERROR(VLOOKUP("927-004000-100",B:AB,4+8,0),0)</f>
        <v>0</v>
      </c>
      <c r="N302">
        <f>IFERROR(VLOOKUP("927-004000-100",B:AB,5+8,0),0)</f>
        <v>0</v>
      </c>
      <c r="O302">
        <f>IFERROR(VLOOKUP("927-004000-100",B:AB,6+8,0),0)</f>
        <v>0</v>
      </c>
      <c r="P302">
        <f>IFERROR(VLOOKUP("927-004000-100",B:AB,7+8,0),0)</f>
        <v>0</v>
      </c>
      <c r="Q302">
        <f>IFERROR(VLOOKUP("927-004000-100",B:AB,8+8,0),0)</f>
        <v>0</v>
      </c>
      <c r="R302">
        <f>IFERROR(VLOOKUP("927-004000-100",B:AB,9+8,0),0)</f>
        <v>0</v>
      </c>
      <c r="S302">
        <f>IFERROR(VLOOKUP("927-004000-100",B:AB,10+8,0),0)</f>
        <v>0</v>
      </c>
      <c r="T302">
        <f>IFERROR(VLOOKUP("927-004000-100",B:AB,11+8,0),0)</f>
        <v>0</v>
      </c>
      <c r="U302">
        <f>IFERROR(VLOOKUP("927-004000-100",B:AB,12+8,0),0)</f>
        <v>0</v>
      </c>
      <c r="V302">
        <f>IFERROR(VLOOKUP("927-004000-100",B:AB,13+8,0),0)</f>
        <v>0</v>
      </c>
      <c r="W302">
        <f>IFERROR(VLOOKUP("927-004000-100",B:AB,14+8,0),0)</f>
        <v>0</v>
      </c>
      <c r="X302">
        <f>IFERROR(VLOOKUP("927-004000-100",B:AB,15+8,0),0)</f>
        <v>0</v>
      </c>
      <c r="Y302">
        <f>IFERROR(VLOOKUP("927-004000-100",B:AB,16+8,0),0)</f>
        <v>0</v>
      </c>
      <c r="Z302">
        <f>IFERROR(VLOOKUP("927-004000-100",B:AB,17+8,0),0)</f>
        <v>0</v>
      </c>
      <c r="AA302">
        <f>IFERROR(VLOOKUP("927-004000-100",B:AB,18+8,0),0)</f>
        <v>0</v>
      </c>
      <c r="AB302">
        <f>IFERROR(VLOOKUP("927-004000-100",B:AB,19+8,0),0)</f>
        <v>0</v>
      </c>
      <c r="AC302">
        <f>IFERROR(VLOOKUP("927-004000-100",B:AB,20+8,0),0)</f>
        <v>0</v>
      </c>
      <c r="AD302">
        <f>IFERROR(VLOOKUP("927-004000-100",B:AB,21+8,0),0)</f>
        <v>0</v>
      </c>
      <c r="AE302">
        <f>IFERROR(VLOOKUP("927-004000-100",B:AB,22+8,0),0)</f>
        <v>0</v>
      </c>
      <c r="AF302">
        <f>IFERROR(VLOOKUP("927-004000-100",B:AB,23+8,0),0)</f>
        <v>0</v>
      </c>
      <c r="AG302">
        <f>IFERROR(VLOOKUP("927-004000-100",B:AB,24+8,0),0)</f>
        <v>0</v>
      </c>
      <c r="AH302">
        <f>IFERROR(VLOOKUP("927-004000-100",B:AB,25+8,0),0)</f>
        <v>0</v>
      </c>
      <c r="AI302">
        <f>IFERROR(VLOOKUP("927-004000-100",B:AB,26+8,0),0)</f>
        <v>0</v>
      </c>
      <c r="AJ302">
        <f>IFERROR(VLOOKUP("927-004000-100",B:AB,27+8,0),0)</f>
        <v>0</v>
      </c>
      <c r="AK302">
        <f>IFERROR(VLOOKUP("927-004000-100",B:AB,28+8,0),0)</f>
        <v>0</v>
      </c>
      <c r="AL302">
        <f>IFERROR(VLOOKUP("927-004000-100",B:AB,29+8,0),0)</f>
        <v>0</v>
      </c>
      <c r="AM302">
        <f>IFERROR(VLOOKUP("927-004000-100",B:AB,30+8,0),0)</f>
        <v>0</v>
      </c>
      <c r="AN302">
        <f>IFERROR(VLOOKUP("927-004000-100",B:AB,31+8,0),0)</f>
        <v>0</v>
      </c>
      <c r="AO302">
        <f>SUN(INDIRECT(ADDRESS(301,8)):INDIRECT(ADDRESS(301,39)))</f>
        <v>0</v>
      </c>
    </row>
    <row r="303" spans="1:41">
      <c r="H303" t="s">
        <v>179</v>
      </c>
      <c r="J303">
        <f>INDIRECT(ADDRESS(303,9))+INDIRECT(ADDRESS(301,10))-INDIRECT(ADDRESS(302,10))</f>
        <v>0</v>
      </c>
      <c r="K303">
        <f>INDIRECT(ADDRESS(303,10))+INDIRECT(ADDRESS(301,11))-INDIRECT(ADDRESS(302,11))</f>
        <v>0</v>
      </c>
      <c r="L303">
        <f>INDIRECT(ADDRESS(303,11))+INDIRECT(ADDRESS(301,12))-INDIRECT(ADDRESS(302,12))</f>
        <v>0</v>
      </c>
      <c r="M303">
        <f>INDIRECT(ADDRESS(303,12))+INDIRECT(ADDRESS(301,13))-INDIRECT(ADDRESS(302,13))</f>
        <v>0</v>
      </c>
      <c r="N303">
        <f>INDIRECT(ADDRESS(303,13))+INDIRECT(ADDRESS(301,14))-INDIRECT(ADDRESS(302,14))</f>
        <v>0</v>
      </c>
      <c r="O303">
        <f>INDIRECT(ADDRESS(303,14))+INDIRECT(ADDRESS(301,15))-INDIRECT(ADDRESS(302,15))</f>
        <v>0</v>
      </c>
      <c r="P303">
        <f>INDIRECT(ADDRESS(303,15))+INDIRECT(ADDRESS(301,16))-INDIRECT(ADDRESS(302,16))</f>
        <v>0</v>
      </c>
      <c r="Q303">
        <f>INDIRECT(ADDRESS(303,16))+INDIRECT(ADDRESS(301,17))-INDIRECT(ADDRESS(302,17))</f>
        <v>0</v>
      </c>
      <c r="R303">
        <f>INDIRECT(ADDRESS(303,17))+INDIRECT(ADDRESS(301,18))-INDIRECT(ADDRESS(302,18))</f>
        <v>0</v>
      </c>
      <c r="S303">
        <f>INDIRECT(ADDRESS(303,18))+INDIRECT(ADDRESS(301,19))-INDIRECT(ADDRESS(302,19))</f>
        <v>0</v>
      </c>
      <c r="T303">
        <f>INDIRECT(ADDRESS(303,19))+INDIRECT(ADDRESS(301,20))-INDIRECT(ADDRESS(302,20))</f>
        <v>0</v>
      </c>
      <c r="U303">
        <f>INDIRECT(ADDRESS(303,20))+INDIRECT(ADDRESS(301,21))-INDIRECT(ADDRESS(302,21))</f>
        <v>0</v>
      </c>
      <c r="V303">
        <f>INDIRECT(ADDRESS(303,21))+INDIRECT(ADDRESS(301,22))-INDIRECT(ADDRESS(302,22))</f>
        <v>0</v>
      </c>
      <c r="W303">
        <f>INDIRECT(ADDRESS(303,22))+INDIRECT(ADDRESS(301,23))-INDIRECT(ADDRESS(302,23))</f>
        <v>0</v>
      </c>
      <c r="X303">
        <f>INDIRECT(ADDRESS(303,23))+INDIRECT(ADDRESS(301,24))-INDIRECT(ADDRESS(302,24))</f>
        <v>0</v>
      </c>
      <c r="Y303">
        <f>INDIRECT(ADDRESS(303,24))+INDIRECT(ADDRESS(301,25))-INDIRECT(ADDRESS(302,25))</f>
        <v>0</v>
      </c>
      <c r="Z303">
        <f>INDIRECT(ADDRESS(303,25))+INDIRECT(ADDRESS(301,26))-INDIRECT(ADDRESS(302,26))</f>
        <v>0</v>
      </c>
      <c r="AA303">
        <f>INDIRECT(ADDRESS(303,26))+INDIRECT(ADDRESS(301,27))-INDIRECT(ADDRESS(302,27))</f>
        <v>0</v>
      </c>
      <c r="AB303">
        <f>INDIRECT(ADDRESS(303,27))+INDIRECT(ADDRESS(301,28))-INDIRECT(ADDRESS(302,28))</f>
        <v>0</v>
      </c>
      <c r="AC303">
        <f>INDIRECT(ADDRESS(303,28))+INDIRECT(ADDRESS(301,29))-INDIRECT(ADDRESS(302,29))</f>
        <v>0</v>
      </c>
      <c r="AD303">
        <f>INDIRECT(ADDRESS(303,29))+INDIRECT(ADDRESS(301,30))-INDIRECT(ADDRESS(302,30))</f>
        <v>0</v>
      </c>
      <c r="AE303">
        <f>INDIRECT(ADDRESS(303,30))+INDIRECT(ADDRESS(301,31))-INDIRECT(ADDRESS(302,31))</f>
        <v>0</v>
      </c>
      <c r="AF303">
        <f>INDIRECT(ADDRESS(303,31))+INDIRECT(ADDRESS(301,32))-INDIRECT(ADDRESS(302,32))</f>
        <v>0</v>
      </c>
      <c r="AG303">
        <f>INDIRECT(ADDRESS(303,32))+INDIRECT(ADDRESS(301,33))-INDIRECT(ADDRESS(302,33))</f>
        <v>0</v>
      </c>
      <c r="AH303">
        <f>INDIRECT(ADDRESS(303,33))+INDIRECT(ADDRESS(301,34))-INDIRECT(ADDRESS(302,34))</f>
        <v>0</v>
      </c>
      <c r="AI303">
        <f>INDIRECT(ADDRESS(303,34))+INDIRECT(ADDRESS(301,35))-INDIRECT(ADDRESS(302,35))</f>
        <v>0</v>
      </c>
      <c r="AJ303">
        <f>INDIRECT(ADDRESS(303,35))+INDIRECT(ADDRESS(301,36))-INDIRECT(ADDRESS(302,36))</f>
        <v>0</v>
      </c>
      <c r="AK303">
        <f>INDIRECT(ADDRESS(303,36))+INDIRECT(ADDRESS(301,37))-INDIRECT(ADDRESS(302,37))</f>
        <v>0</v>
      </c>
      <c r="AL303">
        <f>INDIRECT(ADDRESS(303,37))+INDIRECT(ADDRESS(301,38))-INDIRECT(ADDRESS(302,38))</f>
        <v>0</v>
      </c>
      <c r="AM303">
        <f>INDIRECT(ADDRESS(303,38))+INDIRECT(ADDRESS(301,39))-INDIRECT(ADDRESS(302,39))</f>
        <v>0</v>
      </c>
      <c r="AN303">
        <f>INDIRECT(ADDRESS(303,39))+INDIRECT(ADDRESS(301,40))-INDIRECT(ADDRESS(302,40))</f>
        <v>0</v>
      </c>
      <c r="AO303">
        <f>SUM(INDIRECT(ADDRESS(302,8)):INDIRECT(ADDRESS(302,39)))</f>
        <v>0</v>
      </c>
    </row>
    <row r="304" spans="1:41">
      <c r="A304" t="s">
        <v>8</v>
      </c>
      <c r="B304" t="s">
        <v>30</v>
      </c>
      <c r="C304" t="s">
        <v>31</v>
      </c>
      <c r="E304">
        <v>1</v>
      </c>
      <c r="F304" t="s">
        <v>11</v>
      </c>
      <c r="I304" t="s">
        <v>177</v>
      </c>
    </row>
    <row r="305" spans="1:41">
      <c r="I305" t="s">
        <v>178</v>
      </c>
      <c r="J305">
        <f>IFERROR(VLOOKUP("924-718897-100",Out!B:AB,1+8,0),0)</f>
        <v>0</v>
      </c>
      <c r="K305">
        <f>IFERROR(VLOOKUP("924-718897-100",Out!B:AB,2+8,0),0)</f>
        <v>0</v>
      </c>
      <c r="L305">
        <f>IFERROR(VLOOKUP("924-718897-100",Out!B:AB,3+8,0),0)</f>
        <v>0</v>
      </c>
      <c r="M305">
        <f>IFERROR(VLOOKUP("924-718897-100",Out!B:AB,4+8,0),0)</f>
        <v>0</v>
      </c>
      <c r="N305">
        <f>IFERROR(VLOOKUP("924-718897-100",Out!B:AB,5+8,0),0)</f>
        <v>0</v>
      </c>
      <c r="O305">
        <f>IFERROR(VLOOKUP("924-718897-100",Out!B:AB,6+8,0),0)</f>
        <v>0</v>
      </c>
      <c r="P305">
        <f>IFERROR(VLOOKUP("924-718897-100",Out!B:AB,7+8,0),0)</f>
        <v>0</v>
      </c>
      <c r="Q305">
        <f>IFERROR(VLOOKUP("924-718897-100",Out!B:AB,8+8,0),0)</f>
        <v>0</v>
      </c>
      <c r="R305">
        <f>IFERROR(VLOOKUP("924-718897-100",Out!B:AB,9+8,0),0)</f>
        <v>0</v>
      </c>
      <c r="S305">
        <f>IFERROR(VLOOKUP("924-718897-100",Out!B:AB,10+8,0),0)</f>
        <v>0</v>
      </c>
      <c r="T305">
        <f>IFERROR(VLOOKUP("924-718897-100",Out!B:AB,11+8,0),0)</f>
        <v>0</v>
      </c>
      <c r="U305">
        <f>IFERROR(VLOOKUP("924-718897-100",Out!B:AB,12+8,0),0)</f>
        <v>0</v>
      </c>
      <c r="V305">
        <f>IFERROR(VLOOKUP("924-718897-100",Out!B:AB,13+8,0),0)</f>
        <v>0</v>
      </c>
      <c r="W305">
        <f>IFERROR(VLOOKUP("924-718897-100",Out!B:AB,14+8,0),0)</f>
        <v>0</v>
      </c>
      <c r="X305">
        <f>IFERROR(VLOOKUP("924-718897-100",Out!B:AB,15+8,0),0)</f>
        <v>0</v>
      </c>
      <c r="Y305">
        <f>IFERROR(VLOOKUP("924-718897-100",Out!B:AB,16+8,0),0)</f>
        <v>0</v>
      </c>
      <c r="Z305">
        <f>IFERROR(VLOOKUP("924-718897-100",Out!B:AB,17+8,0),0)</f>
        <v>0</v>
      </c>
      <c r="AA305">
        <f>IFERROR(VLOOKUP("924-718897-100",Out!B:AB,18+8,0),0)</f>
        <v>0</v>
      </c>
      <c r="AB305">
        <f>IFERROR(VLOOKUP("924-718897-100",Out!B:AB,19+8,0),0)</f>
        <v>0</v>
      </c>
      <c r="AC305">
        <f>IFERROR(VLOOKUP("924-718897-100",Out!B:AB,20+8,0),0)</f>
        <v>0</v>
      </c>
      <c r="AD305">
        <f>IFERROR(VLOOKUP("924-718897-100",Out!B:AB,21+8,0),0)</f>
        <v>0</v>
      </c>
      <c r="AE305">
        <f>IFERROR(VLOOKUP("924-718897-100",Out!B:AB,22+8,0),0)</f>
        <v>0</v>
      </c>
      <c r="AF305">
        <f>IFERROR(VLOOKUP("924-718897-100",Out!B:AB,23+8,0),0)</f>
        <v>0</v>
      </c>
      <c r="AG305">
        <f>IFERROR(VLOOKUP("924-718897-100",Out!B:AB,24+8,0),0)</f>
        <v>0</v>
      </c>
      <c r="AH305">
        <f>IFERROR(VLOOKUP("924-718897-100",Out!B:AB,25+8,0),0)</f>
        <v>0</v>
      </c>
      <c r="AI305">
        <f>IFERROR(VLOOKUP("924-718897-100",Out!B:AB,26+8,0),0)</f>
        <v>0</v>
      </c>
      <c r="AJ305">
        <f>IFERROR(VLOOKUP("924-718897-100",Out!B:AB,27+8,0),0)</f>
        <v>0</v>
      </c>
      <c r="AK305">
        <f>IFERROR(VLOOKUP("924-718897-100",Out!B:AB,28+8,0),0)</f>
        <v>0</v>
      </c>
      <c r="AL305">
        <f>IFERROR(VLOOKUP("924-718897-100",Out!B:AB,29+8,0),0)</f>
        <v>0</v>
      </c>
      <c r="AM305">
        <f>IFERROR(VLOOKUP("924-718897-100",Out!B:AB,30+8,0),0)</f>
        <v>0</v>
      </c>
      <c r="AN305">
        <f>IFERROR(VLOOKUP("924-718897-100",Out!B:AB,31+8,0),0)</f>
        <v>0</v>
      </c>
      <c r="AO305">
        <f>SUN(INDIRECT(ADDRESS(304,8)):INDIRECT(ADDRESS(304,39)))</f>
        <v>0</v>
      </c>
    </row>
    <row r="306" spans="1:41">
      <c r="H306" t="s">
        <v>179</v>
      </c>
      <c r="J306">
        <f>INDIRECT(ADDRESS(306,9))+INDIRECT(ADDRESS(304,10))-INDIRECT(ADDRESS(305,10))</f>
        <v>0</v>
      </c>
      <c r="K306">
        <f>INDIRECT(ADDRESS(306,10))+INDIRECT(ADDRESS(304,11))-INDIRECT(ADDRESS(305,11))</f>
        <v>0</v>
      </c>
      <c r="L306">
        <f>INDIRECT(ADDRESS(306,11))+INDIRECT(ADDRESS(304,12))-INDIRECT(ADDRESS(305,12))</f>
        <v>0</v>
      </c>
      <c r="M306">
        <f>INDIRECT(ADDRESS(306,12))+INDIRECT(ADDRESS(304,13))-INDIRECT(ADDRESS(305,13))</f>
        <v>0</v>
      </c>
      <c r="N306">
        <f>INDIRECT(ADDRESS(306,13))+INDIRECT(ADDRESS(304,14))-INDIRECT(ADDRESS(305,14))</f>
        <v>0</v>
      </c>
      <c r="O306">
        <f>INDIRECT(ADDRESS(306,14))+INDIRECT(ADDRESS(304,15))-INDIRECT(ADDRESS(305,15))</f>
        <v>0</v>
      </c>
      <c r="P306">
        <f>INDIRECT(ADDRESS(306,15))+INDIRECT(ADDRESS(304,16))-INDIRECT(ADDRESS(305,16))</f>
        <v>0</v>
      </c>
      <c r="Q306">
        <f>INDIRECT(ADDRESS(306,16))+INDIRECT(ADDRESS(304,17))-INDIRECT(ADDRESS(305,17))</f>
        <v>0</v>
      </c>
      <c r="R306">
        <f>INDIRECT(ADDRESS(306,17))+INDIRECT(ADDRESS(304,18))-INDIRECT(ADDRESS(305,18))</f>
        <v>0</v>
      </c>
      <c r="S306">
        <f>INDIRECT(ADDRESS(306,18))+INDIRECT(ADDRESS(304,19))-INDIRECT(ADDRESS(305,19))</f>
        <v>0</v>
      </c>
      <c r="T306">
        <f>INDIRECT(ADDRESS(306,19))+INDIRECT(ADDRESS(304,20))-INDIRECT(ADDRESS(305,20))</f>
        <v>0</v>
      </c>
      <c r="U306">
        <f>INDIRECT(ADDRESS(306,20))+INDIRECT(ADDRESS(304,21))-INDIRECT(ADDRESS(305,21))</f>
        <v>0</v>
      </c>
      <c r="V306">
        <f>INDIRECT(ADDRESS(306,21))+INDIRECT(ADDRESS(304,22))-INDIRECT(ADDRESS(305,22))</f>
        <v>0</v>
      </c>
      <c r="W306">
        <f>INDIRECT(ADDRESS(306,22))+INDIRECT(ADDRESS(304,23))-INDIRECT(ADDRESS(305,23))</f>
        <v>0</v>
      </c>
      <c r="X306">
        <f>INDIRECT(ADDRESS(306,23))+INDIRECT(ADDRESS(304,24))-INDIRECT(ADDRESS(305,24))</f>
        <v>0</v>
      </c>
      <c r="Y306">
        <f>INDIRECT(ADDRESS(306,24))+INDIRECT(ADDRESS(304,25))-INDIRECT(ADDRESS(305,25))</f>
        <v>0</v>
      </c>
      <c r="Z306">
        <f>INDIRECT(ADDRESS(306,25))+INDIRECT(ADDRESS(304,26))-INDIRECT(ADDRESS(305,26))</f>
        <v>0</v>
      </c>
      <c r="AA306">
        <f>INDIRECT(ADDRESS(306,26))+INDIRECT(ADDRESS(304,27))-INDIRECT(ADDRESS(305,27))</f>
        <v>0</v>
      </c>
      <c r="AB306">
        <f>INDIRECT(ADDRESS(306,27))+INDIRECT(ADDRESS(304,28))-INDIRECT(ADDRESS(305,28))</f>
        <v>0</v>
      </c>
      <c r="AC306">
        <f>INDIRECT(ADDRESS(306,28))+INDIRECT(ADDRESS(304,29))-INDIRECT(ADDRESS(305,29))</f>
        <v>0</v>
      </c>
      <c r="AD306">
        <f>INDIRECT(ADDRESS(306,29))+INDIRECT(ADDRESS(304,30))-INDIRECT(ADDRESS(305,30))</f>
        <v>0</v>
      </c>
      <c r="AE306">
        <f>INDIRECT(ADDRESS(306,30))+INDIRECT(ADDRESS(304,31))-INDIRECT(ADDRESS(305,31))</f>
        <v>0</v>
      </c>
      <c r="AF306">
        <f>INDIRECT(ADDRESS(306,31))+INDIRECT(ADDRESS(304,32))-INDIRECT(ADDRESS(305,32))</f>
        <v>0</v>
      </c>
      <c r="AG306">
        <f>INDIRECT(ADDRESS(306,32))+INDIRECT(ADDRESS(304,33))-INDIRECT(ADDRESS(305,33))</f>
        <v>0</v>
      </c>
      <c r="AH306">
        <f>INDIRECT(ADDRESS(306,33))+INDIRECT(ADDRESS(304,34))-INDIRECT(ADDRESS(305,34))</f>
        <v>0</v>
      </c>
      <c r="AI306">
        <f>INDIRECT(ADDRESS(306,34))+INDIRECT(ADDRESS(304,35))-INDIRECT(ADDRESS(305,35))</f>
        <v>0</v>
      </c>
      <c r="AJ306">
        <f>INDIRECT(ADDRESS(306,35))+INDIRECT(ADDRESS(304,36))-INDIRECT(ADDRESS(305,36))</f>
        <v>0</v>
      </c>
      <c r="AK306">
        <f>INDIRECT(ADDRESS(306,36))+INDIRECT(ADDRESS(304,37))-INDIRECT(ADDRESS(305,37))</f>
        <v>0</v>
      </c>
      <c r="AL306">
        <f>INDIRECT(ADDRESS(306,37))+INDIRECT(ADDRESS(304,38))-INDIRECT(ADDRESS(305,38))</f>
        <v>0</v>
      </c>
      <c r="AM306">
        <f>INDIRECT(ADDRESS(306,38))+INDIRECT(ADDRESS(304,39))-INDIRECT(ADDRESS(305,39))</f>
        <v>0</v>
      </c>
      <c r="AN306">
        <f>INDIRECT(ADDRESS(306,39))+INDIRECT(ADDRESS(304,40))-INDIRECT(ADDRESS(305,40))</f>
        <v>0</v>
      </c>
      <c r="AO306">
        <f>SUM(INDIRECT(ADDRESS(305,8)):INDIRECT(ADDRESS(305,39)))</f>
        <v>0</v>
      </c>
    </row>
    <row r="307" spans="1:41">
      <c r="A307" t="s">
        <v>180</v>
      </c>
      <c r="B307" t="s">
        <v>308</v>
      </c>
      <c r="C307" t="s">
        <v>309</v>
      </c>
      <c r="E307">
        <v>1</v>
      </c>
      <c r="F307" t="s">
        <v>11</v>
      </c>
      <c r="I307" t="s">
        <v>177</v>
      </c>
    </row>
    <row r="308" spans="1:41">
      <c r="I308" t="s">
        <v>178</v>
      </c>
      <c r="J308">
        <f>IFERROR(VLOOKUP("924-718897-100",B:AB,1+8,0),0)</f>
        <v>0</v>
      </c>
      <c r="K308">
        <f>IFERROR(VLOOKUP("924-718897-100",B:AB,2+8,0),0)</f>
        <v>0</v>
      </c>
      <c r="L308">
        <f>IFERROR(VLOOKUP("924-718897-100",B:AB,3+8,0),0)</f>
        <v>0</v>
      </c>
      <c r="M308">
        <f>IFERROR(VLOOKUP("924-718897-100",B:AB,4+8,0),0)</f>
        <v>0</v>
      </c>
      <c r="N308">
        <f>IFERROR(VLOOKUP("924-718897-100",B:AB,5+8,0),0)</f>
        <v>0</v>
      </c>
      <c r="O308">
        <f>IFERROR(VLOOKUP("924-718897-100",B:AB,6+8,0),0)</f>
        <v>0</v>
      </c>
      <c r="P308">
        <f>IFERROR(VLOOKUP("924-718897-100",B:AB,7+8,0),0)</f>
        <v>0</v>
      </c>
      <c r="Q308">
        <f>IFERROR(VLOOKUP("924-718897-100",B:AB,8+8,0),0)</f>
        <v>0</v>
      </c>
      <c r="R308">
        <f>IFERROR(VLOOKUP("924-718897-100",B:AB,9+8,0),0)</f>
        <v>0</v>
      </c>
      <c r="S308">
        <f>IFERROR(VLOOKUP("924-718897-100",B:AB,10+8,0),0)</f>
        <v>0</v>
      </c>
      <c r="T308">
        <f>IFERROR(VLOOKUP("924-718897-100",B:AB,11+8,0),0)</f>
        <v>0</v>
      </c>
      <c r="U308">
        <f>IFERROR(VLOOKUP("924-718897-100",B:AB,12+8,0),0)</f>
        <v>0</v>
      </c>
      <c r="V308">
        <f>IFERROR(VLOOKUP("924-718897-100",B:AB,13+8,0),0)</f>
        <v>0</v>
      </c>
      <c r="W308">
        <f>IFERROR(VLOOKUP("924-718897-100",B:AB,14+8,0),0)</f>
        <v>0</v>
      </c>
      <c r="X308">
        <f>IFERROR(VLOOKUP("924-718897-100",B:AB,15+8,0),0)</f>
        <v>0</v>
      </c>
      <c r="Y308">
        <f>IFERROR(VLOOKUP("924-718897-100",B:AB,16+8,0),0)</f>
        <v>0</v>
      </c>
      <c r="Z308">
        <f>IFERROR(VLOOKUP("924-718897-100",B:AB,17+8,0),0)</f>
        <v>0</v>
      </c>
      <c r="AA308">
        <f>IFERROR(VLOOKUP("924-718897-100",B:AB,18+8,0),0)</f>
        <v>0</v>
      </c>
      <c r="AB308">
        <f>IFERROR(VLOOKUP("924-718897-100",B:AB,19+8,0),0)</f>
        <v>0</v>
      </c>
      <c r="AC308">
        <f>IFERROR(VLOOKUP("924-718897-100",B:AB,20+8,0),0)</f>
        <v>0</v>
      </c>
      <c r="AD308">
        <f>IFERROR(VLOOKUP("924-718897-100",B:AB,21+8,0),0)</f>
        <v>0</v>
      </c>
      <c r="AE308">
        <f>IFERROR(VLOOKUP("924-718897-100",B:AB,22+8,0),0)</f>
        <v>0</v>
      </c>
      <c r="AF308">
        <f>IFERROR(VLOOKUP("924-718897-100",B:AB,23+8,0),0)</f>
        <v>0</v>
      </c>
      <c r="AG308">
        <f>IFERROR(VLOOKUP("924-718897-100",B:AB,24+8,0),0)</f>
        <v>0</v>
      </c>
      <c r="AH308">
        <f>IFERROR(VLOOKUP("924-718897-100",B:AB,25+8,0),0)</f>
        <v>0</v>
      </c>
      <c r="AI308">
        <f>IFERROR(VLOOKUP("924-718897-100",B:AB,26+8,0),0)</f>
        <v>0</v>
      </c>
      <c r="AJ308">
        <f>IFERROR(VLOOKUP("924-718897-100",B:AB,27+8,0),0)</f>
        <v>0</v>
      </c>
      <c r="AK308">
        <f>IFERROR(VLOOKUP("924-718897-100",B:AB,28+8,0),0)</f>
        <v>0</v>
      </c>
      <c r="AL308">
        <f>IFERROR(VLOOKUP("924-718897-100",B:AB,29+8,0),0)</f>
        <v>0</v>
      </c>
      <c r="AM308">
        <f>IFERROR(VLOOKUP("924-718897-100",B:AB,30+8,0),0)</f>
        <v>0</v>
      </c>
      <c r="AN308">
        <f>IFERROR(VLOOKUP("924-718897-100",B:AB,31+8,0),0)</f>
        <v>0</v>
      </c>
      <c r="AO308">
        <f>SUN(INDIRECT(ADDRESS(307,8)):INDIRECT(ADDRESS(307,39)))</f>
        <v>0</v>
      </c>
    </row>
    <row r="309" spans="1:41">
      <c r="H309" t="s">
        <v>179</v>
      </c>
      <c r="J309">
        <f>INDIRECT(ADDRESS(309,9))+INDIRECT(ADDRESS(307,10))-INDIRECT(ADDRESS(308,10))</f>
        <v>0</v>
      </c>
      <c r="K309">
        <f>INDIRECT(ADDRESS(309,10))+INDIRECT(ADDRESS(307,11))-INDIRECT(ADDRESS(308,11))</f>
        <v>0</v>
      </c>
      <c r="L309">
        <f>INDIRECT(ADDRESS(309,11))+INDIRECT(ADDRESS(307,12))-INDIRECT(ADDRESS(308,12))</f>
        <v>0</v>
      </c>
      <c r="M309">
        <f>INDIRECT(ADDRESS(309,12))+INDIRECT(ADDRESS(307,13))-INDIRECT(ADDRESS(308,13))</f>
        <v>0</v>
      </c>
      <c r="N309">
        <f>INDIRECT(ADDRESS(309,13))+INDIRECT(ADDRESS(307,14))-INDIRECT(ADDRESS(308,14))</f>
        <v>0</v>
      </c>
      <c r="O309">
        <f>INDIRECT(ADDRESS(309,14))+INDIRECT(ADDRESS(307,15))-INDIRECT(ADDRESS(308,15))</f>
        <v>0</v>
      </c>
      <c r="P309">
        <f>INDIRECT(ADDRESS(309,15))+INDIRECT(ADDRESS(307,16))-INDIRECT(ADDRESS(308,16))</f>
        <v>0</v>
      </c>
      <c r="Q309">
        <f>INDIRECT(ADDRESS(309,16))+INDIRECT(ADDRESS(307,17))-INDIRECT(ADDRESS(308,17))</f>
        <v>0</v>
      </c>
      <c r="R309">
        <f>INDIRECT(ADDRESS(309,17))+INDIRECT(ADDRESS(307,18))-INDIRECT(ADDRESS(308,18))</f>
        <v>0</v>
      </c>
      <c r="S309">
        <f>INDIRECT(ADDRESS(309,18))+INDIRECT(ADDRESS(307,19))-INDIRECT(ADDRESS(308,19))</f>
        <v>0</v>
      </c>
      <c r="T309">
        <f>INDIRECT(ADDRESS(309,19))+INDIRECT(ADDRESS(307,20))-INDIRECT(ADDRESS(308,20))</f>
        <v>0</v>
      </c>
      <c r="U309">
        <f>INDIRECT(ADDRESS(309,20))+INDIRECT(ADDRESS(307,21))-INDIRECT(ADDRESS(308,21))</f>
        <v>0</v>
      </c>
      <c r="V309">
        <f>INDIRECT(ADDRESS(309,21))+INDIRECT(ADDRESS(307,22))-INDIRECT(ADDRESS(308,22))</f>
        <v>0</v>
      </c>
      <c r="W309">
        <f>INDIRECT(ADDRESS(309,22))+INDIRECT(ADDRESS(307,23))-INDIRECT(ADDRESS(308,23))</f>
        <v>0</v>
      </c>
      <c r="X309">
        <f>INDIRECT(ADDRESS(309,23))+INDIRECT(ADDRESS(307,24))-INDIRECT(ADDRESS(308,24))</f>
        <v>0</v>
      </c>
      <c r="Y309">
        <f>INDIRECT(ADDRESS(309,24))+INDIRECT(ADDRESS(307,25))-INDIRECT(ADDRESS(308,25))</f>
        <v>0</v>
      </c>
      <c r="Z309">
        <f>INDIRECT(ADDRESS(309,25))+INDIRECT(ADDRESS(307,26))-INDIRECT(ADDRESS(308,26))</f>
        <v>0</v>
      </c>
      <c r="AA309">
        <f>INDIRECT(ADDRESS(309,26))+INDIRECT(ADDRESS(307,27))-INDIRECT(ADDRESS(308,27))</f>
        <v>0</v>
      </c>
      <c r="AB309">
        <f>INDIRECT(ADDRESS(309,27))+INDIRECT(ADDRESS(307,28))-INDIRECT(ADDRESS(308,28))</f>
        <v>0</v>
      </c>
      <c r="AC309">
        <f>INDIRECT(ADDRESS(309,28))+INDIRECT(ADDRESS(307,29))-INDIRECT(ADDRESS(308,29))</f>
        <v>0</v>
      </c>
      <c r="AD309">
        <f>INDIRECT(ADDRESS(309,29))+INDIRECT(ADDRESS(307,30))-INDIRECT(ADDRESS(308,30))</f>
        <v>0</v>
      </c>
      <c r="AE309">
        <f>INDIRECT(ADDRESS(309,30))+INDIRECT(ADDRESS(307,31))-INDIRECT(ADDRESS(308,31))</f>
        <v>0</v>
      </c>
      <c r="AF309">
        <f>INDIRECT(ADDRESS(309,31))+INDIRECT(ADDRESS(307,32))-INDIRECT(ADDRESS(308,32))</f>
        <v>0</v>
      </c>
      <c r="AG309">
        <f>INDIRECT(ADDRESS(309,32))+INDIRECT(ADDRESS(307,33))-INDIRECT(ADDRESS(308,33))</f>
        <v>0</v>
      </c>
      <c r="AH309">
        <f>INDIRECT(ADDRESS(309,33))+INDIRECT(ADDRESS(307,34))-INDIRECT(ADDRESS(308,34))</f>
        <v>0</v>
      </c>
      <c r="AI309">
        <f>INDIRECT(ADDRESS(309,34))+INDIRECT(ADDRESS(307,35))-INDIRECT(ADDRESS(308,35))</f>
        <v>0</v>
      </c>
      <c r="AJ309">
        <f>INDIRECT(ADDRESS(309,35))+INDIRECT(ADDRESS(307,36))-INDIRECT(ADDRESS(308,36))</f>
        <v>0</v>
      </c>
      <c r="AK309">
        <f>INDIRECT(ADDRESS(309,36))+INDIRECT(ADDRESS(307,37))-INDIRECT(ADDRESS(308,37))</f>
        <v>0</v>
      </c>
      <c r="AL309">
        <f>INDIRECT(ADDRESS(309,37))+INDIRECT(ADDRESS(307,38))-INDIRECT(ADDRESS(308,38))</f>
        <v>0</v>
      </c>
      <c r="AM309">
        <f>INDIRECT(ADDRESS(309,38))+INDIRECT(ADDRESS(307,39))-INDIRECT(ADDRESS(308,39))</f>
        <v>0</v>
      </c>
      <c r="AN309">
        <f>INDIRECT(ADDRESS(309,39))+INDIRECT(ADDRESS(307,40))-INDIRECT(ADDRESS(308,40))</f>
        <v>0</v>
      </c>
      <c r="AO309">
        <f>SUM(INDIRECT(ADDRESS(308,8)):INDIRECT(ADDRESS(308,39)))</f>
        <v>0</v>
      </c>
    </row>
    <row r="310" spans="1:41">
      <c r="A310" t="s">
        <v>185</v>
      </c>
      <c r="B310" t="s">
        <v>310</v>
      </c>
      <c r="C310" t="s">
        <v>311</v>
      </c>
      <c r="E310">
        <v>1</v>
      </c>
      <c r="F310" t="s">
        <v>11</v>
      </c>
      <c r="I310" t="s">
        <v>177</v>
      </c>
    </row>
    <row r="311" spans="1:41">
      <c r="I311" t="s">
        <v>178</v>
      </c>
      <c r="J311">
        <f>IFERROR(VLOOKUP("924-718897-100",B:AB,1+8,0),0)</f>
        <v>0</v>
      </c>
      <c r="K311">
        <f>IFERROR(VLOOKUP("924-718897-100",B:AB,2+8,0),0)</f>
        <v>0</v>
      </c>
      <c r="L311">
        <f>IFERROR(VLOOKUP("924-718897-100",B:AB,3+8,0),0)</f>
        <v>0</v>
      </c>
      <c r="M311">
        <f>IFERROR(VLOOKUP("924-718897-100",B:AB,4+8,0),0)</f>
        <v>0</v>
      </c>
      <c r="N311">
        <f>IFERROR(VLOOKUP("924-718897-100",B:AB,5+8,0),0)</f>
        <v>0</v>
      </c>
      <c r="O311">
        <f>IFERROR(VLOOKUP("924-718897-100",B:AB,6+8,0),0)</f>
        <v>0</v>
      </c>
      <c r="P311">
        <f>IFERROR(VLOOKUP("924-718897-100",B:AB,7+8,0),0)</f>
        <v>0</v>
      </c>
      <c r="Q311">
        <f>IFERROR(VLOOKUP("924-718897-100",B:AB,8+8,0),0)</f>
        <v>0</v>
      </c>
      <c r="R311">
        <f>IFERROR(VLOOKUP("924-718897-100",B:AB,9+8,0),0)</f>
        <v>0</v>
      </c>
      <c r="S311">
        <f>IFERROR(VLOOKUP("924-718897-100",B:AB,10+8,0),0)</f>
        <v>0</v>
      </c>
      <c r="T311">
        <f>IFERROR(VLOOKUP("924-718897-100",B:AB,11+8,0),0)</f>
        <v>0</v>
      </c>
      <c r="U311">
        <f>IFERROR(VLOOKUP("924-718897-100",B:AB,12+8,0),0)</f>
        <v>0</v>
      </c>
      <c r="V311">
        <f>IFERROR(VLOOKUP("924-718897-100",B:AB,13+8,0),0)</f>
        <v>0</v>
      </c>
      <c r="W311">
        <f>IFERROR(VLOOKUP("924-718897-100",B:AB,14+8,0),0)</f>
        <v>0</v>
      </c>
      <c r="X311">
        <f>IFERROR(VLOOKUP("924-718897-100",B:AB,15+8,0),0)</f>
        <v>0</v>
      </c>
      <c r="Y311">
        <f>IFERROR(VLOOKUP("924-718897-100",B:AB,16+8,0),0)</f>
        <v>0</v>
      </c>
      <c r="Z311">
        <f>IFERROR(VLOOKUP("924-718897-100",B:AB,17+8,0),0)</f>
        <v>0</v>
      </c>
      <c r="AA311">
        <f>IFERROR(VLOOKUP("924-718897-100",B:AB,18+8,0),0)</f>
        <v>0</v>
      </c>
      <c r="AB311">
        <f>IFERROR(VLOOKUP("924-718897-100",B:AB,19+8,0),0)</f>
        <v>0</v>
      </c>
      <c r="AC311">
        <f>IFERROR(VLOOKUP("924-718897-100",B:AB,20+8,0),0)</f>
        <v>0</v>
      </c>
      <c r="AD311">
        <f>IFERROR(VLOOKUP("924-718897-100",B:AB,21+8,0),0)</f>
        <v>0</v>
      </c>
      <c r="AE311">
        <f>IFERROR(VLOOKUP("924-718897-100",B:AB,22+8,0),0)</f>
        <v>0</v>
      </c>
      <c r="AF311">
        <f>IFERROR(VLOOKUP("924-718897-100",B:AB,23+8,0),0)</f>
        <v>0</v>
      </c>
      <c r="AG311">
        <f>IFERROR(VLOOKUP("924-718897-100",B:AB,24+8,0),0)</f>
        <v>0</v>
      </c>
      <c r="AH311">
        <f>IFERROR(VLOOKUP("924-718897-100",B:AB,25+8,0),0)</f>
        <v>0</v>
      </c>
      <c r="AI311">
        <f>IFERROR(VLOOKUP("924-718897-100",B:AB,26+8,0),0)</f>
        <v>0</v>
      </c>
      <c r="AJ311">
        <f>IFERROR(VLOOKUP("924-718897-100",B:AB,27+8,0),0)</f>
        <v>0</v>
      </c>
      <c r="AK311">
        <f>IFERROR(VLOOKUP("924-718897-100",B:AB,28+8,0),0)</f>
        <v>0</v>
      </c>
      <c r="AL311">
        <f>IFERROR(VLOOKUP("924-718897-100",B:AB,29+8,0),0)</f>
        <v>0</v>
      </c>
      <c r="AM311">
        <f>IFERROR(VLOOKUP("924-718897-100",B:AB,30+8,0),0)</f>
        <v>0</v>
      </c>
      <c r="AN311">
        <f>IFERROR(VLOOKUP("924-718897-100",B:AB,31+8,0),0)</f>
        <v>0</v>
      </c>
      <c r="AO311">
        <f>SUN(INDIRECT(ADDRESS(310,8)):INDIRECT(ADDRESS(310,39)))</f>
        <v>0</v>
      </c>
    </row>
    <row r="312" spans="1:41">
      <c r="H312" t="s">
        <v>179</v>
      </c>
      <c r="J312">
        <f>INDIRECT(ADDRESS(312,9))+INDIRECT(ADDRESS(310,10))-INDIRECT(ADDRESS(311,10))</f>
        <v>0</v>
      </c>
      <c r="K312">
        <f>INDIRECT(ADDRESS(312,10))+INDIRECT(ADDRESS(310,11))-INDIRECT(ADDRESS(311,11))</f>
        <v>0</v>
      </c>
      <c r="L312">
        <f>INDIRECT(ADDRESS(312,11))+INDIRECT(ADDRESS(310,12))-INDIRECT(ADDRESS(311,12))</f>
        <v>0</v>
      </c>
      <c r="M312">
        <f>INDIRECT(ADDRESS(312,12))+INDIRECT(ADDRESS(310,13))-INDIRECT(ADDRESS(311,13))</f>
        <v>0</v>
      </c>
      <c r="N312">
        <f>INDIRECT(ADDRESS(312,13))+INDIRECT(ADDRESS(310,14))-INDIRECT(ADDRESS(311,14))</f>
        <v>0</v>
      </c>
      <c r="O312">
        <f>INDIRECT(ADDRESS(312,14))+INDIRECT(ADDRESS(310,15))-INDIRECT(ADDRESS(311,15))</f>
        <v>0</v>
      </c>
      <c r="P312">
        <f>INDIRECT(ADDRESS(312,15))+INDIRECT(ADDRESS(310,16))-INDIRECT(ADDRESS(311,16))</f>
        <v>0</v>
      </c>
      <c r="Q312">
        <f>INDIRECT(ADDRESS(312,16))+INDIRECT(ADDRESS(310,17))-INDIRECT(ADDRESS(311,17))</f>
        <v>0</v>
      </c>
      <c r="R312">
        <f>INDIRECT(ADDRESS(312,17))+INDIRECT(ADDRESS(310,18))-INDIRECT(ADDRESS(311,18))</f>
        <v>0</v>
      </c>
      <c r="S312">
        <f>INDIRECT(ADDRESS(312,18))+INDIRECT(ADDRESS(310,19))-INDIRECT(ADDRESS(311,19))</f>
        <v>0</v>
      </c>
      <c r="T312">
        <f>INDIRECT(ADDRESS(312,19))+INDIRECT(ADDRESS(310,20))-INDIRECT(ADDRESS(311,20))</f>
        <v>0</v>
      </c>
      <c r="U312">
        <f>INDIRECT(ADDRESS(312,20))+INDIRECT(ADDRESS(310,21))-INDIRECT(ADDRESS(311,21))</f>
        <v>0</v>
      </c>
      <c r="V312">
        <f>INDIRECT(ADDRESS(312,21))+INDIRECT(ADDRESS(310,22))-INDIRECT(ADDRESS(311,22))</f>
        <v>0</v>
      </c>
      <c r="W312">
        <f>INDIRECT(ADDRESS(312,22))+INDIRECT(ADDRESS(310,23))-INDIRECT(ADDRESS(311,23))</f>
        <v>0</v>
      </c>
      <c r="X312">
        <f>INDIRECT(ADDRESS(312,23))+INDIRECT(ADDRESS(310,24))-INDIRECT(ADDRESS(311,24))</f>
        <v>0</v>
      </c>
      <c r="Y312">
        <f>INDIRECT(ADDRESS(312,24))+INDIRECT(ADDRESS(310,25))-INDIRECT(ADDRESS(311,25))</f>
        <v>0</v>
      </c>
      <c r="Z312">
        <f>INDIRECT(ADDRESS(312,25))+INDIRECT(ADDRESS(310,26))-INDIRECT(ADDRESS(311,26))</f>
        <v>0</v>
      </c>
      <c r="AA312">
        <f>INDIRECT(ADDRESS(312,26))+INDIRECT(ADDRESS(310,27))-INDIRECT(ADDRESS(311,27))</f>
        <v>0</v>
      </c>
      <c r="AB312">
        <f>INDIRECT(ADDRESS(312,27))+INDIRECT(ADDRESS(310,28))-INDIRECT(ADDRESS(311,28))</f>
        <v>0</v>
      </c>
      <c r="AC312">
        <f>INDIRECT(ADDRESS(312,28))+INDIRECT(ADDRESS(310,29))-INDIRECT(ADDRESS(311,29))</f>
        <v>0</v>
      </c>
      <c r="AD312">
        <f>INDIRECT(ADDRESS(312,29))+INDIRECT(ADDRESS(310,30))-INDIRECT(ADDRESS(311,30))</f>
        <v>0</v>
      </c>
      <c r="AE312">
        <f>INDIRECT(ADDRESS(312,30))+INDIRECT(ADDRESS(310,31))-INDIRECT(ADDRESS(311,31))</f>
        <v>0</v>
      </c>
      <c r="AF312">
        <f>INDIRECT(ADDRESS(312,31))+INDIRECT(ADDRESS(310,32))-INDIRECT(ADDRESS(311,32))</f>
        <v>0</v>
      </c>
      <c r="AG312">
        <f>INDIRECT(ADDRESS(312,32))+INDIRECT(ADDRESS(310,33))-INDIRECT(ADDRESS(311,33))</f>
        <v>0</v>
      </c>
      <c r="AH312">
        <f>INDIRECT(ADDRESS(312,33))+INDIRECT(ADDRESS(310,34))-INDIRECT(ADDRESS(311,34))</f>
        <v>0</v>
      </c>
      <c r="AI312">
        <f>INDIRECT(ADDRESS(312,34))+INDIRECT(ADDRESS(310,35))-INDIRECT(ADDRESS(311,35))</f>
        <v>0</v>
      </c>
      <c r="AJ312">
        <f>INDIRECT(ADDRESS(312,35))+INDIRECT(ADDRESS(310,36))-INDIRECT(ADDRESS(311,36))</f>
        <v>0</v>
      </c>
      <c r="AK312">
        <f>INDIRECT(ADDRESS(312,36))+INDIRECT(ADDRESS(310,37))-INDIRECT(ADDRESS(311,37))</f>
        <v>0</v>
      </c>
      <c r="AL312">
        <f>INDIRECT(ADDRESS(312,37))+INDIRECT(ADDRESS(310,38))-INDIRECT(ADDRESS(311,38))</f>
        <v>0</v>
      </c>
      <c r="AM312">
        <f>INDIRECT(ADDRESS(312,38))+INDIRECT(ADDRESS(310,39))-INDIRECT(ADDRESS(311,39))</f>
        <v>0</v>
      </c>
      <c r="AN312">
        <f>INDIRECT(ADDRESS(312,39))+INDIRECT(ADDRESS(310,40))-INDIRECT(ADDRESS(311,40))</f>
        <v>0</v>
      </c>
      <c r="AO312">
        <f>SUM(INDIRECT(ADDRESS(311,8)):INDIRECT(ADDRESS(311,39)))</f>
        <v>0</v>
      </c>
    </row>
    <row r="313" spans="1:41">
      <c r="A313" t="s">
        <v>185</v>
      </c>
      <c r="B313" t="s">
        <v>312</v>
      </c>
      <c r="C313" t="s">
        <v>313</v>
      </c>
      <c r="E313">
        <v>1</v>
      </c>
      <c r="F313" t="s">
        <v>11</v>
      </c>
      <c r="I313" t="s">
        <v>177</v>
      </c>
    </row>
    <row r="314" spans="1:41">
      <c r="I314" t="s">
        <v>178</v>
      </c>
      <c r="J314">
        <f>IFERROR(VLOOKUP("924-718897-100",B:AB,1+8,0),0)</f>
        <v>0</v>
      </c>
      <c r="K314">
        <f>IFERROR(VLOOKUP("924-718897-100",B:AB,2+8,0),0)</f>
        <v>0</v>
      </c>
      <c r="L314">
        <f>IFERROR(VLOOKUP("924-718897-100",B:AB,3+8,0),0)</f>
        <v>0</v>
      </c>
      <c r="M314">
        <f>IFERROR(VLOOKUP("924-718897-100",B:AB,4+8,0),0)</f>
        <v>0</v>
      </c>
      <c r="N314">
        <f>IFERROR(VLOOKUP("924-718897-100",B:AB,5+8,0),0)</f>
        <v>0</v>
      </c>
      <c r="O314">
        <f>IFERROR(VLOOKUP("924-718897-100",B:AB,6+8,0),0)</f>
        <v>0</v>
      </c>
      <c r="P314">
        <f>IFERROR(VLOOKUP("924-718897-100",B:AB,7+8,0),0)</f>
        <v>0</v>
      </c>
      <c r="Q314">
        <f>IFERROR(VLOOKUP("924-718897-100",B:AB,8+8,0),0)</f>
        <v>0</v>
      </c>
      <c r="R314">
        <f>IFERROR(VLOOKUP("924-718897-100",B:AB,9+8,0),0)</f>
        <v>0</v>
      </c>
      <c r="S314">
        <f>IFERROR(VLOOKUP("924-718897-100",B:AB,10+8,0),0)</f>
        <v>0</v>
      </c>
      <c r="T314">
        <f>IFERROR(VLOOKUP("924-718897-100",B:AB,11+8,0),0)</f>
        <v>0</v>
      </c>
      <c r="U314">
        <f>IFERROR(VLOOKUP("924-718897-100",B:AB,12+8,0),0)</f>
        <v>0</v>
      </c>
      <c r="V314">
        <f>IFERROR(VLOOKUP("924-718897-100",B:AB,13+8,0),0)</f>
        <v>0</v>
      </c>
      <c r="W314">
        <f>IFERROR(VLOOKUP("924-718897-100",B:AB,14+8,0),0)</f>
        <v>0</v>
      </c>
      <c r="X314">
        <f>IFERROR(VLOOKUP("924-718897-100",B:AB,15+8,0),0)</f>
        <v>0</v>
      </c>
      <c r="Y314">
        <f>IFERROR(VLOOKUP("924-718897-100",B:AB,16+8,0),0)</f>
        <v>0</v>
      </c>
      <c r="Z314">
        <f>IFERROR(VLOOKUP("924-718897-100",B:AB,17+8,0),0)</f>
        <v>0</v>
      </c>
      <c r="AA314">
        <f>IFERROR(VLOOKUP("924-718897-100",B:AB,18+8,0),0)</f>
        <v>0</v>
      </c>
      <c r="AB314">
        <f>IFERROR(VLOOKUP("924-718897-100",B:AB,19+8,0),0)</f>
        <v>0</v>
      </c>
      <c r="AC314">
        <f>IFERROR(VLOOKUP("924-718897-100",B:AB,20+8,0),0)</f>
        <v>0</v>
      </c>
      <c r="AD314">
        <f>IFERROR(VLOOKUP("924-718897-100",B:AB,21+8,0),0)</f>
        <v>0</v>
      </c>
      <c r="AE314">
        <f>IFERROR(VLOOKUP("924-718897-100",B:AB,22+8,0),0)</f>
        <v>0</v>
      </c>
      <c r="AF314">
        <f>IFERROR(VLOOKUP("924-718897-100",B:AB,23+8,0),0)</f>
        <v>0</v>
      </c>
      <c r="AG314">
        <f>IFERROR(VLOOKUP("924-718897-100",B:AB,24+8,0),0)</f>
        <v>0</v>
      </c>
      <c r="AH314">
        <f>IFERROR(VLOOKUP("924-718897-100",B:AB,25+8,0),0)</f>
        <v>0</v>
      </c>
      <c r="AI314">
        <f>IFERROR(VLOOKUP("924-718897-100",B:AB,26+8,0),0)</f>
        <v>0</v>
      </c>
      <c r="AJ314">
        <f>IFERROR(VLOOKUP("924-718897-100",B:AB,27+8,0),0)</f>
        <v>0</v>
      </c>
      <c r="AK314">
        <f>IFERROR(VLOOKUP("924-718897-100",B:AB,28+8,0),0)</f>
        <v>0</v>
      </c>
      <c r="AL314">
        <f>IFERROR(VLOOKUP("924-718897-100",B:AB,29+8,0),0)</f>
        <v>0</v>
      </c>
      <c r="AM314">
        <f>IFERROR(VLOOKUP("924-718897-100",B:AB,30+8,0),0)</f>
        <v>0</v>
      </c>
      <c r="AN314">
        <f>IFERROR(VLOOKUP("924-718897-100",B:AB,31+8,0),0)</f>
        <v>0</v>
      </c>
      <c r="AO314">
        <f>SUN(INDIRECT(ADDRESS(313,8)):INDIRECT(ADDRESS(313,39)))</f>
        <v>0</v>
      </c>
    </row>
    <row r="315" spans="1:41">
      <c r="H315" t="s">
        <v>179</v>
      </c>
      <c r="J315">
        <f>INDIRECT(ADDRESS(315,9))+INDIRECT(ADDRESS(313,10))-INDIRECT(ADDRESS(314,10))</f>
        <v>0</v>
      </c>
      <c r="K315">
        <f>INDIRECT(ADDRESS(315,10))+INDIRECT(ADDRESS(313,11))-INDIRECT(ADDRESS(314,11))</f>
        <v>0</v>
      </c>
      <c r="L315">
        <f>INDIRECT(ADDRESS(315,11))+INDIRECT(ADDRESS(313,12))-INDIRECT(ADDRESS(314,12))</f>
        <v>0</v>
      </c>
      <c r="M315">
        <f>INDIRECT(ADDRESS(315,12))+INDIRECT(ADDRESS(313,13))-INDIRECT(ADDRESS(314,13))</f>
        <v>0</v>
      </c>
      <c r="N315">
        <f>INDIRECT(ADDRESS(315,13))+INDIRECT(ADDRESS(313,14))-INDIRECT(ADDRESS(314,14))</f>
        <v>0</v>
      </c>
      <c r="O315">
        <f>INDIRECT(ADDRESS(315,14))+INDIRECT(ADDRESS(313,15))-INDIRECT(ADDRESS(314,15))</f>
        <v>0</v>
      </c>
      <c r="P315">
        <f>INDIRECT(ADDRESS(315,15))+INDIRECT(ADDRESS(313,16))-INDIRECT(ADDRESS(314,16))</f>
        <v>0</v>
      </c>
      <c r="Q315">
        <f>INDIRECT(ADDRESS(315,16))+INDIRECT(ADDRESS(313,17))-INDIRECT(ADDRESS(314,17))</f>
        <v>0</v>
      </c>
      <c r="R315">
        <f>INDIRECT(ADDRESS(315,17))+INDIRECT(ADDRESS(313,18))-INDIRECT(ADDRESS(314,18))</f>
        <v>0</v>
      </c>
      <c r="S315">
        <f>INDIRECT(ADDRESS(315,18))+INDIRECT(ADDRESS(313,19))-INDIRECT(ADDRESS(314,19))</f>
        <v>0</v>
      </c>
      <c r="T315">
        <f>INDIRECT(ADDRESS(315,19))+INDIRECT(ADDRESS(313,20))-INDIRECT(ADDRESS(314,20))</f>
        <v>0</v>
      </c>
      <c r="U315">
        <f>INDIRECT(ADDRESS(315,20))+INDIRECT(ADDRESS(313,21))-INDIRECT(ADDRESS(314,21))</f>
        <v>0</v>
      </c>
      <c r="V315">
        <f>INDIRECT(ADDRESS(315,21))+INDIRECT(ADDRESS(313,22))-INDIRECT(ADDRESS(314,22))</f>
        <v>0</v>
      </c>
      <c r="W315">
        <f>INDIRECT(ADDRESS(315,22))+INDIRECT(ADDRESS(313,23))-INDIRECT(ADDRESS(314,23))</f>
        <v>0</v>
      </c>
      <c r="X315">
        <f>INDIRECT(ADDRESS(315,23))+INDIRECT(ADDRESS(313,24))-INDIRECT(ADDRESS(314,24))</f>
        <v>0</v>
      </c>
      <c r="Y315">
        <f>INDIRECT(ADDRESS(315,24))+INDIRECT(ADDRESS(313,25))-INDIRECT(ADDRESS(314,25))</f>
        <v>0</v>
      </c>
      <c r="Z315">
        <f>INDIRECT(ADDRESS(315,25))+INDIRECT(ADDRESS(313,26))-INDIRECT(ADDRESS(314,26))</f>
        <v>0</v>
      </c>
      <c r="AA315">
        <f>INDIRECT(ADDRESS(315,26))+INDIRECT(ADDRESS(313,27))-INDIRECT(ADDRESS(314,27))</f>
        <v>0</v>
      </c>
      <c r="AB315">
        <f>INDIRECT(ADDRESS(315,27))+INDIRECT(ADDRESS(313,28))-INDIRECT(ADDRESS(314,28))</f>
        <v>0</v>
      </c>
      <c r="AC315">
        <f>INDIRECT(ADDRESS(315,28))+INDIRECT(ADDRESS(313,29))-INDIRECT(ADDRESS(314,29))</f>
        <v>0</v>
      </c>
      <c r="AD315">
        <f>INDIRECT(ADDRESS(315,29))+INDIRECT(ADDRESS(313,30))-INDIRECT(ADDRESS(314,30))</f>
        <v>0</v>
      </c>
      <c r="AE315">
        <f>INDIRECT(ADDRESS(315,30))+INDIRECT(ADDRESS(313,31))-INDIRECT(ADDRESS(314,31))</f>
        <v>0</v>
      </c>
      <c r="AF315">
        <f>INDIRECT(ADDRESS(315,31))+INDIRECT(ADDRESS(313,32))-INDIRECT(ADDRESS(314,32))</f>
        <v>0</v>
      </c>
      <c r="AG315">
        <f>INDIRECT(ADDRESS(315,32))+INDIRECT(ADDRESS(313,33))-INDIRECT(ADDRESS(314,33))</f>
        <v>0</v>
      </c>
      <c r="AH315">
        <f>INDIRECT(ADDRESS(315,33))+INDIRECT(ADDRESS(313,34))-INDIRECT(ADDRESS(314,34))</f>
        <v>0</v>
      </c>
      <c r="AI315">
        <f>INDIRECT(ADDRESS(315,34))+INDIRECT(ADDRESS(313,35))-INDIRECT(ADDRESS(314,35))</f>
        <v>0</v>
      </c>
      <c r="AJ315">
        <f>INDIRECT(ADDRESS(315,35))+INDIRECT(ADDRESS(313,36))-INDIRECT(ADDRESS(314,36))</f>
        <v>0</v>
      </c>
      <c r="AK315">
        <f>INDIRECT(ADDRESS(315,36))+INDIRECT(ADDRESS(313,37))-INDIRECT(ADDRESS(314,37))</f>
        <v>0</v>
      </c>
      <c r="AL315">
        <f>INDIRECT(ADDRESS(315,37))+INDIRECT(ADDRESS(313,38))-INDIRECT(ADDRESS(314,38))</f>
        <v>0</v>
      </c>
      <c r="AM315">
        <f>INDIRECT(ADDRESS(315,38))+INDIRECT(ADDRESS(313,39))-INDIRECT(ADDRESS(314,39))</f>
        <v>0</v>
      </c>
      <c r="AN315">
        <f>INDIRECT(ADDRESS(315,39))+INDIRECT(ADDRESS(313,40))-INDIRECT(ADDRESS(314,40))</f>
        <v>0</v>
      </c>
      <c r="AO315">
        <f>SUM(INDIRECT(ADDRESS(314,8)):INDIRECT(ADDRESS(314,39)))</f>
        <v>0</v>
      </c>
    </row>
    <row r="316" spans="1:41">
      <c r="A316" t="s">
        <v>185</v>
      </c>
      <c r="B316" t="s">
        <v>314</v>
      </c>
      <c r="C316" t="s">
        <v>315</v>
      </c>
      <c r="E316">
        <v>2</v>
      </c>
      <c r="F316" t="s">
        <v>11</v>
      </c>
      <c r="I316" t="s">
        <v>177</v>
      </c>
    </row>
    <row r="317" spans="1:41">
      <c r="I317" t="s">
        <v>178</v>
      </c>
      <c r="J317">
        <f>IFERROR(VLOOKUP("924-718897-100",B:AB,1+8,0),0)</f>
        <v>0</v>
      </c>
      <c r="K317">
        <f>IFERROR(VLOOKUP("924-718897-100",B:AB,2+8,0),0)</f>
        <v>0</v>
      </c>
      <c r="L317">
        <f>IFERROR(VLOOKUP("924-718897-100",B:AB,3+8,0),0)</f>
        <v>0</v>
      </c>
      <c r="M317">
        <f>IFERROR(VLOOKUP("924-718897-100",B:AB,4+8,0),0)</f>
        <v>0</v>
      </c>
      <c r="N317">
        <f>IFERROR(VLOOKUP("924-718897-100",B:AB,5+8,0),0)</f>
        <v>0</v>
      </c>
      <c r="O317">
        <f>IFERROR(VLOOKUP("924-718897-100",B:AB,6+8,0),0)</f>
        <v>0</v>
      </c>
      <c r="P317">
        <f>IFERROR(VLOOKUP("924-718897-100",B:AB,7+8,0),0)</f>
        <v>0</v>
      </c>
      <c r="Q317">
        <f>IFERROR(VLOOKUP("924-718897-100",B:AB,8+8,0),0)</f>
        <v>0</v>
      </c>
      <c r="R317">
        <f>IFERROR(VLOOKUP("924-718897-100",B:AB,9+8,0),0)</f>
        <v>0</v>
      </c>
      <c r="S317">
        <f>IFERROR(VLOOKUP("924-718897-100",B:AB,10+8,0),0)</f>
        <v>0</v>
      </c>
      <c r="T317">
        <f>IFERROR(VLOOKUP("924-718897-100",B:AB,11+8,0),0)</f>
        <v>0</v>
      </c>
      <c r="U317">
        <f>IFERROR(VLOOKUP("924-718897-100",B:AB,12+8,0),0)</f>
        <v>0</v>
      </c>
      <c r="V317">
        <f>IFERROR(VLOOKUP("924-718897-100",B:AB,13+8,0),0)</f>
        <v>0</v>
      </c>
      <c r="W317">
        <f>IFERROR(VLOOKUP("924-718897-100",B:AB,14+8,0),0)</f>
        <v>0</v>
      </c>
      <c r="X317">
        <f>IFERROR(VLOOKUP("924-718897-100",B:AB,15+8,0),0)</f>
        <v>0</v>
      </c>
      <c r="Y317">
        <f>IFERROR(VLOOKUP("924-718897-100",B:AB,16+8,0),0)</f>
        <v>0</v>
      </c>
      <c r="Z317">
        <f>IFERROR(VLOOKUP("924-718897-100",B:AB,17+8,0),0)</f>
        <v>0</v>
      </c>
      <c r="AA317">
        <f>IFERROR(VLOOKUP("924-718897-100",B:AB,18+8,0),0)</f>
        <v>0</v>
      </c>
      <c r="AB317">
        <f>IFERROR(VLOOKUP("924-718897-100",B:AB,19+8,0),0)</f>
        <v>0</v>
      </c>
      <c r="AC317">
        <f>IFERROR(VLOOKUP("924-718897-100",B:AB,20+8,0),0)</f>
        <v>0</v>
      </c>
      <c r="AD317">
        <f>IFERROR(VLOOKUP("924-718897-100",B:AB,21+8,0),0)</f>
        <v>0</v>
      </c>
      <c r="AE317">
        <f>IFERROR(VLOOKUP("924-718897-100",B:AB,22+8,0),0)</f>
        <v>0</v>
      </c>
      <c r="AF317">
        <f>IFERROR(VLOOKUP("924-718897-100",B:AB,23+8,0),0)</f>
        <v>0</v>
      </c>
      <c r="AG317">
        <f>IFERROR(VLOOKUP("924-718897-100",B:AB,24+8,0),0)</f>
        <v>0</v>
      </c>
      <c r="AH317">
        <f>IFERROR(VLOOKUP("924-718897-100",B:AB,25+8,0),0)</f>
        <v>0</v>
      </c>
      <c r="AI317">
        <f>IFERROR(VLOOKUP("924-718897-100",B:AB,26+8,0),0)</f>
        <v>0</v>
      </c>
      <c r="AJ317">
        <f>IFERROR(VLOOKUP("924-718897-100",B:AB,27+8,0),0)</f>
        <v>0</v>
      </c>
      <c r="AK317">
        <f>IFERROR(VLOOKUP("924-718897-100",B:AB,28+8,0),0)</f>
        <v>0</v>
      </c>
      <c r="AL317">
        <f>IFERROR(VLOOKUP("924-718897-100",B:AB,29+8,0),0)</f>
        <v>0</v>
      </c>
      <c r="AM317">
        <f>IFERROR(VLOOKUP("924-718897-100",B:AB,30+8,0),0)</f>
        <v>0</v>
      </c>
      <c r="AN317">
        <f>IFERROR(VLOOKUP("924-718897-100",B:AB,31+8,0),0)</f>
        <v>0</v>
      </c>
      <c r="AO317">
        <f>SUN(INDIRECT(ADDRESS(316,8)):INDIRECT(ADDRESS(316,39)))</f>
        <v>0</v>
      </c>
    </row>
    <row r="318" spans="1:41">
      <c r="H318" t="s">
        <v>179</v>
      </c>
      <c r="J318">
        <f>INDIRECT(ADDRESS(318,9))+INDIRECT(ADDRESS(316,10))-INDIRECT(ADDRESS(317,10))</f>
        <v>0</v>
      </c>
      <c r="K318">
        <f>INDIRECT(ADDRESS(318,10))+INDIRECT(ADDRESS(316,11))-INDIRECT(ADDRESS(317,11))</f>
        <v>0</v>
      </c>
      <c r="L318">
        <f>INDIRECT(ADDRESS(318,11))+INDIRECT(ADDRESS(316,12))-INDIRECT(ADDRESS(317,12))</f>
        <v>0</v>
      </c>
      <c r="M318">
        <f>INDIRECT(ADDRESS(318,12))+INDIRECT(ADDRESS(316,13))-INDIRECT(ADDRESS(317,13))</f>
        <v>0</v>
      </c>
      <c r="N318">
        <f>INDIRECT(ADDRESS(318,13))+INDIRECT(ADDRESS(316,14))-INDIRECT(ADDRESS(317,14))</f>
        <v>0</v>
      </c>
      <c r="O318">
        <f>INDIRECT(ADDRESS(318,14))+INDIRECT(ADDRESS(316,15))-INDIRECT(ADDRESS(317,15))</f>
        <v>0</v>
      </c>
      <c r="P318">
        <f>INDIRECT(ADDRESS(318,15))+INDIRECT(ADDRESS(316,16))-INDIRECT(ADDRESS(317,16))</f>
        <v>0</v>
      </c>
      <c r="Q318">
        <f>INDIRECT(ADDRESS(318,16))+INDIRECT(ADDRESS(316,17))-INDIRECT(ADDRESS(317,17))</f>
        <v>0</v>
      </c>
      <c r="R318">
        <f>INDIRECT(ADDRESS(318,17))+INDIRECT(ADDRESS(316,18))-INDIRECT(ADDRESS(317,18))</f>
        <v>0</v>
      </c>
      <c r="S318">
        <f>INDIRECT(ADDRESS(318,18))+INDIRECT(ADDRESS(316,19))-INDIRECT(ADDRESS(317,19))</f>
        <v>0</v>
      </c>
      <c r="T318">
        <f>INDIRECT(ADDRESS(318,19))+INDIRECT(ADDRESS(316,20))-INDIRECT(ADDRESS(317,20))</f>
        <v>0</v>
      </c>
      <c r="U318">
        <f>INDIRECT(ADDRESS(318,20))+INDIRECT(ADDRESS(316,21))-INDIRECT(ADDRESS(317,21))</f>
        <v>0</v>
      </c>
      <c r="V318">
        <f>INDIRECT(ADDRESS(318,21))+INDIRECT(ADDRESS(316,22))-INDIRECT(ADDRESS(317,22))</f>
        <v>0</v>
      </c>
      <c r="W318">
        <f>INDIRECT(ADDRESS(318,22))+INDIRECT(ADDRESS(316,23))-INDIRECT(ADDRESS(317,23))</f>
        <v>0</v>
      </c>
      <c r="X318">
        <f>INDIRECT(ADDRESS(318,23))+INDIRECT(ADDRESS(316,24))-INDIRECT(ADDRESS(317,24))</f>
        <v>0</v>
      </c>
      <c r="Y318">
        <f>INDIRECT(ADDRESS(318,24))+INDIRECT(ADDRESS(316,25))-INDIRECT(ADDRESS(317,25))</f>
        <v>0</v>
      </c>
      <c r="Z318">
        <f>INDIRECT(ADDRESS(318,25))+INDIRECT(ADDRESS(316,26))-INDIRECT(ADDRESS(317,26))</f>
        <v>0</v>
      </c>
      <c r="AA318">
        <f>INDIRECT(ADDRESS(318,26))+INDIRECT(ADDRESS(316,27))-INDIRECT(ADDRESS(317,27))</f>
        <v>0</v>
      </c>
      <c r="AB318">
        <f>INDIRECT(ADDRESS(318,27))+INDIRECT(ADDRESS(316,28))-INDIRECT(ADDRESS(317,28))</f>
        <v>0</v>
      </c>
      <c r="AC318">
        <f>INDIRECT(ADDRESS(318,28))+INDIRECT(ADDRESS(316,29))-INDIRECT(ADDRESS(317,29))</f>
        <v>0</v>
      </c>
      <c r="AD318">
        <f>INDIRECT(ADDRESS(318,29))+INDIRECT(ADDRESS(316,30))-INDIRECT(ADDRESS(317,30))</f>
        <v>0</v>
      </c>
      <c r="AE318">
        <f>INDIRECT(ADDRESS(318,30))+INDIRECT(ADDRESS(316,31))-INDIRECT(ADDRESS(317,31))</f>
        <v>0</v>
      </c>
      <c r="AF318">
        <f>INDIRECT(ADDRESS(318,31))+INDIRECT(ADDRESS(316,32))-INDIRECT(ADDRESS(317,32))</f>
        <v>0</v>
      </c>
      <c r="AG318">
        <f>INDIRECT(ADDRESS(318,32))+INDIRECT(ADDRESS(316,33))-INDIRECT(ADDRESS(317,33))</f>
        <v>0</v>
      </c>
      <c r="AH318">
        <f>INDIRECT(ADDRESS(318,33))+INDIRECT(ADDRESS(316,34))-INDIRECT(ADDRESS(317,34))</f>
        <v>0</v>
      </c>
      <c r="AI318">
        <f>INDIRECT(ADDRESS(318,34))+INDIRECT(ADDRESS(316,35))-INDIRECT(ADDRESS(317,35))</f>
        <v>0</v>
      </c>
      <c r="AJ318">
        <f>INDIRECT(ADDRESS(318,35))+INDIRECT(ADDRESS(316,36))-INDIRECT(ADDRESS(317,36))</f>
        <v>0</v>
      </c>
      <c r="AK318">
        <f>INDIRECT(ADDRESS(318,36))+INDIRECT(ADDRESS(316,37))-INDIRECT(ADDRESS(317,37))</f>
        <v>0</v>
      </c>
      <c r="AL318">
        <f>INDIRECT(ADDRESS(318,37))+INDIRECT(ADDRESS(316,38))-INDIRECT(ADDRESS(317,38))</f>
        <v>0</v>
      </c>
      <c r="AM318">
        <f>INDIRECT(ADDRESS(318,38))+INDIRECT(ADDRESS(316,39))-INDIRECT(ADDRESS(317,39))</f>
        <v>0</v>
      </c>
      <c r="AN318">
        <f>INDIRECT(ADDRESS(318,39))+INDIRECT(ADDRESS(316,40))-INDIRECT(ADDRESS(317,40))</f>
        <v>0</v>
      </c>
      <c r="AO318">
        <f>SUM(INDIRECT(ADDRESS(317,8)):INDIRECT(ADDRESS(317,39)))</f>
        <v>0</v>
      </c>
    </row>
    <row r="319" spans="1:41">
      <c r="A319" t="s">
        <v>185</v>
      </c>
      <c r="B319" t="s">
        <v>316</v>
      </c>
      <c r="C319" t="s">
        <v>317</v>
      </c>
      <c r="E319">
        <v>1</v>
      </c>
      <c r="F319" t="s">
        <v>11</v>
      </c>
      <c r="I319" t="s">
        <v>177</v>
      </c>
    </row>
    <row r="320" spans="1:41">
      <c r="I320" t="s">
        <v>178</v>
      </c>
      <c r="J320">
        <f>IFERROR(VLOOKUP("924-718897-100",B:AB,1+8,0),0)</f>
        <v>0</v>
      </c>
      <c r="K320">
        <f>IFERROR(VLOOKUP("924-718897-100",B:AB,2+8,0),0)</f>
        <v>0</v>
      </c>
      <c r="L320">
        <f>IFERROR(VLOOKUP("924-718897-100",B:AB,3+8,0),0)</f>
        <v>0</v>
      </c>
      <c r="M320">
        <f>IFERROR(VLOOKUP("924-718897-100",B:AB,4+8,0),0)</f>
        <v>0</v>
      </c>
      <c r="N320">
        <f>IFERROR(VLOOKUP("924-718897-100",B:AB,5+8,0),0)</f>
        <v>0</v>
      </c>
      <c r="O320">
        <f>IFERROR(VLOOKUP("924-718897-100",B:AB,6+8,0),0)</f>
        <v>0</v>
      </c>
      <c r="P320">
        <f>IFERROR(VLOOKUP("924-718897-100",B:AB,7+8,0),0)</f>
        <v>0</v>
      </c>
      <c r="Q320">
        <f>IFERROR(VLOOKUP("924-718897-100",B:AB,8+8,0),0)</f>
        <v>0</v>
      </c>
      <c r="R320">
        <f>IFERROR(VLOOKUP("924-718897-100",B:AB,9+8,0),0)</f>
        <v>0</v>
      </c>
      <c r="S320">
        <f>IFERROR(VLOOKUP("924-718897-100",B:AB,10+8,0),0)</f>
        <v>0</v>
      </c>
      <c r="T320">
        <f>IFERROR(VLOOKUP("924-718897-100",B:AB,11+8,0),0)</f>
        <v>0</v>
      </c>
      <c r="U320">
        <f>IFERROR(VLOOKUP("924-718897-100",B:AB,12+8,0),0)</f>
        <v>0</v>
      </c>
      <c r="V320">
        <f>IFERROR(VLOOKUP("924-718897-100",B:AB,13+8,0),0)</f>
        <v>0</v>
      </c>
      <c r="W320">
        <f>IFERROR(VLOOKUP("924-718897-100",B:AB,14+8,0),0)</f>
        <v>0</v>
      </c>
      <c r="X320">
        <f>IFERROR(VLOOKUP("924-718897-100",B:AB,15+8,0),0)</f>
        <v>0</v>
      </c>
      <c r="Y320">
        <f>IFERROR(VLOOKUP("924-718897-100",B:AB,16+8,0),0)</f>
        <v>0</v>
      </c>
      <c r="Z320">
        <f>IFERROR(VLOOKUP("924-718897-100",B:AB,17+8,0),0)</f>
        <v>0</v>
      </c>
      <c r="AA320">
        <f>IFERROR(VLOOKUP("924-718897-100",B:AB,18+8,0),0)</f>
        <v>0</v>
      </c>
      <c r="AB320">
        <f>IFERROR(VLOOKUP("924-718897-100",B:AB,19+8,0),0)</f>
        <v>0</v>
      </c>
      <c r="AC320">
        <f>IFERROR(VLOOKUP("924-718897-100",B:AB,20+8,0),0)</f>
        <v>0</v>
      </c>
      <c r="AD320">
        <f>IFERROR(VLOOKUP("924-718897-100",B:AB,21+8,0),0)</f>
        <v>0</v>
      </c>
      <c r="AE320">
        <f>IFERROR(VLOOKUP("924-718897-100",B:AB,22+8,0),0)</f>
        <v>0</v>
      </c>
      <c r="AF320">
        <f>IFERROR(VLOOKUP("924-718897-100",B:AB,23+8,0),0)</f>
        <v>0</v>
      </c>
      <c r="AG320">
        <f>IFERROR(VLOOKUP("924-718897-100",B:AB,24+8,0),0)</f>
        <v>0</v>
      </c>
      <c r="AH320">
        <f>IFERROR(VLOOKUP("924-718897-100",B:AB,25+8,0),0)</f>
        <v>0</v>
      </c>
      <c r="AI320">
        <f>IFERROR(VLOOKUP("924-718897-100",B:AB,26+8,0),0)</f>
        <v>0</v>
      </c>
      <c r="AJ320">
        <f>IFERROR(VLOOKUP("924-718897-100",B:AB,27+8,0),0)</f>
        <v>0</v>
      </c>
      <c r="AK320">
        <f>IFERROR(VLOOKUP("924-718897-100",B:AB,28+8,0),0)</f>
        <v>0</v>
      </c>
      <c r="AL320">
        <f>IFERROR(VLOOKUP("924-718897-100",B:AB,29+8,0),0)</f>
        <v>0</v>
      </c>
      <c r="AM320">
        <f>IFERROR(VLOOKUP("924-718897-100",B:AB,30+8,0),0)</f>
        <v>0</v>
      </c>
      <c r="AN320">
        <f>IFERROR(VLOOKUP("924-718897-100",B:AB,31+8,0),0)</f>
        <v>0</v>
      </c>
      <c r="AO320">
        <f>SUN(INDIRECT(ADDRESS(319,8)):INDIRECT(ADDRESS(319,39)))</f>
        <v>0</v>
      </c>
    </row>
    <row r="321" spans="1:41">
      <c r="H321" t="s">
        <v>179</v>
      </c>
      <c r="J321">
        <f>INDIRECT(ADDRESS(321,9))+INDIRECT(ADDRESS(319,10))-INDIRECT(ADDRESS(320,10))</f>
        <v>0</v>
      </c>
      <c r="K321">
        <f>INDIRECT(ADDRESS(321,10))+INDIRECT(ADDRESS(319,11))-INDIRECT(ADDRESS(320,11))</f>
        <v>0</v>
      </c>
      <c r="L321">
        <f>INDIRECT(ADDRESS(321,11))+INDIRECT(ADDRESS(319,12))-INDIRECT(ADDRESS(320,12))</f>
        <v>0</v>
      </c>
      <c r="M321">
        <f>INDIRECT(ADDRESS(321,12))+INDIRECT(ADDRESS(319,13))-INDIRECT(ADDRESS(320,13))</f>
        <v>0</v>
      </c>
      <c r="N321">
        <f>INDIRECT(ADDRESS(321,13))+INDIRECT(ADDRESS(319,14))-INDIRECT(ADDRESS(320,14))</f>
        <v>0</v>
      </c>
      <c r="O321">
        <f>INDIRECT(ADDRESS(321,14))+INDIRECT(ADDRESS(319,15))-INDIRECT(ADDRESS(320,15))</f>
        <v>0</v>
      </c>
      <c r="P321">
        <f>INDIRECT(ADDRESS(321,15))+INDIRECT(ADDRESS(319,16))-INDIRECT(ADDRESS(320,16))</f>
        <v>0</v>
      </c>
      <c r="Q321">
        <f>INDIRECT(ADDRESS(321,16))+INDIRECT(ADDRESS(319,17))-INDIRECT(ADDRESS(320,17))</f>
        <v>0</v>
      </c>
      <c r="R321">
        <f>INDIRECT(ADDRESS(321,17))+INDIRECT(ADDRESS(319,18))-INDIRECT(ADDRESS(320,18))</f>
        <v>0</v>
      </c>
      <c r="S321">
        <f>INDIRECT(ADDRESS(321,18))+INDIRECT(ADDRESS(319,19))-INDIRECT(ADDRESS(320,19))</f>
        <v>0</v>
      </c>
      <c r="T321">
        <f>INDIRECT(ADDRESS(321,19))+INDIRECT(ADDRESS(319,20))-INDIRECT(ADDRESS(320,20))</f>
        <v>0</v>
      </c>
      <c r="U321">
        <f>INDIRECT(ADDRESS(321,20))+INDIRECT(ADDRESS(319,21))-INDIRECT(ADDRESS(320,21))</f>
        <v>0</v>
      </c>
      <c r="V321">
        <f>INDIRECT(ADDRESS(321,21))+INDIRECT(ADDRESS(319,22))-INDIRECT(ADDRESS(320,22))</f>
        <v>0</v>
      </c>
      <c r="W321">
        <f>INDIRECT(ADDRESS(321,22))+INDIRECT(ADDRESS(319,23))-INDIRECT(ADDRESS(320,23))</f>
        <v>0</v>
      </c>
      <c r="X321">
        <f>INDIRECT(ADDRESS(321,23))+INDIRECT(ADDRESS(319,24))-INDIRECT(ADDRESS(320,24))</f>
        <v>0</v>
      </c>
      <c r="Y321">
        <f>INDIRECT(ADDRESS(321,24))+INDIRECT(ADDRESS(319,25))-INDIRECT(ADDRESS(320,25))</f>
        <v>0</v>
      </c>
      <c r="Z321">
        <f>INDIRECT(ADDRESS(321,25))+INDIRECT(ADDRESS(319,26))-INDIRECT(ADDRESS(320,26))</f>
        <v>0</v>
      </c>
      <c r="AA321">
        <f>INDIRECT(ADDRESS(321,26))+INDIRECT(ADDRESS(319,27))-INDIRECT(ADDRESS(320,27))</f>
        <v>0</v>
      </c>
      <c r="AB321">
        <f>INDIRECT(ADDRESS(321,27))+INDIRECT(ADDRESS(319,28))-INDIRECT(ADDRESS(320,28))</f>
        <v>0</v>
      </c>
      <c r="AC321">
        <f>INDIRECT(ADDRESS(321,28))+INDIRECT(ADDRESS(319,29))-INDIRECT(ADDRESS(320,29))</f>
        <v>0</v>
      </c>
      <c r="AD321">
        <f>INDIRECT(ADDRESS(321,29))+INDIRECT(ADDRESS(319,30))-INDIRECT(ADDRESS(320,30))</f>
        <v>0</v>
      </c>
      <c r="AE321">
        <f>INDIRECT(ADDRESS(321,30))+INDIRECT(ADDRESS(319,31))-INDIRECT(ADDRESS(320,31))</f>
        <v>0</v>
      </c>
      <c r="AF321">
        <f>INDIRECT(ADDRESS(321,31))+INDIRECT(ADDRESS(319,32))-INDIRECT(ADDRESS(320,32))</f>
        <v>0</v>
      </c>
      <c r="AG321">
        <f>INDIRECT(ADDRESS(321,32))+INDIRECT(ADDRESS(319,33))-INDIRECT(ADDRESS(320,33))</f>
        <v>0</v>
      </c>
      <c r="AH321">
        <f>INDIRECT(ADDRESS(321,33))+INDIRECT(ADDRESS(319,34))-INDIRECT(ADDRESS(320,34))</f>
        <v>0</v>
      </c>
      <c r="AI321">
        <f>INDIRECT(ADDRESS(321,34))+INDIRECT(ADDRESS(319,35))-INDIRECT(ADDRESS(320,35))</f>
        <v>0</v>
      </c>
      <c r="AJ321">
        <f>INDIRECT(ADDRESS(321,35))+INDIRECT(ADDRESS(319,36))-INDIRECT(ADDRESS(320,36))</f>
        <v>0</v>
      </c>
      <c r="AK321">
        <f>INDIRECT(ADDRESS(321,36))+INDIRECT(ADDRESS(319,37))-INDIRECT(ADDRESS(320,37))</f>
        <v>0</v>
      </c>
      <c r="AL321">
        <f>INDIRECT(ADDRESS(321,37))+INDIRECT(ADDRESS(319,38))-INDIRECT(ADDRESS(320,38))</f>
        <v>0</v>
      </c>
      <c r="AM321">
        <f>INDIRECT(ADDRESS(321,38))+INDIRECT(ADDRESS(319,39))-INDIRECT(ADDRESS(320,39))</f>
        <v>0</v>
      </c>
      <c r="AN321">
        <f>INDIRECT(ADDRESS(321,39))+INDIRECT(ADDRESS(319,40))-INDIRECT(ADDRESS(320,40))</f>
        <v>0</v>
      </c>
      <c r="AO321">
        <f>SUM(INDIRECT(ADDRESS(320,8)):INDIRECT(ADDRESS(320,39)))</f>
        <v>0</v>
      </c>
    </row>
    <row r="322" spans="1:41">
      <c r="A322" t="s">
        <v>185</v>
      </c>
      <c r="B322" t="s">
        <v>318</v>
      </c>
      <c r="C322" t="s">
        <v>319</v>
      </c>
      <c r="E322">
        <v>1</v>
      </c>
      <c r="F322" t="s">
        <v>11</v>
      </c>
      <c r="I322" t="s">
        <v>177</v>
      </c>
    </row>
    <row r="323" spans="1:41">
      <c r="I323" t="s">
        <v>178</v>
      </c>
      <c r="J323">
        <f>IFERROR(VLOOKUP("924-718897-100",B:AB,1+8,0),0)</f>
        <v>0</v>
      </c>
      <c r="K323">
        <f>IFERROR(VLOOKUP("924-718897-100",B:AB,2+8,0),0)</f>
        <v>0</v>
      </c>
      <c r="L323">
        <f>IFERROR(VLOOKUP("924-718897-100",B:AB,3+8,0),0)</f>
        <v>0</v>
      </c>
      <c r="M323">
        <f>IFERROR(VLOOKUP("924-718897-100",B:AB,4+8,0),0)</f>
        <v>0</v>
      </c>
      <c r="N323">
        <f>IFERROR(VLOOKUP("924-718897-100",B:AB,5+8,0),0)</f>
        <v>0</v>
      </c>
      <c r="O323">
        <f>IFERROR(VLOOKUP("924-718897-100",B:AB,6+8,0),0)</f>
        <v>0</v>
      </c>
      <c r="P323">
        <f>IFERROR(VLOOKUP("924-718897-100",B:AB,7+8,0),0)</f>
        <v>0</v>
      </c>
      <c r="Q323">
        <f>IFERROR(VLOOKUP("924-718897-100",B:AB,8+8,0),0)</f>
        <v>0</v>
      </c>
      <c r="R323">
        <f>IFERROR(VLOOKUP("924-718897-100",B:AB,9+8,0),0)</f>
        <v>0</v>
      </c>
      <c r="S323">
        <f>IFERROR(VLOOKUP("924-718897-100",B:AB,10+8,0),0)</f>
        <v>0</v>
      </c>
      <c r="T323">
        <f>IFERROR(VLOOKUP("924-718897-100",B:AB,11+8,0),0)</f>
        <v>0</v>
      </c>
      <c r="U323">
        <f>IFERROR(VLOOKUP("924-718897-100",B:AB,12+8,0),0)</f>
        <v>0</v>
      </c>
      <c r="V323">
        <f>IFERROR(VLOOKUP("924-718897-100",B:AB,13+8,0),0)</f>
        <v>0</v>
      </c>
      <c r="W323">
        <f>IFERROR(VLOOKUP("924-718897-100",B:AB,14+8,0),0)</f>
        <v>0</v>
      </c>
      <c r="X323">
        <f>IFERROR(VLOOKUP("924-718897-100",B:AB,15+8,0),0)</f>
        <v>0</v>
      </c>
      <c r="Y323">
        <f>IFERROR(VLOOKUP("924-718897-100",B:AB,16+8,0),0)</f>
        <v>0</v>
      </c>
      <c r="Z323">
        <f>IFERROR(VLOOKUP("924-718897-100",B:AB,17+8,0),0)</f>
        <v>0</v>
      </c>
      <c r="AA323">
        <f>IFERROR(VLOOKUP("924-718897-100",B:AB,18+8,0),0)</f>
        <v>0</v>
      </c>
      <c r="AB323">
        <f>IFERROR(VLOOKUP("924-718897-100",B:AB,19+8,0),0)</f>
        <v>0</v>
      </c>
      <c r="AC323">
        <f>IFERROR(VLOOKUP("924-718897-100",B:AB,20+8,0),0)</f>
        <v>0</v>
      </c>
      <c r="AD323">
        <f>IFERROR(VLOOKUP("924-718897-100",B:AB,21+8,0),0)</f>
        <v>0</v>
      </c>
      <c r="AE323">
        <f>IFERROR(VLOOKUP("924-718897-100",B:AB,22+8,0),0)</f>
        <v>0</v>
      </c>
      <c r="AF323">
        <f>IFERROR(VLOOKUP("924-718897-100",B:AB,23+8,0),0)</f>
        <v>0</v>
      </c>
      <c r="AG323">
        <f>IFERROR(VLOOKUP("924-718897-100",B:AB,24+8,0),0)</f>
        <v>0</v>
      </c>
      <c r="AH323">
        <f>IFERROR(VLOOKUP("924-718897-100",B:AB,25+8,0),0)</f>
        <v>0</v>
      </c>
      <c r="AI323">
        <f>IFERROR(VLOOKUP("924-718897-100",B:AB,26+8,0),0)</f>
        <v>0</v>
      </c>
      <c r="AJ323">
        <f>IFERROR(VLOOKUP("924-718897-100",B:AB,27+8,0),0)</f>
        <v>0</v>
      </c>
      <c r="AK323">
        <f>IFERROR(VLOOKUP("924-718897-100",B:AB,28+8,0),0)</f>
        <v>0</v>
      </c>
      <c r="AL323">
        <f>IFERROR(VLOOKUP("924-718897-100",B:AB,29+8,0),0)</f>
        <v>0</v>
      </c>
      <c r="AM323">
        <f>IFERROR(VLOOKUP("924-718897-100",B:AB,30+8,0),0)</f>
        <v>0</v>
      </c>
      <c r="AN323">
        <f>IFERROR(VLOOKUP("924-718897-100",B:AB,31+8,0),0)</f>
        <v>0</v>
      </c>
      <c r="AO323">
        <f>SUN(INDIRECT(ADDRESS(322,8)):INDIRECT(ADDRESS(322,39)))</f>
        <v>0</v>
      </c>
    </row>
    <row r="324" spans="1:41">
      <c r="H324" t="s">
        <v>179</v>
      </c>
      <c r="J324">
        <f>INDIRECT(ADDRESS(324,9))+INDIRECT(ADDRESS(322,10))-INDIRECT(ADDRESS(323,10))</f>
        <v>0</v>
      </c>
      <c r="K324">
        <f>INDIRECT(ADDRESS(324,10))+INDIRECT(ADDRESS(322,11))-INDIRECT(ADDRESS(323,11))</f>
        <v>0</v>
      </c>
      <c r="L324">
        <f>INDIRECT(ADDRESS(324,11))+INDIRECT(ADDRESS(322,12))-INDIRECT(ADDRESS(323,12))</f>
        <v>0</v>
      </c>
      <c r="M324">
        <f>INDIRECT(ADDRESS(324,12))+INDIRECT(ADDRESS(322,13))-INDIRECT(ADDRESS(323,13))</f>
        <v>0</v>
      </c>
      <c r="N324">
        <f>INDIRECT(ADDRESS(324,13))+INDIRECT(ADDRESS(322,14))-INDIRECT(ADDRESS(323,14))</f>
        <v>0</v>
      </c>
      <c r="O324">
        <f>INDIRECT(ADDRESS(324,14))+INDIRECT(ADDRESS(322,15))-INDIRECT(ADDRESS(323,15))</f>
        <v>0</v>
      </c>
      <c r="P324">
        <f>INDIRECT(ADDRESS(324,15))+INDIRECT(ADDRESS(322,16))-INDIRECT(ADDRESS(323,16))</f>
        <v>0</v>
      </c>
      <c r="Q324">
        <f>INDIRECT(ADDRESS(324,16))+INDIRECT(ADDRESS(322,17))-INDIRECT(ADDRESS(323,17))</f>
        <v>0</v>
      </c>
      <c r="R324">
        <f>INDIRECT(ADDRESS(324,17))+INDIRECT(ADDRESS(322,18))-INDIRECT(ADDRESS(323,18))</f>
        <v>0</v>
      </c>
      <c r="S324">
        <f>INDIRECT(ADDRESS(324,18))+INDIRECT(ADDRESS(322,19))-INDIRECT(ADDRESS(323,19))</f>
        <v>0</v>
      </c>
      <c r="T324">
        <f>INDIRECT(ADDRESS(324,19))+INDIRECT(ADDRESS(322,20))-INDIRECT(ADDRESS(323,20))</f>
        <v>0</v>
      </c>
      <c r="U324">
        <f>INDIRECT(ADDRESS(324,20))+INDIRECT(ADDRESS(322,21))-INDIRECT(ADDRESS(323,21))</f>
        <v>0</v>
      </c>
      <c r="V324">
        <f>INDIRECT(ADDRESS(324,21))+INDIRECT(ADDRESS(322,22))-INDIRECT(ADDRESS(323,22))</f>
        <v>0</v>
      </c>
      <c r="W324">
        <f>INDIRECT(ADDRESS(324,22))+INDIRECT(ADDRESS(322,23))-INDIRECT(ADDRESS(323,23))</f>
        <v>0</v>
      </c>
      <c r="X324">
        <f>INDIRECT(ADDRESS(324,23))+INDIRECT(ADDRESS(322,24))-INDIRECT(ADDRESS(323,24))</f>
        <v>0</v>
      </c>
      <c r="Y324">
        <f>INDIRECT(ADDRESS(324,24))+INDIRECT(ADDRESS(322,25))-INDIRECT(ADDRESS(323,25))</f>
        <v>0</v>
      </c>
      <c r="Z324">
        <f>INDIRECT(ADDRESS(324,25))+INDIRECT(ADDRESS(322,26))-INDIRECT(ADDRESS(323,26))</f>
        <v>0</v>
      </c>
      <c r="AA324">
        <f>INDIRECT(ADDRESS(324,26))+INDIRECT(ADDRESS(322,27))-INDIRECT(ADDRESS(323,27))</f>
        <v>0</v>
      </c>
      <c r="AB324">
        <f>INDIRECT(ADDRESS(324,27))+INDIRECT(ADDRESS(322,28))-INDIRECT(ADDRESS(323,28))</f>
        <v>0</v>
      </c>
      <c r="AC324">
        <f>INDIRECT(ADDRESS(324,28))+INDIRECT(ADDRESS(322,29))-INDIRECT(ADDRESS(323,29))</f>
        <v>0</v>
      </c>
      <c r="AD324">
        <f>INDIRECT(ADDRESS(324,29))+INDIRECT(ADDRESS(322,30))-INDIRECT(ADDRESS(323,30))</f>
        <v>0</v>
      </c>
      <c r="AE324">
        <f>INDIRECT(ADDRESS(324,30))+INDIRECT(ADDRESS(322,31))-INDIRECT(ADDRESS(323,31))</f>
        <v>0</v>
      </c>
      <c r="AF324">
        <f>INDIRECT(ADDRESS(324,31))+INDIRECT(ADDRESS(322,32))-INDIRECT(ADDRESS(323,32))</f>
        <v>0</v>
      </c>
      <c r="AG324">
        <f>INDIRECT(ADDRESS(324,32))+INDIRECT(ADDRESS(322,33))-INDIRECT(ADDRESS(323,33))</f>
        <v>0</v>
      </c>
      <c r="AH324">
        <f>INDIRECT(ADDRESS(324,33))+INDIRECT(ADDRESS(322,34))-INDIRECT(ADDRESS(323,34))</f>
        <v>0</v>
      </c>
      <c r="AI324">
        <f>INDIRECT(ADDRESS(324,34))+INDIRECT(ADDRESS(322,35))-INDIRECT(ADDRESS(323,35))</f>
        <v>0</v>
      </c>
      <c r="AJ324">
        <f>INDIRECT(ADDRESS(324,35))+INDIRECT(ADDRESS(322,36))-INDIRECT(ADDRESS(323,36))</f>
        <v>0</v>
      </c>
      <c r="AK324">
        <f>INDIRECT(ADDRESS(324,36))+INDIRECT(ADDRESS(322,37))-INDIRECT(ADDRESS(323,37))</f>
        <v>0</v>
      </c>
      <c r="AL324">
        <f>INDIRECT(ADDRESS(324,37))+INDIRECT(ADDRESS(322,38))-INDIRECT(ADDRESS(323,38))</f>
        <v>0</v>
      </c>
      <c r="AM324">
        <f>INDIRECT(ADDRESS(324,38))+INDIRECT(ADDRESS(322,39))-INDIRECT(ADDRESS(323,39))</f>
        <v>0</v>
      </c>
      <c r="AN324">
        <f>INDIRECT(ADDRESS(324,39))+INDIRECT(ADDRESS(322,40))-INDIRECT(ADDRESS(323,40))</f>
        <v>0</v>
      </c>
      <c r="AO324">
        <f>SUM(INDIRECT(ADDRESS(323,8)):INDIRECT(ADDRESS(323,39)))</f>
        <v>0</v>
      </c>
    </row>
    <row r="325" spans="1:41">
      <c r="A325" t="s">
        <v>8</v>
      </c>
      <c r="B325" t="s">
        <v>32</v>
      </c>
      <c r="C325" t="s">
        <v>33</v>
      </c>
      <c r="E325">
        <v>1</v>
      </c>
      <c r="I325" t="s">
        <v>177</v>
      </c>
    </row>
    <row r="326" spans="1:41">
      <c r="I326" t="s">
        <v>178</v>
      </c>
      <c r="J326">
        <f>IFERROR(VLOOKUP("924-718897-200",Out!B:AB,1+8,0),0)</f>
        <v>0</v>
      </c>
      <c r="K326">
        <f>IFERROR(VLOOKUP("924-718897-200",Out!B:AB,2+8,0),0)</f>
        <v>0</v>
      </c>
      <c r="L326">
        <f>IFERROR(VLOOKUP("924-718897-200",Out!B:AB,3+8,0),0)</f>
        <v>0</v>
      </c>
      <c r="M326">
        <f>IFERROR(VLOOKUP("924-718897-200",Out!B:AB,4+8,0),0)</f>
        <v>0</v>
      </c>
      <c r="N326">
        <f>IFERROR(VLOOKUP("924-718897-200",Out!B:AB,5+8,0),0)</f>
        <v>0</v>
      </c>
      <c r="O326">
        <f>IFERROR(VLOOKUP("924-718897-200",Out!B:AB,6+8,0),0)</f>
        <v>0</v>
      </c>
      <c r="P326">
        <f>IFERROR(VLOOKUP("924-718897-200",Out!B:AB,7+8,0),0)</f>
        <v>0</v>
      </c>
      <c r="Q326">
        <f>IFERROR(VLOOKUP("924-718897-200",Out!B:AB,8+8,0),0)</f>
        <v>0</v>
      </c>
      <c r="R326">
        <f>IFERROR(VLOOKUP("924-718897-200",Out!B:AB,9+8,0),0)</f>
        <v>0</v>
      </c>
      <c r="S326">
        <f>IFERROR(VLOOKUP("924-718897-200",Out!B:AB,10+8,0),0)</f>
        <v>0</v>
      </c>
      <c r="T326">
        <f>IFERROR(VLOOKUP("924-718897-200",Out!B:AB,11+8,0),0)</f>
        <v>0</v>
      </c>
      <c r="U326">
        <f>IFERROR(VLOOKUP("924-718897-200",Out!B:AB,12+8,0),0)</f>
        <v>0</v>
      </c>
      <c r="V326">
        <f>IFERROR(VLOOKUP("924-718897-200",Out!B:AB,13+8,0),0)</f>
        <v>0</v>
      </c>
      <c r="W326">
        <f>IFERROR(VLOOKUP("924-718897-200",Out!B:AB,14+8,0),0)</f>
        <v>0</v>
      </c>
      <c r="X326">
        <f>IFERROR(VLOOKUP("924-718897-200",Out!B:AB,15+8,0),0)</f>
        <v>0</v>
      </c>
      <c r="Y326">
        <f>IFERROR(VLOOKUP("924-718897-200",Out!B:AB,16+8,0),0)</f>
        <v>0</v>
      </c>
      <c r="Z326">
        <f>IFERROR(VLOOKUP("924-718897-200",Out!B:AB,17+8,0),0)</f>
        <v>0</v>
      </c>
      <c r="AA326">
        <f>IFERROR(VLOOKUP("924-718897-200",Out!B:AB,18+8,0),0)</f>
        <v>0</v>
      </c>
      <c r="AB326">
        <f>IFERROR(VLOOKUP("924-718897-200",Out!B:AB,19+8,0),0)</f>
        <v>0</v>
      </c>
      <c r="AC326">
        <f>IFERROR(VLOOKUP("924-718897-200",Out!B:AB,20+8,0),0)</f>
        <v>0</v>
      </c>
      <c r="AD326">
        <f>IFERROR(VLOOKUP("924-718897-200",Out!B:AB,21+8,0),0)</f>
        <v>0</v>
      </c>
      <c r="AE326">
        <f>IFERROR(VLOOKUP("924-718897-200",Out!B:AB,22+8,0),0)</f>
        <v>0</v>
      </c>
      <c r="AF326">
        <f>IFERROR(VLOOKUP("924-718897-200",Out!B:AB,23+8,0),0)</f>
        <v>0</v>
      </c>
      <c r="AG326">
        <f>IFERROR(VLOOKUP("924-718897-200",Out!B:AB,24+8,0),0)</f>
        <v>0</v>
      </c>
      <c r="AH326">
        <f>IFERROR(VLOOKUP("924-718897-200",Out!B:AB,25+8,0),0)</f>
        <v>0</v>
      </c>
      <c r="AI326">
        <f>IFERROR(VLOOKUP("924-718897-200",Out!B:AB,26+8,0),0)</f>
        <v>0</v>
      </c>
      <c r="AJ326">
        <f>IFERROR(VLOOKUP("924-718897-200",Out!B:AB,27+8,0),0)</f>
        <v>0</v>
      </c>
      <c r="AK326">
        <f>IFERROR(VLOOKUP("924-718897-200",Out!B:AB,28+8,0),0)</f>
        <v>0</v>
      </c>
      <c r="AL326">
        <f>IFERROR(VLOOKUP("924-718897-200",Out!B:AB,29+8,0),0)</f>
        <v>0</v>
      </c>
      <c r="AM326">
        <f>IFERROR(VLOOKUP("924-718897-200",Out!B:AB,30+8,0),0)</f>
        <v>0</v>
      </c>
      <c r="AN326">
        <f>IFERROR(VLOOKUP("924-718897-200",Out!B:AB,31+8,0),0)</f>
        <v>0</v>
      </c>
      <c r="AO326">
        <f>SUN(INDIRECT(ADDRESS(325,8)):INDIRECT(ADDRESS(325,39)))</f>
        <v>0</v>
      </c>
    </row>
    <row r="327" spans="1:41">
      <c r="H327" t="s">
        <v>179</v>
      </c>
      <c r="J327">
        <f>INDIRECT(ADDRESS(327,9))+INDIRECT(ADDRESS(325,10))-INDIRECT(ADDRESS(326,10))</f>
        <v>0</v>
      </c>
      <c r="K327">
        <f>INDIRECT(ADDRESS(327,10))+INDIRECT(ADDRESS(325,11))-INDIRECT(ADDRESS(326,11))</f>
        <v>0</v>
      </c>
      <c r="L327">
        <f>INDIRECT(ADDRESS(327,11))+INDIRECT(ADDRESS(325,12))-INDIRECT(ADDRESS(326,12))</f>
        <v>0</v>
      </c>
      <c r="M327">
        <f>INDIRECT(ADDRESS(327,12))+INDIRECT(ADDRESS(325,13))-INDIRECT(ADDRESS(326,13))</f>
        <v>0</v>
      </c>
      <c r="N327">
        <f>INDIRECT(ADDRESS(327,13))+INDIRECT(ADDRESS(325,14))-INDIRECT(ADDRESS(326,14))</f>
        <v>0</v>
      </c>
      <c r="O327">
        <f>INDIRECT(ADDRESS(327,14))+INDIRECT(ADDRESS(325,15))-INDIRECT(ADDRESS(326,15))</f>
        <v>0</v>
      </c>
      <c r="P327">
        <f>INDIRECT(ADDRESS(327,15))+INDIRECT(ADDRESS(325,16))-INDIRECT(ADDRESS(326,16))</f>
        <v>0</v>
      </c>
      <c r="Q327">
        <f>INDIRECT(ADDRESS(327,16))+INDIRECT(ADDRESS(325,17))-INDIRECT(ADDRESS(326,17))</f>
        <v>0</v>
      </c>
      <c r="R327">
        <f>INDIRECT(ADDRESS(327,17))+INDIRECT(ADDRESS(325,18))-INDIRECT(ADDRESS(326,18))</f>
        <v>0</v>
      </c>
      <c r="S327">
        <f>INDIRECT(ADDRESS(327,18))+INDIRECT(ADDRESS(325,19))-INDIRECT(ADDRESS(326,19))</f>
        <v>0</v>
      </c>
      <c r="T327">
        <f>INDIRECT(ADDRESS(327,19))+INDIRECT(ADDRESS(325,20))-INDIRECT(ADDRESS(326,20))</f>
        <v>0</v>
      </c>
      <c r="U327">
        <f>INDIRECT(ADDRESS(327,20))+INDIRECT(ADDRESS(325,21))-INDIRECT(ADDRESS(326,21))</f>
        <v>0</v>
      </c>
      <c r="V327">
        <f>INDIRECT(ADDRESS(327,21))+INDIRECT(ADDRESS(325,22))-INDIRECT(ADDRESS(326,22))</f>
        <v>0</v>
      </c>
      <c r="W327">
        <f>INDIRECT(ADDRESS(327,22))+INDIRECT(ADDRESS(325,23))-INDIRECT(ADDRESS(326,23))</f>
        <v>0</v>
      </c>
      <c r="X327">
        <f>INDIRECT(ADDRESS(327,23))+INDIRECT(ADDRESS(325,24))-INDIRECT(ADDRESS(326,24))</f>
        <v>0</v>
      </c>
      <c r="Y327">
        <f>INDIRECT(ADDRESS(327,24))+INDIRECT(ADDRESS(325,25))-INDIRECT(ADDRESS(326,25))</f>
        <v>0</v>
      </c>
      <c r="Z327">
        <f>INDIRECT(ADDRESS(327,25))+INDIRECT(ADDRESS(325,26))-INDIRECT(ADDRESS(326,26))</f>
        <v>0</v>
      </c>
      <c r="AA327">
        <f>INDIRECT(ADDRESS(327,26))+INDIRECT(ADDRESS(325,27))-INDIRECT(ADDRESS(326,27))</f>
        <v>0</v>
      </c>
      <c r="AB327">
        <f>INDIRECT(ADDRESS(327,27))+INDIRECT(ADDRESS(325,28))-INDIRECT(ADDRESS(326,28))</f>
        <v>0</v>
      </c>
      <c r="AC327">
        <f>INDIRECT(ADDRESS(327,28))+INDIRECT(ADDRESS(325,29))-INDIRECT(ADDRESS(326,29))</f>
        <v>0</v>
      </c>
      <c r="AD327">
        <f>INDIRECT(ADDRESS(327,29))+INDIRECT(ADDRESS(325,30))-INDIRECT(ADDRESS(326,30))</f>
        <v>0</v>
      </c>
      <c r="AE327">
        <f>INDIRECT(ADDRESS(327,30))+INDIRECT(ADDRESS(325,31))-INDIRECT(ADDRESS(326,31))</f>
        <v>0</v>
      </c>
      <c r="AF327">
        <f>INDIRECT(ADDRESS(327,31))+INDIRECT(ADDRESS(325,32))-INDIRECT(ADDRESS(326,32))</f>
        <v>0</v>
      </c>
      <c r="AG327">
        <f>INDIRECT(ADDRESS(327,32))+INDIRECT(ADDRESS(325,33))-INDIRECT(ADDRESS(326,33))</f>
        <v>0</v>
      </c>
      <c r="AH327">
        <f>INDIRECT(ADDRESS(327,33))+INDIRECT(ADDRESS(325,34))-INDIRECT(ADDRESS(326,34))</f>
        <v>0</v>
      </c>
      <c r="AI327">
        <f>INDIRECT(ADDRESS(327,34))+INDIRECT(ADDRESS(325,35))-INDIRECT(ADDRESS(326,35))</f>
        <v>0</v>
      </c>
      <c r="AJ327">
        <f>INDIRECT(ADDRESS(327,35))+INDIRECT(ADDRESS(325,36))-INDIRECT(ADDRESS(326,36))</f>
        <v>0</v>
      </c>
      <c r="AK327">
        <f>INDIRECT(ADDRESS(327,36))+INDIRECT(ADDRESS(325,37))-INDIRECT(ADDRESS(326,37))</f>
        <v>0</v>
      </c>
      <c r="AL327">
        <f>INDIRECT(ADDRESS(327,37))+INDIRECT(ADDRESS(325,38))-INDIRECT(ADDRESS(326,38))</f>
        <v>0</v>
      </c>
      <c r="AM327">
        <f>INDIRECT(ADDRESS(327,38))+INDIRECT(ADDRESS(325,39))-INDIRECT(ADDRESS(326,39))</f>
        <v>0</v>
      </c>
      <c r="AN327">
        <f>INDIRECT(ADDRESS(327,39))+INDIRECT(ADDRESS(325,40))-INDIRECT(ADDRESS(326,40))</f>
        <v>0</v>
      </c>
      <c r="AO327">
        <f>SUM(INDIRECT(ADDRESS(326,8)):INDIRECT(ADDRESS(326,39)))</f>
        <v>0</v>
      </c>
    </row>
    <row r="328" spans="1:41">
      <c r="A328" t="s">
        <v>180</v>
      </c>
      <c r="B328" t="s">
        <v>320</v>
      </c>
      <c r="C328" t="s">
        <v>321</v>
      </c>
      <c r="E328">
        <v>1</v>
      </c>
      <c r="I328" t="s">
        <v>177</v>
      </c>
    </row>
    <row r="329" spans="1:41">
      <c r="I329" t="s">
        <v>178</v>
      </c>
      <c r="J329">
        <f>IFERROR(VLOOKUP("924-718897-200",B:AB,1+8,0),0)</f>
        <v>0</v>
      </c>
      <c r="K329">
        <f>IFERROR(VLOOKUP("924-718897-200",B:AB,2+8,0),0)</f>
        <v>0</v>
      </c>
      <c r="L329">
        <f>IFERROR(VLOOKUP("924-718897-200",B:AB,3+8,0),0)</f>
        <v>0</v>
      </c>
      <c r="M329">
        <f>IFERROR(VLOOKUP("924-718897-200",B:AB,4+8,0),0)</f>
        <v>0</v>
      </c>
      <c r="N329">
        <f>IFERROR(VLOOKUP("924-718897-200",B:AB,5+8,0),0)</f>
        <v>0</v>
      </c>
      <c r="O329">
        <f>IFERROR(VLOOKUP("924-718897-200",B:AB,6+8,0),0)</f>
        <v>0</v>
      </c>
      <c r="P329">
        <f>IFERROR(VLOOKUP("924-718897-200",B:AB,7+8,0),0)</f>
        <v>0</v>
      </c>
      <c r="Q329">
        <f>IFERROR(VLOOKUP("924-718897-200",B:AB,8+8,0),0)</f>
        <v>0</v>
      </c>
      <c r="R329">
        <f>IFERROR(VLOOKUP("924-718897-200",B:AB,9+8,0),0)</f>
        <v>0</v>
      </c>
      <c r="S329">
        <f>IFERROR(VLOOKUP("924-718897-200",B:AB,10+8,0),0)</f>
        <v>0</v>
      </c>
      <c r="T329">
        <f>IFERROR(VLOOKUP("924-718897-200",B:AB,11+8,0),0)</f>
        <v>0</v>
      </c>
      <c r="U329">
        <f>IFERROR(VLOOKUP("924-718897-200",B:AB,12+8,0),0)</f>
        <v>0</v>
      </c>
      <c r="V329">
        <f>IFERROR(VLOOKUP("924-718897-200",B:AB,13+8,0),0)</f>
        <v>0</v>
      </c>
      <c r="W329">
        <f>IFERROR(VLOOKUP("924-718897-200",B:AB,14+8,0),0)</f>
        <v>0</v>
      </c>
      <c r="X329">
        <f>IFERROR(VLOOKUP("924-718897-200",B:AB,15+8,0),0)</f>
        <v>0</v>
      </c>
      <c r="Y329">
        <f>IFERROR(VLOOKUP("924-718897-200",B:AB,16+8,0),0)</f>
        <v>0</v>
      </c>
      <c r="Z329">
        <f>IFERROR(VLOOKUP("924-718897-200",B:AB,17+8,0),0)</f>
        <v>0</v>
      </c>
      <c r="AA329">
        <f>IFERROR(VLOOKUP("924-718897-200",B:AB,18+8,0),0)</f>
        <v>0</v>
      </c>
      <c r="AB329">
        <f>IFERROR(VLOOKUP("924-718897-200",B:AB,19+8,0),0)</f>
        <v>0</v>
      </c>
      <c r="AC329">
        <f>IFERROR(VLOOKUP("924-718897-200",B:AB,20+8,0),0)</f>
        <v>0</v>
      </c>
      <c r="AD329">
        <f>IFERROR(VLOOKUP("924-718897-200",B:AB,21+8,0),0)</f>
        <v>0</v>
      </c>
      <c r="AE329">
        <f>IFERROR(VLOOKUP("924-718897-200",B:AB,22+8,0),0)</f>
        <v>0</v>
      </c>
      <c r="AF329">
        <f>IFERROR(VLOOKUP("924-718897-200",B:AB,23+8,0),0)</f>
        <v>0</v>
      </c>
      <c r="AG329">
        <f>IFERROR(VLOOKUP("924-718897-200",B:AB,24+8,0),0)</f>
        <v>0</v>
      </c>
      <c r="AH329">
        <f>IFERROR(VLOOKUP("924-718897-200",B:AB,25+8,0),0)</f>
        <v>0</v>
      </c>
      <c r="AI329">
        <f>IFERROR(VLOOKUP("924-718897-200",B:AB,26+8,0),0)</f>
        <v>0</v>
      </c>
      <c r="AJ329">
        <f>IFERROR(VLOOKUP("924-718897-200",B:AB,27+8,0),0)</f>
        <v>0</v>
      </c>
      <c r="AK329">
        <f>IFERROR(VLOOKUP("924-718897-200",B:AB,28+8,0),0)</f>
        <v>0</v>
      </c>
      <c r="AL329">
        <f>IFERROR(VLOOKUP("924-718897-200",B:AB,29+8,0),0)</f>
        <v>0</v>
      </c>
      <c r="AM329">
        <f>IFERROR(VLOOKUP("924-718897-200",B:AB,30+8,0),0)</f>
        <v>0</v>
      </c>
      <c r="AN329">
        <f>IFERROR(VLOOKUP("924-718897-200",B:AB,31+8,0),0)</f>
        <v>0</v>
      </c>
      <c r="AO329">
        <f>SUN(INDIRECT(ADDRESS(328,8)):INDIRECT(ADDRESS(328,39)))</f>
        <v>0</v>
      </c>
    </row>
    <row r="330" spans="1:41">
      <c r="H330" t="s">
        <v>179</v>
      </c>
      <c r="J330">
        <f>INDIRECT(ADDRESS(330,9))+INDIRECT(ADDRESS(328,10))-INDIRECT(ADDRESS(329,10))</f>
        <v>0</v>
      </c>
      <c r="K330">
        <f>INDIRECT(ADDRESS(330,10))+INDIRECT(ADDRESS(328,11))-INDIRECT(ADDRESS(329,11))</f>
        <v>0</v>
      </c>
      <c r="L330">
        <f>INDIRECT(ADDRESS(330,11))+INDIRECT(ADDRESS(328,12))-INDIRECT(ADDRESS(329,12))</f>
        <v>0</v>
      </c>
      <c r="M330">
        <f>INDIRECT(ADDRESS(330,12))+INDIRECT(ADDRESS(328,13))-INDIRECT(ADDRESS(329,13))</f>
        <v>0</v>
      </c>
      <c r="N330">
        <f>INDIRECT(ADDRESS(330,13))+INDIRECT(ADDRESS(328,14))-INDIRECT(ADDRESS(329,14))</f>
        <v>0</v>
      </c>
      <c r="O330">
        <f>INDIRECT(ADDRESS(330,14))+INDIRECT(ADDRESS(328,15))-INDIRECT(ADDRESS(329,15))</f>
        <v>0</v>
      </c>
      <c r="P330">
        <f>INDIRECT(ADDRESS(330,15))+INDIRECT(ADDRESS(328,16))-INDIRECT(ADDRESS(329,16))</f>
        <v>0</v>
      </c>
      <c r="Q330">
        <f>INDIRECT(ADDRESS(330,16))+INDIRECT(ADDRESS(328,17))-INDIRECT(ADDRESS(329,17))</f>
        <v>0</v>
      </c>
      <c r="R330">
        <f>INDIRECT(ADDRESS(330,17))+INDIRECT(ADDRESS(328,18))-INDIRECT(ADDRESS(329,18))</f>
        <v>0</v>
      </c>
      <c r="S330">
        <f>INDIRECT(ADDRESS(330,18))+INDIRECT(ADDRESS(328,19))-INDIRECT(ADDRESS(329,19))</f>
        <v>0</v>
      </c>
      <c r="T330">
        <f>INDIRECT(ADDRESS(330,19))+INDIRECT(ADDRESS(328,20))-INDIRECT(ADDRESS(329,20))</f>
        <v>0</v>
      </c>
      <c r="U330">
        <f>INDIRECT(ADDRESS(330,20))+INDIRECT(ADDRESS(328,21))-INDIRECT(ADDRESS(329,21))</f>
        <v>0</v>
      </c>
      <c r="V330">
        <f>INDIRECT(ADDRESS(330,21))+INDIRECT(ADDRESS(328,22))-INDIRECT(ADDRESS(329,22))</f>
        <v>0</v>
      </c>
      <c r="W330">
        <f>INDIRECT(ADDRESS(330,22))+INDIRECT(ADDRESS(328,23))-INDIRECT(ADDRESS(329,23))</f>
        <v>0</v>
      </c>
      <c r="X330">
        <f>INDIRECT(ADDRESS(330,23))+INDIRECT(ADDRESS(328,24))-INDIRECT(ADDRESS(329,24))</f>
        <v>0</v>
      </c>
      <c r="Y330">
        <f>INDIRECT(ADDRESS(330,24))+INDIRECT(ADDRESS(328,25))-INDIRECT(ADDRESS(329,25))</f>
        <v>0</v>
      </c>
      <c r="Z330">
        <f>INDIRECT(ADDRESS(330,25))+INDIRECT(ADDRESS(328,26))-INDIRECT(ADDRESS(329,26))</f>
        <v>0</v>
      </c>
      <c r="AA330">
        <f>INDIRECT(ADDRESS(330,26))+INDIRECT(ADDRESS(328,27))-INDIRECT(ADDRESS(329,27))</f>
        <v>0</v>
      </c>
      <c r="AB330">
        <f>INDIRECT(ADDRESS(330,27))+INDIRECT(ADDRESS(328,28))-INDIRECT(ADDRESS(329,28))</f>
        <v>0</v>
      </c>
      <c r="AC330">
        <f>INDIRECT(ADDRESS(330,28))+INDIRECT(ADDRESS(328,29))-INDIRECT(ADDRESS(329,29))</f>
        <v>0</v>
      </c>
      <c r="AD330">
        <f>INDIRECT(ADDRESS(330,29))+INDIRECT(ADDRESS(328,30))-INDIRECT(ADDRESS(329,30))</f>
        <v>0</v>
      </c>
      <c r="AE330">
        <f>INDIRECT(ADDRESS(330,30))+INDIRECT(ADDRESS(328,31))-INDIRECT(ADDRESS(329,31))</f>
        <v>0</v>
      </c>
      <c r="AF330">
        <f>INDIRECT(ADDRESS(330,31))+INDIRECT(ADDRESS(328,32))-INDIRECT(ADDRESS(329,32))</f>
        <v>0</v>
      </c>
      <c r="AG330">
        <f>INDIRECT(ADDRESS(330,32))+INDIRECT(ADDRESS(328,33))-INDIRECT(ADDRESS(329,33))</f>
        <v>0</v>
      </c>
      <c r="AH330">
        <f>INDIRECT(ADDRESS(330,33))+INDIRECT(ADDRESS(328,34))-INDIRECT(ADDRESS(329,34))</f>
        <v>0</v>
      </c>
      <c r="AI330">
        <f>INDIRECT(ADDRESS(330,34))+INDIRECT(ADDRESS(328,35))-INDIRECT(ADDRESS(329,35))</f>
        <v>0</v>
      </c>
      <c r="AJ330">
        <f>INDIRECT(ADDRESS(330,35))+INDIRECT(ADDRESS(328,36))-INDIRECT(ADDRESS(329,36))</f>
        <v>0</v>
      </c>
      <c r="AK330">
        <f>INDIRECT(ADDRESS(330,36))+INDIRECT(ADDRESS(328,37))-INDIRECT(ADDRESS(329,37))</f>
        <v>0</v>
      </c>
      <c r="AL330">
        <f>INDIRECT(ADDRESS(330,37))+INDIRECT(ADDRESS(328,38))-INDIRECT(ADDRESS(329,38))</f>
        <v>0</v>
      </c>
      <c r="AM330">
        <f>INDIRECT(ADDRESS(330,38))+INDIRECT(ADDRESS(328,39))-INDIRECT(ADDRESS(329,39))</f>
        <v>0</v>
      </c>
      <c r="AN330">
        <f>INDIRECT(ADDRESS(330,39))+INDIRECT(ADDRESS(328,40))-INDIRECT(ADDRESS(329,40))</f>
        <v>0</v>
      </c>
      <c r="AO330">
        <f>SUM(INDIRECT(ADDRESS(329,8)):INDIRECT(ADDRESS(329,39)))</f>
        <v>0</v>
      </c>
    </row>
    <row r="331" spans="1:41">
      <c r="A331" t="s">
        <v>185</v>
      </c>
      <c r="B331" t="s">
        <v>310</v>
      </c>
      <c r="C331" t="s">
        <v>311</v>
      </c>
      <c r="E331">
        <v>1</v>
      </c>
      <c r="I331" t="s">
        <v>177</v>
      </c>
    </row>
    <row r="332" spans="1:41">
      <c r="I332" t="s">
        <v>178</v>
      </c>
      <c r="J332">
        <f>IFERROR(VLOOKUP("924-718897-200",B:AB,1+8,0),0)</f>
        <v>0</v>
      </c>
      <c r="K332">
        <f>IFERROR(VLOOKUP("924-718897-200",B:AB,2+8,0),0)</f>
        <v>0</v>
      </c>
      <c r="L332">
        <f>IFERROR(VLOOKUP("924-718897-200",B:AB,3+8,0),0)</f>
        <v>0</v>
      </c>
      <c r="M332">
        <f>IFERROR(VLOOKUP("924-718897-200",B:AB,4+8,0),0)</f>
        <v>0</v>
      </c>
      <c r="N332">
        <f>IFERROR(VLOOKUP("924-718897-200",B:AB,5+8,0),0)</f>
        <v>0</v>
      </c>
      <c r="O332">
        <f>IFERROR(VLOOKUP("924-718897-200",B:AB,6+8,0),0)</f>
        <v>0</v>
      </c>
      <c r="P332">
        <f>IFERROR(VLOOKUP("924-718897-200",B:AB,7+8,0),0)</f>
        <v>0</v>
      </c>
      <c r="Q332">
        <f>IFERROR(VLOOKUP("924-718897-200",B:AB,8+8,0),0)</f>
        <v>0</v>
      </c>
      <c r="R332">
        <f>IFERROR(VLOOKUP("924-718897-200",B:AB,9+8,0),0)</f>
        <v>0</v>
      </c>
      <c r="S332">
        <f>IFERROR(VLOOKUP("924-718897-200",B:AB,10+8,0),0)</f>
        <v>0</v>
      </c>
      <c r="T332">
        <f>IFERROR(VLOOKUP("924-718897-200",B:AB,11+8,0),0)</f>
        <v>0</v>
      </c>
      <c r="U332">
        <f>IFERROR(VLOOKUP("924-718897-200",B:AB,12+8,0),0)</f>
        <v>0</v>
      </c>
      <c r="V332">
        <f>IFERROR(VLOOKUP("924-718897-200",B:AB,13+8,0),0)</f>
        <v>0</v>
      </c>
      <c r="W332">
        <f>IFERROR(VLOOKUP("924-718897-200",B:AB,14+8,0),0)</f>
        <v>0</v>
      </c>
      <c r="X332">
        <f>IFERROR(VLOOKUP("924-718897-200",B:AB,15+8,0),0)</f>
        <v>0</v>
      </c>
      <c r="Y332">
        <f>IFERROR(VLOOKUP("924-718897-200",B:AB,16+8,0),0)</f>
        <v>0</v>
      </c>
      <c r="Z332">
        <f>IFERROR(VLOOKUP("924-718897-200",B:AB,17+8,0),0)</f>
        <v>0</v>
      </c>
      <c r="AA332">
        <f>IFERROR(VLOOKUP("924-718897-200",B:AB,18+8,0),0)</f>
        <v>0</v>
      </c>
      <c r="AB332">
        <f>IFERROR(VLOOKUP("924-718897-200",B:AB,19+8,0),0)</f>
        <v>0</v>
      </c>
      <c r="AC332">
        <f>IFERROR(VLOOKUP("924-718897-200",B:AB,20+8,0),0)</f>
        <v>0</v>
      </c>
      <c r="AD332">
        <f>IFERROR(VLOOKUP("924-718897-200",B:AB,21+8,0),0)</f>
        <v>0</v>
      </c>
      <c r="AE332">
        <f>IFERROR(VLOOKUP("924-718897-200",B:AB,22+8,0),0)</f>
        <v>0</v>
      </c>
      <c r="AF332">
        <f>IFERROR(VLOOKUP("924-718897-200",B:AB,23+8,0),0)</f>
        <v>0</v>
      </c>
      <c r="AG332">
        <f>IFERROR(VLOOKUP("924-718897-200",B:AB,24+8,0),0)</f>
        <v>0</v>
      </c>
      <c r="AH332">
        <f>IFERROR(VLOOKUP("924-718897-200",B:AB,25+8,0),0)</f>
        <v>0</v>
      </c>
      <c r="AI332">
        <f>IFERROR(VLOOKUP("924-718897-200",B:AB,26+8,0),0)</f>
        <v>0</v>
      </c>
      <c r="AJ332">
        <f>IFERROR(VLOOKUP("924-718897-200",B:AB,27+8,0),0)</f>
        <v>0</v>
      </c>
      <c r="AK332">
        <f>IFERROR(VLOOKUP("924-718897-200",B:AB,28+8,0),0)</f>
        <v>0</v>
      </c>
      <c r="AL332">
        <f>IFERROR(VLOOKUP("924-718897-200",B:AB,29+8,0),0)</f>
        <v>0</v>
      </c>
      <c r="AM332">
        <f>IFERROR(VLOOKUP("924-718897-200",B:AB,30+8,0),0)</f>
        <v>0</v>
      </c>
      <c r="AN332">
        <f>IFERROR(VLOOKUP("924-718897-200",B:AB,31+8,0),0)</f>
        <v>0</v>
      </c>
      <c r="AO332">
        <f>SUN(INDIRECT(ADDRESS(331,8)):INDIRECT(ADDRESS(331,39)))</f>
        <v>0</v>
      </c>
    </row>
    <row r="333" spans="1:41">
      <c r="H333" t="s">
        <v>179</v>
      </c>
      <c r="J333">
        <f>INDIRECT(ADDRESS(333,9))+INDIRECT(ADDRESS(331,10))-INDIRECT(ADDRESS(332,10))</f>
        <v>0</v>
      </c>
      <c r="K333">
        <f>INDIRECT(ADDRESS(333,10))+INDIRECT(ADDRESS(331,11))-INDIRECT(ADDRESS(332,11))</f>
        <v>0</v>
      </c>
      <c r="L333">
        <f>INDIRECT(ADDRESS(333,11))+INDIRECT(ADDRESS(331,12))-INDIRECT(ADDRESS(332,12))</f>
        <v>0</v>
      </c>
      <c r="M333">
        <f>INDIRECT(ADDRESS(333,12))+INDIRECT(ADDRESS(331,13))-INDIRECT(ADDRESS(332,13))</f>
        <v>0</v>
      </c>
      <c r="N333">
        <f>INDIRECT(ADDRESS(333,13))+INDIRECT(ADDRESS(331,14))-INDIRECT(ADDRESS(332,14))</f>
        <v>0</v>
      </c>
      <c r="O333">
        <f>INDIRECT(ADDRESS(333,14))+INDIRECT(ADDRESS(331,15))-INDIRECT(ADDRESS(332,15))</f>
        <v>0</v>
      </c>
      <c r="P333">
        <f>INDIRECT(ADDRESS(333,15))+INDIRECT(ADDRESS(331,16))-INDIRECT(ADDRESS(332,16))</f>
        <v>0</v>
      </c>
      <c r="Q333">
        <f>INDIRECT(ADDRESS(333,16))+INDIRECT(ADDRESS(331,17))-INDIRECT(ADDRESS(332,17))</f>
        <v>0</v>
      </c>
      <c r="R333">
        <f>INDIRECT(ADDRESS(333,17))+INDIRECT(ADDRESS(331,18))-INDIRECT(ADDRESS(332,18))</f>
        <v>0</v>
      </c>
      <c r="S333">
        <f>INDIRECT(ADDRESS(333,18))+INDIRECT(ADDRESS(331,19))-INDIRECT(ADDRESS(332,19))</f>
        <v>0</v>
      </c>
      <c r="T333">
        <f>INDIRECT(ADDRESS(333,19))+INDIRECT(ADDRESS(331,20))-INDIRECT(ADDRESS(332,20))</f>
        <v>0</v>
      </c>
      <c r="U333">
        <f>INDIRECT(ADDRESS(333,20))+INDIRECT(ADDRESS(331,21))-INDIRECT(ADDRESS(332,21))</f>
        <v>0</v>
      </c>
      <c r="V333">
        <f>INDIRECT(ADDRESS(333,21))+INDIRECT(ADDRESS(331,22))-INDIRECT(ADDRESS(332,22))</f>
        <v>0</v>
      </c>
      <c r="W333">
        <f>INDIRECT(ADDRESS(333,22))+INDIRECT(ADDRESS(331,23))-INDIRECT(ADDRESS(332,23))</f>
        <v>0</v>
      </c>
      <c r="X333">
        <f>INDIRECT(ADDRESS(333,23))+INDIRECT(ADDRESS(331,24))-INDIRECT(ADDRESS(332,24))</f>
        <v>0</v>
      </c>
      <c r="Y333">
        <f>INDIRECT(ADDRESS(333,24))+INDIRECT(ADDRESS(331,25))-INDIRECT(ADDRESS(332,25))</f>
        <v>0</v>
      </c>
      <c r="Z333">
        <f>INDIRECT(ADDRESS(333,25))+INDIRECT(ADDRESS(331,26))-INDIRECT(ADDRESS(332,26))</f>
        <v>0</v>
      </c>
      <c r="AA333">
        <f>INDIRECT(ADDRESS(333,26))+INDIRECT(ADDRESS(331,27))-INDIRECT(ADDRESS(332,27))</f>
        <v>0</v>
      </c>
      <c r="AB333">
        <f>INDIRECT(ADDRESS(333,27))+INDIRECT(ADDRESS(331,28))-INDIRECT(ADDRESS(332,28))</f>
        <v>0</v>
      </c>
      <c r="AC333">
        <f>INDIRECT(ADDRESS(333,28))+INDIRECT(ADDRESS(331,29))-INDIRECT(ADDRESS(332,29))</f>
        <v>0</v>
      </c>
      <c r="AD333">
        <f>INDIRECT(ADDRESS(333,29))+INDIRECT(ADDRESS(331,30))-INDIRECT(ADDRESS(332,30))</f>
        <v>0</v>
      </c>
      <c r="AE333">
        <f>INDIRECT(ADDRESS(333,30))+INDIRECT(ADDRESS(331,31))-INDIRECT(ADDRESS(332,31))</f>
        <v>0</v>
      </c>
      <c r="AF333">
        <f>INDIRECT(ADDRESS(333,31))+INDIRECT(ADDRESS(331,32))-INDIRECT(ADDRESS(332,32))</f>
        <v>0</v>
      </c>
      <c r="AG333">
        <f>INDIRECT(ADDRESS(333,32))+INDIRECT(ADDRESS(331,33))-INDIRECT(ADDRESS(332,33))</f>
        <v>0</v>
      </c>
      <c r="AH333">
        <f>INDIRECT(ADDRESS(333,33))+INDIRECT(ADDRESS(331,34))-INDIRECT(ADDRESS(332,34))</f>
        <v>0</v>
      </c>
      <c r="AI333">
        <f>INDIRECT(ADDRESS(333,34))+INDIRECT(ADDRESS(331,35))-INDIRECT(ADDRESS(332,35))</f>
        <v>0</v>
      </c>
      <c r="AJ333">
        <f>INDIRECT(ADDRESS(333,35))+INDIRECT(ADDRESS(331,36))-INDIRECT(ADDRESS(332,36))</f>
        <v>0</v>
      </c>
      <c r="AK333">
        <f>INDIRECT(ADDRESS(333,36))+INDIRECT(ADDRESS(331,37))-INDIRECT(ADDRESS(332,37))</f>
        <v>0</v>
      </c>
      <c r="AL333">
        <f>INDIRECT(ADDRESS(333,37))+INDIRECT(ADDRESS(331,38))-INDIRECT(ADDRESS(332,38))</f>
        <v>0</v>
      </c>
      <c r="AM333">
        <f>INDIRECT(ADDRESS(333,38))+INDIRECT(ADDRESS(331,39))-INDIRECT(ADDRESS(332,39))</f>
        <v>0</v>
      </c>
      <c r="AN333">
        <f>INDIRECT(ADDRESS(333,39))+INDIRECT(ADDRESS(331,40))-INDIRECT(ADDRESS(332,40))</f>
        <v>0</v>
      </c>
      <c r="AO333">
        <f>SUM(INDIRECT(ADDRESS(332,8)):INDIRECT(ADDRESS(332,39)))</f>
        <v>0</v>
      </c>
    </row>
    <row r="334" spans="1:41">
      <c r="A334" t="s">
        <v>185</v>
      </c>
      <c r="B334" t="s">
        <v>312</v>
      </c>
      <c r="C334" t="s">
        <v>313</v>
      </c>
      <c r="E334">
        <v>1</v>
      </c>
      <c r="I334" t="s">
        <v>177</v>
      </c>
    </row>
    <row r="335" spans="1:41">
      <c r="I335" t="s">
        <v>178</v>
      </c>
      <c r="J335">
        <f>IFERROR(VLOOKUP("924-718897-200",B:AB,1+8,0),0)</f>
        <v>0</v>
      </c>
      <c r="K335">
        <f>IFERROR(VLOOKUP("924-718897-200",B:AB,2+8,0),0)</f>
        <v>0</v>
      </c>
      <c r="L335">
        <f>IFERROR(VLOOKUP("924-718897-200",B:AB,3+8,0),0)</f>
        <v>0</v>
      </c>
      <c r="M335">
        <f>IFERROR(VLOOKUP("924-718897-200",B:AB,4+8,0),0)</f>
        <v>0</v>
      </c>
      <c r="N335">
        <f>IFERROR(VLOOKUP("924-718897-200",B:AB,5+8,0),0)</f>
        <v>0</v>
      </c>
      <c r="O335">
        <f>IFERROR(VLOOKUP("924-718897-200",B:AB,6+8,0),0)</f>
        <v>0</v>
      </c>
      <c r="P335">
        <f>IFERROR(VLOOKUP("924-718897-200",B:AB,7+8,0),0)</f>
        <v>0</v>
      </c>
      <c r="Q335">
        <f>IFERROR(VLOOKUP("924-718897-200",B:AB,8+8,0),0)</f>
        <v>0</v>
      </c>
      <c r="R335">
        <f>IFERROR(VLOOKUP("924-718897-200",B:AB,9+8,0),0)</f>
        <v>0</v>
      </c>
      <c r="S335">
        <f>IFERROR(VLOOKUP("924-718897-200",B:AB,10+8,0),0)</f>
        <v>0</v>
      </c>
      <c r="T335">
        <f>IFERROR(VLOOKUP("924-718897-200",B:AB,11+8,0),0)</f>
        <v>0</v>
      </c>
      <c r="U335">
        <f>IFERROR(VLOOKUP("924-718897-200",B:AB,12+8,0),0)</f>
        <v>0</v>
      </c>
      <c r="V335">
        <f>IFERROR(VLOOKUP("924-718897-200",B:AB,13+8,0),0)</f>
        <v>0</v>
      </c>
      <c r="W335">
        <f>IFERROR(VLOOKUP("924-718897-200",B:AB,14+8,0),0)</f>
        <v>0</v>
      </c>
      <c r="X335">
        <f>IFERROR(VLOOKUP("924-718897-200",B:AB,15+8,0),0)</f>
        <v>0</v>
      </c>
      <c r="Y335">
        <f>IFERROR(VLOOKUP("924-718897-200",B:AB,16+8,0),0)</f>
        <v>0</v>
      </c>
      <c r="Z335">
        <f>IFERROR(VLOOKUP("924-718897-200",B:AB,17+8,0),0)</f>
        <v>0</v>
      </c>
      <c r="AA335">
        <f>IFERROR(VLOOKUP("924-718897-200",B:AB,18+8,0),0)</f>
        <v>0</v>
      </c>
      <c r="AB335">
        <f>IFERROR(VLOOKUP("924-718897-200",B:AB,19+8,0),0)</f>
        <v>0</v>
      </c>
      <c r="AC335">
        <f>IFERROR(VLOOKUP("924-718897-200",B:AB,20+8,0),0)</f>
        <v>0</v>
      </c>
      <c r="AD335">
        <f>IFERROR(VLOOKUP("924-718897-200",B:AB,21+8,0),0)</f>
        <v>0</v>
      </c>
      <c r="AE335">
        <f>IFERROR(VLOOKUP("924-718897-200",B:AB,22+8,0),0)</f>
        <v>0</v>
      </c>
      <c r="AF335">
        <f>IFERROR(VLOOKUP("924-718897-200",B:AB,23+8,0),0)</f>
        <v>0</v>
      </c>
      <c r="AG335">
        <f>IFERROR(VLOOKUP("924-718897-200",B:AB,24+8,0),0)</f>
        <v>0</v>
      </c>
      <c r="AH335">
        <f>IFERROR(VLOOKUP("924-718897-200",B:AB,25+8,0),0)</f>
        <v>0</v>
      </c>
      <c r="AI335">
        <f>IFERROR(VLOOKUP("924-718897-200",B:AB,26+8,0),0)</f>
        <v>0</v>
      </c>
      <c r="AJ335">
        <f>IFERROR(VLOOKUP("924-718897-200",B:AB,27+8,0),0)</f>
        <v>0</v>
      </c>
      <c r="AK335">
        <f>IFERROR(VLOOKUP("924-718897-200",B:AB,28+8,0),0)</f>
        <v>0</v>
      </c>
      <c r="AL335">
        <f>IFERROR(VLOOKUP("924-718897-200",B:AB,29+8,0),0)</f>
        <v>0</v>
      </c>
      <c r="AM335">
        <f>IFERROR(VLOOKUP("924-718897-200",B:AB,30+8,0),0)</f>
        <v>0</v>
      </c>
      <c r="AN335">
        <f>IFERROR(VLOOKUP("924-718897-200",B:AB,31+8,0),0)</f>
        <v>0</v>
      </c>
      <c r="AO335">
        <f>SUN(INDIRECT(ADDRESS(334,8)):INDIRECT(ADDRESS(334,39)))</f>
        <v>0</v>
      </c>
    </row>
    <row r="336" spans="1:41">
      <c r="H336" t="s">
        <v>179</v>
      </c>
      <c r="J336">
        <f>INDIRECT(ADDRESS(336,9))+INDIRECT(ADDRESS(334,10))-INDIRECT(ADDRESS(335,10))</f>
        <v>0</v>
      </c>
      <c r="K336">
        <f>INDIRECT(ADDRESS(336,10))+INDIRECT(ADDRESS(334,11))-INDIRECT(ADDRESS(335,11))</f>
        <v>0</v>
      </c>
      <c r="L336">
        <f>INDIRECT(ADDRESS(336,11))+INDIRECT(ADDRESS(334,12))-INDIRECT(ADDRESS(335,12))</f>
        <v>0</v>
      </c>
      <c r="M336">
        <f>INDIRECT(ADDRESS(336,12))+INDIRECT(ADDRESS(334,13))-INDIRECT(ADDRESS(335,13))</f>
        <v>0</v>
      </c>
      <c r="N336">
        <f>INDIRECT(ADDRESS(336,13))+INDIRECT(ADDRESS(334,14))-INDIRECT(ADDRESS(335,14))</f>
        <v>0</v>
      </c>
      <c r="O336">
        <f>INDIRECT(ADDRESS(336,14))+INDIRECT(ADDRESS(334,15))-INDIRECT(ADDRESS(335,15))</f>
        <v>0</v>
      </c>
      <c r="P336">
        <f>INDIRECT(ADDRESS(336,15))+INDIRECT(ADDRESS(334,16))-INDIRECT(ADDRESS(335,16))</f>
        <v>0</v>
      </c>
      <c r="Q336">
        <f>INDIRECT(ADDRESS(336,16))+INDIRECT(ADDRESS(334,17))-INDIRECT(ADDRESS(335,17))</f>
        <v>0</v>
      </c>
      <c r="R336">
        <f>INDIRECT(ADDRESS(336,17))+INDIRECT(ADDRESS(334,18))-INDIRECT(ADDRESS(335,18))</f>
        <v>0</v>
      </c>
      <c r="S336">
        <f>INDIRECT(ADDRESS(336,18))+INDIRECT(ADDRESS(334,19))-INDIRECT(ADDRESS(335,19))</f>
        <v>0</v>
      </c>
      <c r="T336">
        <f>INDIRECT(ADDRESS(336,19))+INDIRECT(ADDRESS(334,20))-INDIRECT(ADDRESS(335,20))</f>
        <v>0</v>
      </c>
      <c r="U336">
        <f>INDIRECT(ADDRESS(336,20))+INDIRECT(ADDRESS(334,21))-INDIRECT(ADDRESS(335,21))</f>
        <v>0</v>
      </c>
      <c r="V336">
        <f>INDIRECT(ADDRESS(336,21))+INDIRECT(ADDRESS(334,22))-INDIRECT(ADDRESS(335,22))</f>
        <v>0</v>
      </c>
      <c r="W336">
        <f>INDIRECT(ADDRESS(336,22))+INDIRECT(ADDRESS(334,23))-INDIRECT(ADDRESS(335,23))</f>
        <v>0</v>
      </c>
      <c r="X336">
        <f>INDIRECT(ADDRESS(336,23))+INDIRECT(ADDRESS(334,24))-INDIRECT(ADDRESS(335,24))</f>
        <v>0</v>
      </c>
      <c r="Y336">
        <f>INDIRECT(ADDRESS(336,24))+INDIRECT(ADDRESS(334,25))-INDIRECT(ADDRESS(335,25))</f>
        <v>0</v>
      </c>
      <c r="Z336">
        <f>INDIRECT(ADDRESS(336,25))+INDIRECT(ADDRESS(334,26))-INDIRECT(ADDRESS(335,26))</f>
        <v>0</v>
      </c>
      <c r="AA336">
        <f>INDIRECT(ADDRESS(336,26))+INDIRECT(ADDRESS(334,27))-INDIRECT(ADDRESS(335,27))</f>
        <v>0</v>
      </c>
      <c r="AB336">
        <f>INDIRECT(ADDRESS(336,27))+INDIRECT(ADDRESS(334,28))-INDIRECT(ADDRESS(335,28))</f>
        <v>0</v>
      </c>
      <c r="AC336">
        <f>INDIRECT(ADDRESS(336,28))+INDIRECT(ADDRESS(334,29))-INDIRECT(ADDRESS(335,29))</f>
        <v>0</v>
      </c>
      <c r="AD336">
        <f>INDIRECT(ADDRESS(336,29))+INDIRECT(ADDRESS(334,30))-INDIRECT(ADDRESS(335,30))</f>
        <v>0</v>
      </c>
      <c r="AE336">
        <f>INDIRECT(ADDRESS(336,30))+INDIRECT(ADDRESS(334,31))-INDIRECT(ADDRESS(335,31))</f>
        <v>0</v>
      </c>
      <c r="AF336">
        <f>INDIRECT(ADDRESS(336,31))+INDIRECT(ADDRESS(334,32))-INDIRECT(ADDRESS(335,32))</f>
        <v>0</v>
      </c>
      <c r="AG336">
        <f>INDIRECT(ADDRESS(336,32))+INDIRECT(ADDRESS(334,33))-INDIRECT(ADDRESS(335,33))</f>
        <v>0</v>
      </c>
      <c r="AH336">
        <f>INDIRECT(ADDRESS(336,33))+INDIRECT(ADDRESS(334,34))-INDIRECT(ADDRESS(335,34))</f>
        <v>0</v>
      </c>
      <c r="AI336">
        <f>INDIRECT(ADDRESS(336,34))+INDIRECT(ADDRESS(334,35))-INDIRECT(ADDRESS(335,35))</f>
        <v>0</v>
      </c>
      <c r="AJ336">
        <f>INDIRECT(ADDRESS(336,35))+INDIRECT(ADDRESS(334,36))-INDIRECT(ADDRESS(335,36))</f>
        <v>0</v>
      </c>
      <c r="AK336">
        <f>INDIRECT(ADDRESS(336,36))+INDIRECT(ADDRESS(334,37))-INDIRECT(ADDRESS(335,37))</f>
        <v>0</v>
      </c>
      <c r="AL336">
        <f>INDIRECT(ADDRESS(336,37))+INDIRECT(ADDRESS(334,38))-INDIRECT(ADDRESS(335,38))</f>
        <v>0</v>
      </c>
      <c r="AM336">
        <f>INDIRECT(ADDRESS(336,38))+INDIRECT(ADDRESS(334,39))-INDIRECT(ADDRESS(335,39))</f>
        <v>0</v>
      </c>
      <c r="AN336">
        <f>INDIRECT(ADDRESS(336,39))+INDIRECT(ADDRESS(334,40))-INDIRECT(ADDRESS(335,40))</f>
        <v>0</v>
      </c>
      <c r="AO336">
        <f>SUM(INDIRECT(ADDRESS(335,8)):INDIRECT(ADDRESS(335,39)))</f>
        <v>0</v>
      </c>
    </row>
    <row r="337" spans="1:41">
      <c r="A337" t="s">
        <v>185</v>
      </c>
      <c r="B337" t="s">
        <v>314</v>
      </c>
      <c r="C337" t="s">
        <v>315</v>
      </c>
      <c r="E337">
        <v>2</v>
      </c>
      <c r="I337" t="s">
        <v>177</v>
      </c>
    </row>
    <row r="338" spans="1:41">
      <c r="I338" t="s">
        <v>178</v>
      </c>
      <c r="J338">
        <f>IFERROR(VLOOKUP("924-718897-200",B:AB,1+8,0),0)</f>
        <v>0</v>
      </c>
      <c r="K338">
        <f>IFERROR(VLOOKUP("924-718897-200",B:AB,2+8,0),0)</f>
        <v>0</v>
      </c>
      <c r="L338">
        <f>IFERROR(VLOOKUP("924-718897-200",B:AB,3+8,0),0)</f>
        <v>0</v>
      </c>
      <c r="M338">
        <f>IFERROR(VLOOKUP("924-718897-200",B:AB,4+8,0),0)</f>
        <v>0</v>
      </c>
      <c r="N338">
        <f>IFERROR(VLOOKUP("924-718897-200",B:AB,5+8,0),0)</f>
        <v>0</v>
      </c>
      <c r="O338">
        <f>IFERROR(VLOOKUP("924-718897-200",B:AB,6+8,0),0)</f>
        <v>0</v>
      </c>
      <c r="P338">
        <f>IFERROR(VLOOKUP("924-718897-200",B:AB,7+8,0),0)</f>
        <v>0</v>
      </c>
      <c r="Q338">
        <f>IFERROR(VLOOKUP("924-718897-200",B:AB,8+8,0),0)</f>
        <v>0</v>
      </c>
      <c r="R338">
        <f>IFERROR(VLOOKUP("924-718897-200",B:AB,9+8,0),0)</f>
        <v>0</v>
      </c>
      <c r="S338">
        <f>IFERROR(VLOOKUP("924-718897-200",B:AB,10+8,0),0)</f>
        <v>0</v>
      </c>
      <c r="T338">
        <f>IFERROR(VLOOKUP("924-718897-200",B:AB,11+8,0),0)</f>
        <v>0</v>
      </c>
      <c r="U338">
        <f>IFERROR(VLOOKUP("924-718897-200",B:AB,12+8,0),0)</f>
        <v>0</v>
      </c>
      <c r="V338">
        <f>IFERROR(VLOOKUP("924-718897-200",B:AB,13+8,0),0)</f>
        <v>0</v>
      </c>
      <c r="W338">
        <f>IFERROR(VLOOKUP("924-718897-200",B:AB,14+8,0),0)</f>
        <v>0</v>
      </c>
      <c r="X338">
        <f>IFERROR(VLOOKUP("924-718897-200",B:AB,15+8,0),0)</f>
        <v>0</v>
      </c>
      <c r="Y338">
        <f>IFERROR(VLOOKUP("924-718897-200",B:AB,16+8,0),0)</f>
        <v>0</v>
      </c>
      <c r="Z338">
        <f>IFERROR(VLOOKUP("924-718897-200",B:AB,17+8,0),0)</f>
        <v>0</v>
      </c>
      <c r="AA338">
        <f>IFERROR(VLOOKUP("924-718897-200",B:AB,18+8,0),0)</f>
        <v>0</v>
      </c>
      <c r="AB338">
        <f>IFERROR(VLOOKUP("924-718897-200",B:AB,19+8,0),0)</f>
        <v>0</v>
      </c>
      <c r="AC338">
        <f>IFERROR(VLOOKUP("924-718897-200",B:AB,20+8,0),0)</f>
        <v>0</v>
      </c>
      <c r="AD338">
        <f>IFERROR(VLOOKUP("924-718897-200",B:AB,21+8,0),0)</f>
        <v>0</v>
      </c>
      <c r="AE338">
        <f>IFERROR(VLOOKUP("924-718897-200",B:AB,22+8,0),0)</f>
        <v>0</v>
      </c>
      <c r="AF338">
        <f>IFERROR(VLOOKUP("924-718897-200",B:AB,23+8,0),0)</f>
        <v>0</v>
      </c>
      <c r="AG338">
        <f>IFERROR(VLOOKUP("924-718897-200",B:AB,24+8,0),0)</f>
        <v>0</v>
      </c>
      <c r="AH338">
        <f>IFERROR(VLOOKUP("924-718897-200",B:AB,25+8,0),0)</f>
        <v>0</v>
      </c>
      <c r="AI338">
        <f>IFERROR(VLOOKUP("924-718897-200",B:AB,26+8,0),0)</f>
        <v>0</v>
      </c>
      <c r="AJ338">
        <f>IFERROR(VLOOKUP("924-718897-200",B:AB,27+8,0),0)</f>
        <v>0</v>
      </c>
      <c r="AK338">
        <f>IFERROR(VLOOKUP("924-718897-200",B:AB,28+8,0),0)</f>
        <v>0</v>
      </c>
      <c r="AL338">
        <f>IFERROR(VLOOKUP("924-718897-200",B:AB,29+8,0),0)</f>
        <v>0</v>
      </c>
      <c r="AM338">
        <f>IFERROR(VLOOKUP("924-718897-200",B:AB,30+8,0),0)</f>
        <v>0</v>
      </c>
      <c r="AN338">
        <f>IFERROR(VLOOKUP("924-718897-200",B:AB,31+8,0),0)</f>
        <v>0</v>
      </c>
      <c r="AO338">
        <f>SUN(INDIRECT(ADDRESS(337,8)):INDIRECT(ADDRESS(337,39)))</f>
        <v>0</v>
      </c>
    </row>
    <row r="339" spans="1:41">
      <c r="H339" t="s">
        <v>179</v>
      </c>
      <c r="J339">
        <f>INDIRECT(ADDRESS(339,9))+INDIRECT(ADDRESS(337,10))-INDIRECT(ADDRESS(338,10))</f>
        <v>0</v>
      </c>
      <c r="K339">
        <f>INDIRECT(ADDRESS(339,10))+INDIRECT(ADDRESS(337,11))-INDIRECT(ADDRESS(338,11))</f>
        <v>0</v>
      </c>
      <c r="L339">
        <f>INDIRECT(ADDRESS(339,11))+INDIRECT(ADDRESS(337,12))-INDIRECT(ADDRESS(338,12))</f>
        <v>0</v>
      </c>
      <c r="M339">
        <f>INDIRECT(ADDRESS(339,12))+INDIRECT(ADDRESS(337,13))-INDIRECT(ADDRESS(338,13))</f>
        <v>0</v>
      </c>
      <c r="N339">
        <f>INDIRECT(ADDRESS(339,13))+INDIRECT(ADDRESS(337,14))-INDIRECT(ADDRESS(338,14))</f>
        <v>0</v>
      </c>
      <c r="O339">
        <f>INDIRECT(ADDRESS(339,14))+INDIRECT(ADDRESS(337,15))-INDIRECT(ADDRESS(338,15))</f>
        <v>0</v>
      </c>
      <c r="P339">
        <f>INDIRECT(ADDRESS(339,15))+INDIRECT(ADDRESS(337,16))-INDIRECT(ADDRESS(338,16))</f>
        <v>0</v>
      </c>
      <c r="Q339">
        <f>INDIRECT(ADDRESS(339,16))+INDIRECT(ADDRESS(337,17))-INDIRECT(ADDRESS(338,17))</f>
        <v>0</v>
      </c>
      <c r="R339">
        <f>INDIRECT(ADDRESS(339,17))+INDIRECT(ADDRESS(337,18))-INDIRECT(ADDRESS(338,18))</f>
        <v>0</v>
      </c>
      <c r="S339">
        <f>INDIRECT(ADDRESS(339,18))+INDIRECT(ADDRESS(337,19))-INDIRECT(ADDRESS(338,19))</f>
        <v>0</v>
      </c>
      <c r="T339">
        <f>INDIRECT(ADDRESS(339,19))+INDIRECT(ADDRESS(337,20))-INDIRECT(ADDRESS(338,20))</f>
        <v>0</v>
      </c>
      <c r="U339">
        <f>INDIRECT(ADDRESS(339,20))+INDIRECT(ADDRESS(337,21))-INDIRECT(ADDRESS(338,21))</f>
        <v>0</v>
      </c>
      <c r="V339">
        <f>INDIRECT(ADDRESS(339,21))+INDIRECT(ADDRESS(337,22))-INDIRECT(ADDRESS(338,22))</f>
        <v>0</v>
      </c>
      <c r="W339">
        <f>INDIRECT(ADDRESS(339,22))+INDIRECT(ADDRESS(337,23))-INDIRECT(ADDRESS(338,23))</f>
        <v>0</v>
      </c>
      <c r="X339">
        <f>INDIRECT(ADDRESS(339,23))+INDIRECT(ADDRESS(337,24))-INDIRECT(ADDRESS(338,24))</f>
        <v>0</v>
      </c>
      <c r="Y339">
        <f>INDIRECT(ADDRESS(339,24))+INDIRECT(ADDRESS(337,25))-INDIRECT(ADDRESS(338,25))</f>
        <v>0</v>
      </c>
      <c r="Z339">
        <f>INDIRECT(ADDRESS(339,25))+INDIRECT(ADDRESS(337,26))-INDIRECT(ADDRESS(338,26))</f>
        <v>0</v>
      </c>
      <c r="AA339">
        <f>INDIRECT(ADDRESS(339,26))+INDIRECT(ADDRESS(337,27))-INDIRECT(ADDRESS(338,27))</f>
        <v>0</v>
      </c>
      <c r="AB339">
        <f>INDIRECT(ADDRESS(339,27))+INDIRECT(ADDRESS(337,28))-INDIRECT(ADDRESS(338,28))</f>
        <v>0</v>
      </c>
      <c r="AC339">
        <f>INDIRECT(ADDRESS(339,28))+INDIRECT(ADDRESS(337,29))-INDIRECT(ADDRESS(338,29))</f>
        <v>0</v>
      </c>
      <c r="AD339">
        <f>INDIRECT(ADDRESS(339,29))+INDIRECT(ADDRESS(337,30))-INDIRECT(ADDRESS(338,30))</f>
        <v>0</v>
      </c>
      <c r="AE339">
        <f>INDIRECT(ADDRESS(339,30))+INDIRECT(ADDRESS(337,31))-INDIRECT(ADDRESS(338,31))</f>
        <v>0</v>
      </c>
      <c r="AF339">
        <f>INDIRECT(ADDRESS(339,31))+INDIRECT(ADDRESS(337,32))-INDIRECT(ADDRESS(338,32))</f>
        <v>0</v>
      </c>
      <c r="AG339">
        <f>INDIRECT(ADDRESS(339,32))+INDIRECT(ADDRESS(337,33))-INDIRECT(ADDRESS(338,33))</f>
        <v>0</v>
      </c>
      <c r="AH339">
        <f>INDIRECT(ADDRESS(339,33))+INDIRECT(ADDRESS(337,34))-INDIRECT(ADDRESS(338,34))</f>
        <v>0</v>
      </c>
      <c r="AI339">
        <f>INDIRECT(ADDRESS(339,34))+INDIRECT(ADDRESS(337,35))-INDIRECT(ADDRESS(338,35))</f>
        <v>0</v>
      </c>
      <c r="AJ339">
        <f>INDIRECT(ADDRESS(339,35))+INDIRECT(ADDRESS(337,36))-INDIRECT(ADDRESS(338,36))</f>
        <v>0</v>
      </c>
      <c r="AK339">
        <f>INDIRECT(ADDRESS(339,36))+INDIRECT(ADDRESS(337,37))-INDIRECT(ADDRESS(338,37))</f>
        <v>0</v>
      </c>
      <c r="AL339">
        <f>INDIRECT(ADDRESS(339,37))+INDIRECT(ADDRESS(337,38))-INDIRECT(ADDRESS(338,38))</f>
        <v>0</v>
      </c>
      <c r="AM339">
        <f>INDIRECT(ADDRESS(339,38))+INDIRECT(ADDRESS(337,39))-INDIRECT(ADDRESS(338,39))</f>
        <v>0</v>
      </c>
      <c r="AN339">
        <f>INDIRECT(ADDRESS(339,39))+INDIRECT(ADDRESS(337,40))-INDIRECT(ADDRESS(338,40))</f>
        <v>0</v>
      </c>
      <c r="AO339">
        <f>SUM(INDIRECT(ADDRESS(338,8)):INDIRECT(ADDRESS(338,39)))</f>
        <v>0</v>
      </c>
    </row>
    <row r="340" spans="1:41">
      <c r="A340" t="s">
        <v>185</v>
      </c>
      <c r="B340" t="s">
        <v>316</v>
      </c>
      <c r="C340" t="s">
        <v>317</v>
      </c>
      <c r="E340">
        <v>1</v>
      </c>
      <c r="I340" t="s">
        <v>177</v>
      </c>
    </row>
    <row r="341" spans="1:41">
      <c r="I341" t="s">
        <v>178</v>
      </c>
      <c r="J341">
        <f>IFERROR(VLOOKUP("924-718897-200",B:AB,1+8,0),0)</f>
        <v>0</v>
      </c>
      <c r="K341">
        <f>IFERROR(VLOOKUP("924-718897-200",B:AB,2+8,0),0)</f>
        <v>0</v>
      </c>
      <c r="L341">
        <f>IFERROR(VLOOKUP("924-718897-200",B:AB,3+8,0),0)</f>
        <v>0</v>
      </c>
      <c r="M341">
        <f>IFERROR(VLOOKUP("924-718897-200",B:AB,4+8,0),0)</f>
        <v>0</v>
      </c>
      <c r="N341">
        <f>IFERROR(VLOOKUP("924-718897-200",B:AB,5+8,0),0)</f>
        <v>0</v>
      </c>
      <c r="O341">
        <f>IFERROR(VLOOKUP("924-718897-200",B:AB,6+8,0),0)</f>
        <v>0</v>
      </c>
      <c r="P341">
        <f>IFERROR(VLOOKUP("924-718897-200",B:AB,7+8,0),0)</f>
        <v>0</v>
      </c>
      <c r="Q341">
        <f>IFERROR(VLOOKUP("924-718897-200",B:AB,8+8,0),0)</f>
        <v>0</v>
      </c>
      <c r="R341">
        <f>IFERROR(VLOOKUP("924-718897-200",B:AB,9+8,0),0)</f>
        <v>0</v>
      </c>
      <c r="S341">
        <f>IFERROR(VLOOKUP("924-718897-200",B:AB,10+8,0),0)</f>
        <v>0</v>
      </c>
      <c r="T341">
        <f>IFERROR(VLOOKUP("924-718897-200",B:AB,11+8,0),0)</f>
        <v>0</v>
      </c>
      <c r="U341">
        <f>IFERROR(VLOOKUP("924-718897-200",B:AB,12+8,0),0)</f>
        <v>0</v>
      </c>
      <c r="V341">
        <f>IFERROR(VLOOKUP("924-718897-200",B:AB,13+8,0),0)</f>
        <v>0</v>
      </c>
      <c r="W341">
        <f>IFERROR(VLOOKUP("924-718897-200",B:AB,14+8,0),0)</f>
        <v>0</v>
      </c>
      <c r="X341">
        <f>IFERROR(VLOOKUP("924-718897-200",B:AB,15+8,0),0)</f>
        <v>0</v>
      </c>
      <c r="Y341">
        <f>IFERROR(VLOOKUP("924-718897-200",B:AB,16+8,0),0)</f>
        <v>0</v>
      </c>
      <c r="Z341">
        <f>IFERROR(VLOOKUP("924-718897-200",B:AB,17+8,0),0)</f>
        <v>0</v>
      </c>
      <c r="AA341">
        <f>IFERROR(VLOOKUP("924-718897-200",B:AB,18+8,0),0)</f>
        <v>0</v>
      </c>
      <c r="AB341">
        <f>IFERROR(VLOOKUP("924-718897-200",B:AB,19+8,0),0)</f>
        <v>0</v>
      </c>
      <c r="AC341">
        <f>IFERROR(VLOOKUP("924-718897-200",B:AB,20+8,0),0)</f>
        <v>0</v>
      </c>
      <c r="AD341">
        <f>IFERROR(VLOOKUP("924-718897-200",B:AB,21+8,0),0)</f>
        <v>0</v>
      </c>
      <c r="AE341">
        <f>IFERROR(VLOOKUP("924-718897-200",B:AB,22+8,0),0)</f>
        <v>0</v>
      </c>
      <c r="AF341">
        <f>IFERROR(VLOOKUP("924-718897-200",B:AB,23+8,0),0)</f>
        <v>0</v>
      </c>
      <c r="AG341">
        <f>IFERROR(VLOOKUP("924-718897-200",B:AB,24+8,0),0)</f>
        <v>0</v>
      </c>
      <c r="AH341">
        <f>IFERROR(VLOOKUP("924-718897-200",B:AB,25+8,0),0)</f>
        <v>0</v>
      </c>
      <c r="AI341">
        <f>IFERROR(VLOOKUP("924-718897-200",B:AB,26+8,0),0)</f>
        <v>0</v>
      </c>
      <c r="AJ341">
        <f>IFERROR(VLOOKUP("924-718897-200",B:AB,27+8,0),0)</f>
        <v>0</v>
      </c>
      <c r="AK341">
        <f>IFERROR(VLOOKUP("924-718897-200",B:AB,28+8,0),0)</f>
        <v>0</v>
      </c>
      <c r="AL341">
        <f>IFERROR(VLOOKUP("924-718897-200",B:AB,29+8,0),0)</f>
        <v>0</v>
      </c>
      <c r="AM341">
        <f>IFERROR(VLOOKUP("924-718897-200",B:AB,30+8,0),0)</f>
        <v>0</v>
      </c>
      <c r="AN341">
        <f>IFERROR(VLOOKUP("924-718897-200",B:AB,31+8,0),0)</f>
        <v>0</v>
      </c>
      <c r="AO341">
        <f>SUN(INDIRECT(ADDRESS(340,8)):INDIRECT(ADDRESS(340,39)))</f>
        <v>0</v>
      </c>
    </row>
    <row r="342" spans="1:41">
      <c r="H342" t="s">
        <v>179</v>
      </c>
      <c r="J342">
        <f>INDIRECT(ADDRESS(342,9))+INDIRECT(ADDRESS(340,10))-INDIRECT(ADDRESS(341,10))</f>
        <v>0</v>
      </c>
      <c r="K342">
        <f>INDIRECT(ADDRESS(342,10))+INDIRECT(ADDRESS(340,11))-INDIRECT(ADDRESS(341,11))</f>
        <v>0</v>
      </c>
      <c r="L342">
        <f>INDIRECT(ADDRESS(342,11))+INDIRECT(ADDRESS(340,12))-INDIRECT(ADDRESS(341,12))</f>
        <v>0</v>
      </c>
      <c r="M342">
        <f>INDIRECT(ADDRESS(342,12))+INDIRECT(ADDRESS(340,13))-INDIRECT(ADDRESS(341,13))</f>
        <v>0</v>
      </c>
      <c r="N342">
        <f>INDIRECT(ADDRESS(342,13))+INDIRECT(ADDRESS(340,14))-INDIRECT(ADDRESS(341,14))</f>
        <v>0</v>
      </c>
      <c r="O342">
        <f>INDIRECT(ADDRESS(342,14))+INDIRECT(ADDRESS(340,15))-INDIRECT(ADDRESS(341,15))</f>
        <v>0</v>
      </c>
      <c r="P342">
        <f>INDIRECT(ADDRESS(342,15))+INDIRECT(ADDRESS(340,16))-INDIRECT(ADDRESS(341,16))</f>
        <v>0</v>
      </c>
      <c r="Q342">
        <f>INDIRECT(ADDRESS(342,16))+INDIRECT(ADDRESS(340,17))-INDIRECT(ADDRESS(341,17))</f>
        <v>0</v>
      </c>
      <c r="R342">
        <f>INDIRECT(ADDRESS(342,17))+INDIRECT(ADDRESS(340,18))-INDIRECT(ADDRESS(341,18))</f>
        <v>0</v>
      </c>
      <c r="S342">
        <f>INDIRECT(ADDRESS(342,18))+INDIRECT(ADDRESS(340,19))-INDIRECT(ADDRESS(341,19))</f>
        <v>0</v>
      </c>
      <c r="T342">
        <f>INDIRECT(ADDRESS(342,19))+INDIRECT(ADDRESS(340,20))-INDIRECT(ADDRESS(341,20))</f>
        <v>0</v>
      </c>
      <c r="U342">
        <f>INDIRECT(ADDRESS(342,20))+INDIRECT(ADDRESS(340,21))-INDIRECT(ADDRESS(341,21))</f>
        <v>0</v>
      </c>
      <c r="V342">
        <f>INDIRECT(ADDRESS(342,21))+INDIRECT(ADDRESS(340,22))-INDIRECT(ADDRESS(341,22))</f>
        <v>0</v>
      </c>
      <c r="W342">
        <f>INDIRECT(ADDRESS(342,22))+INDIRECT(ADDRESS(340,23))-INDIRECT(ADDRESS(341,23))</f>
        <v>0</v>
      </c>
      <c r="X342">
        <f>INDIRECT(ADDRESS(342,23))+INDIRECT(ADDRESS(340,24))-INDIRECT(ADDRESS(341,24))</f>
        <v>0</v>
      </c>
      <c r="Y342">
        <f>INDIRECT(ADDRESS(342,24))+INDIRECT(ADDRESS(340,25))-INDIRECT(ADDRESS(341,25))</f>
        <v>0</v>
      </c>
      <c r="Z342">
        <f>INDIRECT(ADDRESS(342,25))+INDIRECT(ADDRESS(340,26))-INDIRECT(ADDRESS(341,26))</f>
        <v>0</v>
      </c>
      <c r="AA342">
        <f>INDIRECT(ADDRESS(342,26))+INDIRECT(ADDRESS(340,27))-INDIRECT(ADDRESS(341,27))</f>
        <v>0</v>
      </c>
      <c r="AB342">
        <f>INDIRECT(ADDRESS(342,27))+INDIRECT(ADDRESS(340,28))-INDIRECT(ADDRESS(341,28))</f>
        <v>0</v>
      </c>
      <c r="AC342">
        <f>INDIRECT(ADDRESS(342,28))+INDIRECT(ADDRESS(340,29))-INDIRECT(ADDRESS(341,29))</f>
        <v>0</v>
      </c>
      <c r="AD342">
        <f>INDIRECT(ADDRESS(342,29))+INDIRECT(ADDRESS(340,30))-INDIRECT(ADDRESS(341,30))</f>
        <v>0</v>
      </c>
      <c r="AE342">
        <f>INDIRECT(ADDRESS(342,30))+INDIRECT(ADDRESS(340,31))-INDIRECT(ADDRESS(341,31))</f>
        <v>0</v>
      </c>
      <c r="AF342">
        <f>INDIRECT(ADDRESS(342,31))+INDIRECT(ADDRESS(340,32))-INDIRECT(ADDRESS(341,32))</f>
        <v>0</v>
      </c>
      <c r="AG342">
        <f>INDIRECT(ADDRESS(342,32))+INDIRECT(ADDRESS(340,33))-INDIRECT(ADDRESS(341,33))</f>
        <v>0</v>
      </c>
      <c r="AH342">
        <f>INDIRECT(ADDRESS(342,33))+INDIRECT(ADDRESS(340,34))-INDIRECT(ADDRESS(341,34))</f>
        <v>0</v>
      </c>
      <c r="AI342">
        <f>INDIRECT(ADDRESS(342,34))+INDIRECT(ADDRESS(340,35))-INDIRECT(ADDRESS(341,35))</f>
        <v>0</v>
      </c>
      <c r="AJ342">
        <f>INDIRECT(ADDRESS(342,35))+INDIRECT(ADDRESS(340,36))-INDIRECT(ADDRESS(341,36))</f>
        <v>0</v>
      </c>
      <c r="AK342">
        <f>INDIRECT(ADDRESS(342,36))+INDIRECT(ADDRESS(340,37))-INDIRECT(ADDRESS(341,37))</f>
        <v>0</v>
      </c>
      <c r="AL342">
        <f>INDIRECT(ADDRESS(342,37))+INDIRECT(ADDRESS(340,38))-INDIRECT(ADDRESS(341,38))</f>
        <v>0</v>
      </c>
      <c r="AM342">
        <f>INDIRECT(ADDRESS(342,38))+INDIRECT(ADDRESS(340,39))-INDIRECT(ADDRESS(341,39))</f>
        <v>0</v>
      </c>
      <c r="AN342">
        <f>INDIRECT(ADDRESS(342,39))+INDIRECT(ADDRESS(340,40))-INDIRECT(ADDRESS(341,40))</f>
        <v>0</v>
      </c>
      <c r="AO342">
        <f>SUM(INDIRECT(ADDRESS(341,8)):INDIRECT(ADDRESS(341,39)))</f>
        <v>0</v>
      </c>
    </row>
    <row r="343" spans="1:41">
      <c r="A343" t="s">
        <v>185</v>
      </c>
      <c r="B343" t="s">
        <v>318</v>
      </c>
      <c r="C343" t="s">
        <v>319</v>
      </c>
      <c r="E343">
        <v>1</v>
      </c>
      <c r="I343" t="s">
        <v>177</v>
      </c>
    </row>
    <row r="344" spans="1:41">
      <c r="I344" t="s">
        <v>178</v>
      </c>
      <c r="J344">
        <f>IFERROR(VLOOKUP("924-718897-200",B:AB,1+8,0),0)</f>
        <v>0</v>
      </c>
      <c r="K344">
        <f>IFERROR(VLOOKUP("924-718897-200",B:AB,2+8,0),0)</f>
        <v>0</v>
      </c>
      <c r="L344">
        <f>IFERROR(VLOOKUP("924-718897-200",B:AB,3+8,0),0)</f>
        <v>0</v>
      </c>
      <c r="M344">
        <f>IFERROR(VLOOKUP("924-718897-200",B:AB,4+8,0),0)</f>
        <v>0</v>
      </c>
      <c r="N344">
        <f>IFERROR(VLOOKUP("924-718897-200",B:AB,5+8,0),0)</f>
        <v>0</v>
      </c>
      <c r="O344">
        <f>IFERROR(VLOOKUP("924-718897-200",B:AB,6+8,0),0)</f>
        <v>0</v>
      </c>
      <c r="P344">
        <f>IFERROR(VLOOKUP("924-718897-200",B:AB,7+8,0),0)</f>
        <v>0</v>
      </c>
      <c r="Q344">
        <f>IFERROR(VLOOKUP("924-718897-200",B:AB,8+8,0),0)</f>
        <v>0</v>
      </c>
      <c r="R344">
        <f>IFERROR(VLOOKUP("924-718897-200",B:AB,9+8,0),0)</f>
        <v>0</v>
      </c>
      <c r="S344">
        <f>IFERROR(VLOOKUP("924-718897-200",B:AB,10+8,0),0)</f>
        <v>0</v>
      </c>
      <c r="T344">
        <f>IFERROR(VLOOKUP("924-718897-200",B:AB,11+8,0),0)</f>
        <v>0</v>
      </c>
      <c r="U344">
        <f>IFERROR(VLOOKUP("924-718897-200",B:AB,12+8,0),0)</f>
        <v>0</v>
      </c>
      <c r="V344">
        <f>IFERROR(VLOOKUP("924-718897-200",B:AB,13+8,0),0)</f>
        <v>0</v>
      </c>
      <c r="W344">
        <f>IFERROR(VLOOKUP("924-718897-200",B:AB,14+8,0),0)</f>
        <v>0</v>
      </c>
      <c r="X344">
        <f>IFERROR(VLOOKUP("924-718897-200",B:AB,15+8,0),0)</f>
        <v>0</v>
      </c>
      <c r="Y344">
        <f>IFERROR(VLOOKUP("924-718897-200",B:AB,16+8,0),0)</f>
        <v>0</v>
      </c>
      <c r="Z344">
        <f>IFERROR(VLOOKUP("924-718897-200",B:AB,17+8,0),0)</f>
        <v>0</v>
      </c>
      <c r="AA344">
        <f>IFERROR(VLOOKUP("924-718897-200",B:AB,18+8,0),0)</f>
        <v>0</v>
      </c>
      <c r="AB344">
        <f>IFERROR(VLOOKUP("924-718897-200",B:AB,19+8,0),0)</f>
        <v>0</v>
      </c>
      <c r="AC344">
        <f>IFERROR(VLOOKUP("924-718897-200",B:AB,20+8,0),0)</f>
        <v>0</v>
      </c>
      <c r="AD344">
        <f>IFERROR(VLOOKUP("924-718897-200",B:AB,21+8,0),0)</f>
        <v>0</v>
      </c>
      <c r="AE344">
        <f>IFERROR(VLOOKUP("924-718897-200",B:AB,22+8,0),0)</f>
        <v>0</v>
      </c>
      <c r="AF344">
        <f>IFERROR(VLOOKUP("924-718897-200",B:AB,23+8,0),0)</f>
        <v>0</v>
      </c>
      <c r="AG344">
        <f>IFERROR(VLOOKUP("924-718897-200",B:AB,24+8,0),0)</f>
        <v>0</v>
      </c>
      <c r="AH344">
        <f>IFERROR(VLOOKUP("924-718897-200",B:AB,25+8,0),0)</f>
        <v>0</v>
      </c>
      <c r="AI344">
        <f>IFERROR(VLOOKUP("924-718897-200",B:AB,26+8,0),0)</f>
        <v>0</v>
      </c>
      <c r="AJ344">
        <f>IFERROR(VLOOKUP("924-718897-200",B:AB,27+8,0),0)</f>
        <v>0</v>
      </c>
      <c r="AK344">
        <f>IFERROR(VLOOKUP("924-718897-200",B:AB,28+8,0),0)</f>
        <v>0</v>
      </c>
      <c r="AL344">
        <f>IFERROR(VLOOKUP("924-718897-200",B:AB,29+8,0),0)</f>
        <v>0</v>
      </c>
      <c r="AM344">
        <f>IFERROR(VLOOKUP("924-718897-200",B:AB,30+8,0),0)</f>
        <v>0</v>
      </c>
      <c r="AN344">
        <f>IFERROR(VLOOKUP("924-718897-200",B:AB,31+8,0),0)</f>
        <v>0</v>
      </c>
      <c r="AO344">
        <f>SUN(INDIRECT(ADDRESS(343,8)):INDIRECT(ADDRESS(343,39)))</f>
        <v>0</v>
      </c>
    </row>
    <row r="345" spans="1:41">
      <c r="H345" t="s">
        <v>179</v>
      </c>
      <c r="J345">
        <f>INDIRECT(ADDRESS(345,9))+INDIRECT(ADDRESS(343,10))-INDIRECT(ADDRESS(344,10))</f>
        <v>0</v>
      </c>
      <c r="K345">
        <f>INDIRECT(ADDRESS(345,10))+INDIRECT(ADDRESS(343,11))-INDIRECT(ADDRESS(344,11))</f>
        <v>0</v>
      </c>
      <c r="L345">
        <f>INDIRECT(ADDRESS(345,11))+INDIRECT(ADDRESS(343,12))-INDIRECT(ADDRESS(344,12))</f>
        <v>0</v>
      </c>
      <c r="M345">
        <f>INDIRECT(ADDRESS(345,12))+INDIRECT(ADDRESS(343,13))-INDIRECT(ADDRESS(344,13))</f>
        <v>0</v>
      </c>
      <c r="N345">
        <f>INDIRECT(ADDRESS(345,13))+INDIRECT(ADDRESS(343,14))-INDIRECT(ADDRESS(344,14))</f>
        <v>0</v>
      </c>
      <c r="O345">
        <f>INDIRECT(ADDRESS(345,14))+INDIRECT(ADDRESS(343,15))-INDIRECT(ADDRESS(344,15))</f>
        <v>0</v>
      </c>
      <c r="P345">
        <f>INDIRECT(ADDRESS(345,15))+INDIRECT(ADDRESS(343,16))-INDIRECT(ADDRESS(344,16))</f>
        <v>0</v>
      </c>
      <c r="Q345">
        <f>INDIRECT(ADDRESS(345,16))+INDIRECT(ADDRESS(343,17))-INDIRECT(ADDRESS(344,17))</f>
        <v>0</v>
      </c>
      <c r="R345">
        <f>INDIRECT(ADDRESS(345,17))+INDIRECT(ADDRESS(343,18))-INDIRECT(ADDRESS(344,18))</f>
        <v>0</v>
      </c>
      <c r="S345">
        <f>INDIRECT(ADDRESS(345,18))+INDIRECT(ADDRESS(343,19))-INDIRECT(ADDRESS(344,19))</f>
        <v>0</v>
      </c>
      <c r="T345">
        <f>INDIRECT(ADDRESS(345,19))+INDIRECT(ADDRESS(343,20))-INDIRECT(ADDRESS(344,20))</f>
        <v>0</v>
      </c>
      <c r="U345">
        <f>INDIRECT(ADDRESS(345,20))+INDIRECT(ADDRESS(343,21))-INDIRECT(ADDRESS(344,21))</f>
        <v>0</v>
      </c>
      <c r="V345">
        <f>INDIRECT(ADDRESS(345,21))+INDIRECT(ADDRESS(343,22))-INDIRECT(ADDRESS(344,22))</f>
        <v>0</v>
      </c>
      <c r="W345">
        <f>INDIRECT(ADDRESS(345,22))+INDIRECT(ADDRESS(343,23))-INDIRECT(ADDRESS(344,23))</f>
        <v>0</v>
      </c>
      <c r="X345">
        <f>INDIRECT(ADDRESS(345,23))+INDIRECT(ADDRESS(343,24))-INDIRECT(ADDRESS(344,24))</f>
        <v>0</v>
      </c>
      <c r="Y345">
        <f>INDIRECT(ADDRESS(345,24))+INDIRECT(ADDRESS(343,25))-INDIRECT(ADDRESS(344,25))</f>
        <v>0</v>
      </c>
      <c r="Z345">
        <f>INDIRECT(ADDRESS(345,25))+INDIRECT(ADDRESS(343,26))-INDIRECT(ADDRESS(344,26))</f>
        <v>0</v>
      </c>
      <c r="AA345">
        <f>INDIRECT(ADDRESS(345,26))+INDIRECT(ADDRESS(343,27))-INDIRECT(ADDRESS(344,27))</f>
        <v>0</v>
      </c>
      <c r="AB345">
        <f>INDIRECT(ADDRESS(345,27))+INDIRECT(ADDRESS(343,28))-INDIRECT(ADDRESS(344,28))</f>
        <v>0</v>
      </c>
      <c r="AC345">
        <f>INDIRECT(ADDRESS(345,28))+INDIRECT(ADDRESS(343,29))-INDIRECT(ADDRESS(344,29))</f>
        <v>0</v>
      </c>
      <c r="AD345">
        <f>INDIRECT(ADDRESS(345,29))+INDIRECT(ADDRESS(343,30))-INDIRECT(ADDRESS(344,30))</f>
        <v>0</v>
      </c>
      <c r="AE345">
        <f>INDIRECT(ADDRESS(345,30))+INDIRECT(ADDRESS(343,31))-INDIRECT(ADDRESS(344,31))</f>
        <v>0</v>
      </c>
      <c r="AF345">
        <f>INDIRECT(ADDRESS(345,31))+INDIRECT(ADDRESS(343,32))-INDIRECT(ADDRESS(344,32))</f>
        <v>0</v>
      </c>
      <c r="AG345">
        <f>INDIRECT(ADDRESS(345,32))+INDIRECT(ADDRESS(343,33))-INDIRECT(ADDRESS(344,33))</f>
        <v>0</v>
      </c>
      <c r="AH345">
        <f>INDIRECT(ADDRESS(345,33))+INDIRECT(ADDRESS(343,34))-INDIRECT(ADDRESS(344,34))</f>
        <v>0</v>
      </c>
      <c r="AI345">
        <f>INDIRECT(ADDRESS(345,34))+INDIRECT(ADDRESS(343,35))-INDIRECT(ADDRESS(344,35))</f>
        <v>0</v>
      </c>
      <c r="AJ345">
        <f>INDIRECT(ADDRESS(345,35))+INDIRECT(ADDRESS(343,36))-INDIRECT(ADDRESS(344,36))</f>
        <v>0</v>
      </c>
      <c r="AK345">
        <f>INDIRECT(ADDRESS(345,36))+INDIRECT(ADDRESS(343,37))-INDIRECT(ADDRESS(344,37))</f>
        <v>0</v>
      </c>
      <c r="AL345">
        <f>INDIRECT(ADDRESS(345,37))+INDIRECT(ADDRESS(343,38))-INDIRECT(ADDRESS(344,38))</f>
        <v>0</v>
      </c>
      <c r="AM345">
        <f>INDIRECT(ADDRESS(345,38))+INDIRECT(ADDRESS(343,39))-INDIRECT(ADDRESS(344,39))</f>
        <v>0</v>
      </c>
      <c r="AN345">
        <f>INDIRECT(ADDRESS(345,39))+INDIRECT(ADDRESS(343,40))-INDIRECT(ADDRESS(344,40))</f>
        <v>0</v>
      </c>
      <c r="AO345">
        <f>SUM(INDIRECT(ADDRESS(344,8)):INDIRECT(ADDRESS(344,39)))</f>
        <v>0</v>
      </c>
    </row>
    <row r="346" spans="1:41">
      <c r="A346" t="s">
        <v>8</v>
      </c>
      <c r="B346" t="s">
        <v>34</v>
      </c>
      <c r="C346" t="s">
        <v>31</v>
      </c>
      <c r="E346">
        <v>1</v>
      </c>
      <c r="I346" t="s">
        <v>177</v>
      </c>
    </row>
    <row r="347" spans="1:41">
      <c r="I347" t="s">
        <v>178</v>
      </c>
      <c r="J347">
        <f>IFERROR(VLOOKUP("924-718057-100",Out!B:AB,1+8,0),0)</f>
        <v>0</v>
      </c>
      <c r="K347">
        <f>IFERROR(VLOOKUP("924-718057-100",Out!B:AB,2+8,0),0)</f>
        <v>0</v>
      </c>
      <c r="L347">
        <f>IFERROR(VLOOKUP("924-718057-100",Out!B:AB,3+8,0),0)</f>
        <v>0</v>
      </c>
      <c r="M347">
        <f>IFERROR(VLOOKUP("924-718057-100",Out!B:AB,4+8,0),0)</f>
        <v>0</v>
      </c>
      <c r="N347">
        <f>IFERROR(VLOOKUP("924-718057-100",Out!B:AB,5+8,0),0)</f>
        <v>0</v>
      </c>
      <c r="O347">
        <f>IFERROR(VLOOKUP("924-718057-100",Out!B:AB,6+8,0),0)</f>
        <v>0</v>
      </c>
      <c r="P347">
        <f>IFERROR(VLOOKUP("924-718057-100",Out!B:AB,7+8,0),0)</f>
        <v>0</v>
      </c>
      <c r="Q347">
        <f>IFERROR(VLOOKUP("924-718057-100",Out!B:AB,8+8,0),0)</f>
        <v>0</v>
      </c>
      <c r="R347">
        <f>IFERROR(VLOOKUP("924-718057-100",Out!B:AB,9+8,0),0)</f>
        <v>0</v>
      </c>
      <c r="S347">
        <f>IFERROR(VLOOKUP("924-718057-100",Out!B:AB,10+8,0),0)</f>
        <v>0</v>
      </c>
      <c r="T347">
        <f>IFERROR(VLOOKUP("924-718057-100",Out!B:AB,11+8,0),0)</f>
        <v>0</v>
      </c>
      <c r="U347">
        <f>IFERROR(VLOOKUP("924-718057-100",Out!B:AB,12+8,0),0)</f>
        <v>0</v>
      </c>
      <c r="V347">
        <f>IFERROR(VLOOKUP("924-718057-100",Out!B:AB,13+8,0),0)</f>
        <v>0</v>
      </c>
      <c r="W347">
        <f>IFERROR(VLOOKUP("924-718057-100",Out!B:AB,14+8,0),0)</f>
        <v>0</v>
      </c>
      <c r="X347">
        <f>IFERROR(VLOOKUP("924-718057-100",Out!B:AB,15+8,0),0)</f>
        <v>0</v>
      </c>
      <c r="Y347">
        <f>IFERROR(VLOOKUP("924-718057-100",Out!B:AB,16+8,0),0)</f>
        <v>0</v>
      </c>
      <c r="Z347">
        <f>IFERROR(VLOOKUP("924-718057-100",Out!B:AB,17+8,0),0)</f>
        <v>0</v>
      </c>
      <c r="AA347">
        <f>IFERROR(VLOOKUP("924-718057-100",Out!B:AB,18+8,0),0)</f>
        <v>0</v>
      </c>
      <c r="AB347">
        <f>IFERROR(VLOOKUP("924-718057-100",Out!B:AB,19+8,0),0)</f>
        <v>0</v>
      </c>
      <c r="AC347">
        <f>IFERROR(VLOOKUP("924-718057-100",Out!B:AB,20+8,0),0)</f>
        <v>0</v>
      </c>
      <c r="AD347">
        <f>IFERROR(VLOOKUP("924-718057-100",Out!B:AB,21+8,0),0)</f>
        <v>0</v>
      </c>
      <c r="AE347">
        <f>IFERROR(VLOOKUP("924-718057-100",Out!B:AB,22+8,0),0)</f>
        <v>0</v>
      </c>
      <c r="AF347">
        <f>IFERROR(VLOOKUP("924-718057-100",Out!B:AB,23+8,0),0)</f>
        <v>0</v>
      </c>
      <c r="AG347">
        <f>IFERROR(VLOOKUP("924-718057-100",Out!B:AB,24+8,0),0)</f>
        <v>0</v>
      </c>
      <c r="AH347">
        <f>IFERROR(VLOOKUP("924-718057-100",Out!B:AB,25+8,0),0)</f>
        <v>0</v>
      </c>
      <c r="AI347">
        <f>IFERROR(VLOOKUP("924-718057-100",Out!B:AB,26+8,0),0)</f>
        <v>0</v>
      </c>
      <c r="AJ347">
        <f>IFERROR(VLOOKUP("924-718057-100",Out!B:AB,27+8,0),0)</f>
        <v>0</v>
      </c>
      <c r="AK347">
        <f>IFERROR(VLOOKUP("924-718057-100",Out!B:AB,28+8,0),0)</f>
        <v>0</v>
      </c>
      <c r="AL347">
        <f>IFERROR(VLOOKUP("924-718057-100",Out!B:AB,29+8,0),0)</f>
        <v>0</v>
      </c>
      <c r="AM347">
        <f>IFERROR(VLOOKUP("924-718057-100",Out!B:AB,30+8,0),0)</f>
        <v>0</v>
      </c>
      <c r="AN347">
        <f>IFERROR(VLOOKUP("924-718057-100",Out!B:AB,31+8,0),0)</f>
        <v>0</v>
      </c>
      <c r="AO347">
        <f>SUN(INDIRECT(ADDRESS(346,8)):INDIRECT(ADDRESS(346,39)))</f>
        <v>0</v>
      </c>
    </row>
    <row r="348" spans="1:41">
      <c r="H348" t="s">
        <v>179</v>
      </c>
      <c r="J348">
        <f>INDIRECT(ADDRESS(348,9))+INDIRECT(ADDRESS(346,10))-INDIRECT(ADDRESS(347,10))</f>
        <v>0</v>
      </c>
      <c r="K348">
        <f>INDIRECT(ADDRESS(348,10))+INDIRECT(ADDRESS(346,11))-INDIRECT(ADDRESS(347,11))</f>
        <v>0</v>
      </c>
      <c r="L348">
        <f>INDIRECT(ADDRESS(348,11))+INDIRECT(ADDRESS(346,12))-INDIRECT(ADDRESS(347,12))</f>
        <v>0</v>
      </c>
      <c r="M348">
        <f>INDIRECT(ADDRESS(348,12))+INDIRECT(ADDRESS(346,13))-INDIRECT(ADDRESS(347,13))</f>
        <v>0</v>
      </c>
      <c r="N348">
        <f>INDIRECT(ADDRESS(348,13))+INDIRECT(ADDRESS(346,14))-INDIRECT(ADDRESS(347,14))</f>
        <v>0</v>
      </c>
      <c r="O348">
        <f>INDIRECT(ADDRESS(348,14))+INDIRECT(ADDRESS(346,15))-INDIRECT(ADDRESS(347,15))</f>
        <v>0</v>
      </c>
      <c r="P348">
        <f>INDIRECT(ADDRESS(348,15))+INDIRECT(ADDRESS(346,16))-INDIRECT(ADDRESS(347,16))</f>
        <v>0</v>
      </c>
      <c r="Q348">
        <f>INDIRECT(ADDRESS(348,16))+INDIRECT(ADDRESS(346,17))-INDIRECT(ADDRESS(347,17))</f>
        <v>0</v>
      </c>
      <c r="R348">
        <f>INDIRECT(ADDRESS(348,17))+INDIRECT(ADDRESS(346,18))-INDIRECT(ADDRESS(347,18))</f>
        <v>0</v>
      </c>
      <c r="S348">
        <f>INDIRECT(ADDRESS(348,18))+INDIRECT(ADDRESS(346,19))-INDIRECT(ADDRESS(347,19))</f>
        <v>0</v>
      </c>
      <c r="T348">
        <f>INDIRECT(ADDRESS(348,19))+INDIRECT(ADDRESS(346,20))-INDIRECT(ADDRESS(347,20))</f>
        <v>0</v>
      </c>
      <c r="U348">
        <f>INDIRECT(ADDRESS(348,20))+INDIRECT(ADDRESS(346,21))-INDIRECT(ADDRESS(347,21))</f>
        <v>0</v>
      </c>
      <c r="V348">
        <f>INDIRECT(ADDRESS(348,21))+INDIRECT(ADDRESS(346,22))-INDIRECT(ADDRESS(347,22))</f>
        <v>0</v>
      </c>
      <c r="W348">
        <f>INDIRECT(ADDRESS(348,22))+INDIRECT(ADDRESS(346,23))-INDIRECT(ADDRESS(347,23))</f>
        <v>0</v>
      </c>
      <c r="X348">
        <f>INDIRECT(ADDRESS(348,23))+INDIRECT(ADDRESS(346,24))-INDIRECT(ADDRESS(347,24))</f>
        <v>0</v>
      </c>
      <c r="Y348">
        <f>INDIRECT(ADDRESS(348,24))+INDIRECT(ADDRESS(346,25))-INDIRECT(ADDRESS(347,25))</f>
        <v>0</v>
      </c>
      <c r="Z348">
        <f>INDIRECT(ADDRESS(348,25))+INDIRECT(ADDRESS(346,26))-INDIRECT(ADDRESS(347,26))</f>
        <v>0</v>
      </c>
      <c r="AA348">
        <f>INDIRECT(ADDRESS(348,26))+INDIRECT(ADDRESS(346,27))-INDIRECT(ADDRESS(347,27))</f>
        <v>0</v>
      </c>
      <c r="AB348">
        <f>INDIRECT(ADDRESS(348,27))+INDIRECT(ADDRESS(346,28))-INDIRECT(ADDRESS(347,28))</f>
        <v>0</v>
      </c>
      <c r="AC348">
        <f>INDIRECT(ADDRESS(348,28))+INDIRECT(ADDRESS(346,29))-INDIRECT(ADDRESS(347,29))</f>
        <v>0</v>
      </c>
      <c r="AD348">
        <f>INDIRECT(ADDRESS(348,29))+INDIRECT(ADDRESS(346,30))-INDIRECT(ADDRESS(347,30))</f>
        <v>0</v>
      </c>
      <c r="AE348">
        <f>INDIRECT(ADDRESS(348,30))+INDIRECT(ADDRESS(346,31))-INDIRECT(ADDRESS(347,31))</f>
        <v>0</v>
      </c>
      <c r="AF348">
        <f>INDIRECT(ADDRESS(348,31))+INDIRECT(ADDRESS(346,32))-INDIRECT(ADDRESS(347,32))</f>
        <v>0</v>
      </c>
      <c r="AG348">
        <f>INDIRECT(ADDRESS(348,32))+INDIRECT(ADDRESS(346,33))-INDIRECT(ADDRESS(347,33))</f>
        <v>0</v>
      </c>
      <c r="AH348">
        <f>INDIRECT(ADDRESS(348,33))+INDIRECT(ADDRESS(346,34))-INDIRECT(ADDRESS(347,34))</f>
        <v>0</v>
      </c>
      <c r="AI348">
        <f>INDIRECT(ADDRESS(348,34))+INDIRECT(ADDRESS(346,35))-INDIRECT(ADDRESS(347,35))</f>
        <v>0</v>
      </c>
      <c r="AJ348">
        <f>INDIRECT(ADDRESS(348,35))+INDIRECT(ADDRESS(346,36))-INDIRECT(ADDRESS(347,36))</f>
        <v>0</v>
      </c>
      <c r="AK348">
        <f>INDIRECT(ADDRESS(348,36))+INDIRECT(ADDRESS(346,37))-INDIRECT(ADDRESS(347,37))</f>
        <v>0</v>
      </c>
      <c r="AL348">
        <f>INDIRECT(ADDRESS(348,37))+INDIRECT(ADDRESS(346,38))-INDIRECT(ADDRESS(347,38))</f>
        <v>0</v>
      </c>
      <c r="AM348">
        <f>INDIRECT(ADDRESS(348,38))+INDIRECT(ADDRESS(346,39))-INDIRECT(ADDRESS(347,39))</f>
        <v>0</v>
      </c>
      <c r="AN348">
        <f>INDIRECT(ADDRESS(348,39))+INDIRECT(ADDRESS(346,40))-INDIRECT(ADDRESS(347,40))</f>
        <v>0</v>
      </c>
      <c r="AO348">
        <f>SUM(INDIRECT(ADDRESS(347,8)):INDIRECT(ADDRESS(347,39)))</f>
        <v>0</v>
      </c>
    </row>
    <row r="349" spans="1:41">
      <c r="A349" t="s">
        <v>180</v>
      </c>
      <c r="B349" t="s">
        <v>322</v>
      </c>
      <c r="C349" t="s">
        <v>309</v>
      </c>
      <c r="E349">
        <v>1</v>
      </c>
      <c r="I349" t="s">
        <v>177</v>
      </c>
    </row>
    <row r="350" spans="1:41">
      <c r="I350" t="s">
        <v>178</v>
      </c>
      <c r="J350">
        <f>IFERROR(VLOOKUP("924-718057-100",B:AB,1+8,0),0)</f>
        <v>0</v>
      </c>
      <c r="K350">
        <f>IFERROR(VLOOKUP("924-718057-100",B:AB,2+8,0),0)</f>
        <v>0</v>
      </c>
      <c r="L350">
        <f>IFERROR(VLOOKUP("924-718057-100",B:AB,3+8,0),0)</f>
        <v>0</v>
      </c>
      <c r="M350">
        <f>IFERROR(VLOOKUP("924-718057-100",B:AB,4+8,0),0)</f>
        <v>0</v>
      </c>
      <c r="N350">
        <f>IFERROR(VLOOKUP("924-718057-100",B:AB,5+8,0),0)</f>
        <v>0</v>
      </c>
      <c r="O350">
        <f>IFERROR(VLOOKUP("924-718057-100",B:AB,6+8,0),0)</f>
        <v>0</v>
      </c>
      <c r="P350">
        <f>IFERROR(VLOOKUP("924-718057-100",B:AB,7+8,0),0)</f>
        <v>0</v>
      </c>
      <c r="Q350">
        <f>IFERROR(VLOOKUP("924-718057-100",B:AB,8+8,0),0)</f>
        <v>0</v>
      </c>
      <c r="R350">
        <f>IFERROR(VLOOKUP("924-718057-100",B:AB,9+8,0),0)</f>
        <v>0</v>
      </c>
      <c r="S350">
        <f>IFERROR(VLOOKUP("924-718057-100",B:AB,10+8,0),0)</f>
        <v>0</v>
      </c>
      <c r="T350">
        <f>IFERROR(VLOOKUP("924-718057-100",B:AB,11+8,0),0)</f>
        <v>0</v>
      </c>
      <c r="U350">
        <f>IFERROR(VLOOKUP("924-718057-100",B:AB,12+8,0),0)</f>
        <v>0</v>
      </c>
      <c r="V350">
        <f>IFERROR(VLOOKUP("924-718057-100",B:AB,13+8,0),0)</f>
        <v>0</v>
      </c>
      <c r="W350">
        <f>IFERROR(VLOOKUP("924-718057-100",B:AB,14+8,0),0)</f>
        <v>0</v>
      </c>
      <c r="X350">
        <f>IFERROR(VLOOKUP("924-718057-100",B:AB,15+8,0),0)</f>
        <v>0</v>
      </c>
      <c r="Y350">
        <f>IFERROR(VLOOKUP("924-718057-100",B:AB,16+8,0),0)</f>
        <v>0</v>
      </c>
      <c r="Z350">
        <f>IFERROR(VLOOKUP("924-718057-100",B:AB,17+8,0),0)</f>
        <v>0</v>
      </c>
      <c r="AA350">
        <f>IFERROR(VLOOKUP("924-718057-100",B:AB,18+8,0),0)</f>
        <v>0</v>
      </c>
      <c r="AB350">
        <f>IFERROR(VLOOKUP("924-718057-100",B:AB,19+8,0),0)</f>
        <v>0</v>
      </c>
      <c r="AC350">
        <f>IFERROR(VLOOKUP("924-718057-100",B:AB,20+8,0),0)</f>
        <v>0</v>
      </c>
      <c r="AD350">
        <f>IFERROR(VLOOKUP("924-718057-100",B:AB,21+8,0),0)</f>
        <v>0</v>
      </c>
      <c r="AE350">
        <f>IFERROR(VLOOKUP("924-718057-100",B:AB,22+8,0),0)</f>
        <v>0</v>
      </c>
      <c r="AF350">
        <f>IFERROR(VLOOKUP("924-718057-100",B:AB,23+8,0),0)</f>
        <v>0</v>
      </c>
      <c r="AG350">
        <f>IFERROR(VLOOKUP("924-718057-100",B:AB,24+8,0),0)</f>
        <v>0</v>
      </c>
      <c r="AH350">
        <f>IFERROR(VLOOKUP("924-718057-100",B:AB,25+8,0),0)</f>
        <v>0</v>
      </c>
      <c r="AI350">
        <f>IFERROR(VLOOKUP("924-718057-100",B:AB,26+8,0),0)</f>
        <v>0</v>
      </c>
      <c r="AJ350">
        <f>IFERROR(VLOOKUP("924-718057-100",B:AB,27+8,0),0)</f>
        <v>0</v>
      </c>
      <c r="AK350">
        <f>IFERROR(VLOOKUP("924-718057-100",B:AB,28+8,0),0)</f>
        <v>0</v>
      </c>
      <c r="AL350">
        <f>IFERROR(VLOOKUP("924-718057-100",B:AB,29+8,0),0)</f>
        <v>0</v>
      </c>
      <c r="AM350">
        <f>IFERROR(VLOOKUP("924-718057-100",B:AB,30+8,0),0)</f>
        <v>0</v>
      </c>
      <c r="AN350">
        <f>IFERROR(VLOOKUP("924-718057-100",B:AB,31+8,0),0)</f>
        <v>0</v>
      </c>
      <c r="AO350">
        <f>SUN(INDIRECT(ADDRESS(349,8)):INDIRECT(ADDRESS(349,39)))</f>
        <v>0</v>
      </c>
    </row>
    <row r="351" spans="1:41">
      <c r="H351" t="s">
        <v>179</v>
      </c>
      <c r="J351">
        <f>INDIRECT(ADDRESS(351,9))+INDIRECT(ADDRESS(349,10))-INDIRECT(ADDRESS(350,10))</f>
        <v>0</v>
      </c>
      <c r="K351">
        <f>INDIRECT(ADDRESS(351,10))+INDIRECT(ADDRESS(349,11))-INDIRECT(ADDRESS(350,11))</f>
        <v>0</v>
      </c>
      <c r="L351">
        <f>INDIRECT(ADDRESS(351,11))+INDIRECT(ADDRESS(349,12))-INDIRECT(ADDRESS(350,12))</f>
        <v>0</v>
      </c>
      <c r="M351">
        <f>INDIRECT(ADDRESS(351,12))+INDIRECT(ADDRESS(349,13))-INDIRECT(ADDRESS(350,13))</f>
        <v>0</v>
      </c>
      <c r="N351">
        <f>INDIRECT(ADDRESS(351,13))+INDIRECT(ADDRESS(349,14))-INDIRECT(ADDRESS(350,14))</f>
        <v>0</v>
      </c>
      <c r="O351">
        <f>INDIRECT(ADDRESS(351,14))+INDIRECT(ADDRESS(349,15))-INDIRECT(ADDRESS(350,15))</f>
        <v>0</v>
      </c>
      <c r="P351">
        <f>INDIRECT(ADDRESS(351,15))+INDIRECT(ADDRESS(349,16))-INDIRECT(ADDRESS(350,16))</f>
        <v>0</v>
      </c>
      <c r="Q351">
        <f>INDIRECT(ADDRESS(351,16))+INDIRECT(ADDRESS(349,17))-INDIRECT(ADDRESS(350,17))</f>
        <v>0</v>
      </c>
      <c r="R351">
        <f>INDIRECT(ADDRESS(351,17))+INDIRECT(ADDRESS(349,18))-INDIRECT(ADDRESS(350,18))</f>
        <v>0</v>
      </c>
      <c r="S351">
        <f>INDIRECT(ADDRESS(351,18))+INDIRECT(ADDRESS(349,19))-INDIRECT(ADDRESS(350,19))</f>
        <v>0</v>
      </c>
      <c r="T351">
        <f>INDIRECT(ADDRESS(351,19))+INDIRECT(ADDRESS(349,20))-INDIRECT(ADDRESS(350,20))</f>
        <v>0</v>
      </c>
      <c r="U351">
        <f>INDIRECT(ADDRESS(351,20))+INDIRECT(ADDRESS(349,21))-INDIRECT(ADDRESS(350,21))</f>
        <v>0</v>
      </c>
      <c r="V351">
        <f>INDIRECT(ADDRESS(351,21))+INDIRECT(ADDRESS(349,22))-INDIRECT(ADDRESS(350,22))</f>
        <v>0</v>
      </c>
      <c r="W351">
        <f>INDIRECT(ADDRESS(351,22))+INDIRECT(ADDRESS(349,23))-INDIRECT(ADDRESS(350,23))</f>
        <v>0</v>
      </c>
      <c r="X351">
        <f>INDIRECT(ADDRESS(351,23))+INDIRECT(ADDRESS(349,24))-INDIRECT(ADDRESS(350,24))</f>
        <v>0</v>
      </c>
      <c r="Y351">
        <f>INDIRECT(ADDRESS(351,24))+INDIRECT(ADDRESS(349,25))-INDIRECT(ADDRESS(350,25))</f>
        <v>0</v>
      </c>
      <c r="Z351">
        <f>INDIRECT(ADDRESS(351,25))+INDIRECT(ADDRESS(349,26))-INDIRECT(ADDRESS(350,26))</f>
        <v>0</v>
      </c>
      <c r="AA351">
        <f>INDIRECT(ADDRESS(351,26))+INDIRECT(ADDRESS(349,27))-INDIRECT(ADDRESS(350,27))</f>
        <v>0</v>
      </c>
      <c r="AB351">
        <f>INDIRECT(ADDRESS(351,27))+INDIRECT(ADDRESS(349,28))-INDIRECT(ADDRESS(350,28))</f>
        <v>0</v>
      </c>
      <c r="AC351">
        <f>INDIRECT(ADDRESS(351,28))+INDIRECT(ADDRESS(349,29))-INDIRECT(ADDRESS(350,29))</f>
        <v>0</v>
      </c>
      <c r="AD351">
        <f>INDIRECT(ADDRESS(351,29))+INDIRECT(ADDRESS(349,30))-INDIRECT(ADDRESS(350,30))</f>
        <v>0</v>
      </c>
      <c r="AE351">
        <f>INDIRECT(ADDRESS(351,30))+INDIRECT(ADDRESS(349,31))-INDIRECT(ADDRESS(350,31))</f>
        <v>0</v>
      </c>
      <c r="AF351">
        <f>INDIRECT(ADDRESS(351,31))+INDIRECT(ADDRESS(349,32))-INDIRECT(ADDRESS(350,32))</f>
        <v>0</v>
      </c>
      <c r="AG351">
        <f>INDIRECT(ADDRESS(351,32))+INDIRECT(ADDRESS(349,33))-INDIRECT(ADDRESS(350,33))</f>
        <v>0</v>
      </c>
      <c r="AH351">
        <f>INDIRECT(ADDRESS(351,33))+INDIRECT(ADDRESS(349,34))-INDIRECT(ADDRESS(350,34))</f>
        <v>0</v>
      </c>
      <c r="AI351">
        <f>INDIRECT(ADDRESS(351,34))+INDIRECT(ADDRESS(349,35))-INDIRECT(ADDRESS(350,35))</f>
        <v>0</v>
      </c>
      <c r="AJ351">
        <f>INDIRECT(ADDRESS(351,35))+INDIRECT(ADDRESS(349,36))-INDIRECT(ADDRESS(350,36))</f>
        <v>0</v>
      </c>
      <c r="AK351">
        <f>INDIRECT(ADDRESS(351,36))+INDIRECT(ADDRESS(349,37))-INDIRECT(ADDRESS(350,37))</f>
        <v>0</v>
      </c>
      <c r="AL351">
        <f>INDIRECT(ADDRESS(351,37))+INDIRECT(ADDRESS(349,38))-INDIRECT(ADDRESS(350,38))</f>
        <v>0</v>
      </c>
      <c r="AM351">
        <f>INDIRECT(ADDRESS(351,38))+INDIRECT(ADDRESS(349,39))-INDIRECT(ADDRESS(350,39))</f>
        <v>0</v>
      </c>
      <c r="AN351">
        <f>INDIRECT(ADDRESS(351,39))+INDIRECT(ADDRESS(349,40))-INDIRECT(ADDRESS(350,40))</f>
        <v>0</v>
      </c>
      <c r="AO351">
        <f>SUM(INDIRECT(ADDRESS(350,8)):INDIRECT(ADDRESS(350,39)))</f>
        <v>0</v>
      </c>
    </row>
    <row r="352" spans="1:41">
      <c r="A352" t="s">
        <v>185</v>
      </c>
      <c r="B352" t="s">
        <v>310</v>
      </c>
      <c r="C352" t="s">
        <v>311</v>
      </c>
      <c r="E352">
        <v>1</v>
      </c>
      <c r="I352" t="s">
        <v>177</v>
      </c>
    </row>
    <row r="353" spans="1:41">
      <c r="I353" t="s">
        <v>178</v>
      </c>
      <c r="J353">
        <f>IFERROR(VLOOKUP("924-718057-100",B:AB,1+8,0),0)</f>
        <v>0</v>
      </c>
      <c r="K353">
        <f>IFERROR(VLOOKUP("924-718057-100",B:AB,2+8,0),0)</f>
        <v>0</v>
      </c>
      <c r="L353">
        <f>IFERROR(VLOOKUP("924-718057-100",B:AB,3+8,0),0)</f>
        <v>0</v>
      </c>
      <c r="M353">
        <f>IFERROR(VLOOKUP("924-718057-100",B:AB,4+8,0),0)</f>
        <v>0</v>
      </c>
      <c r="N353">
        <f>IFERROR(VLOOKUP("924-718057-100",B:AB,5+8,0),0)</f>
        <v>0</v>
      </c>
      <c r="O353">
        <f>IFERROR(VLOOKUP("924-718057-100",B:AB,6+8,0),0)</f>
        <v>0</v>
      </c>
      <c r="P353">
        <f>IFERROR(VLOOKUP("924-718057-100",B:AB,7+8,0),0)</f>
        <v>0</v>
      </c>
      <c r="Q353">
        <f>IFERROR(VLOOKUP("924-718057-100",B:AB,8+8,0),0)</f>
        <v>0</v>
      </c>
      <c r="R353">
        <f>IFERROR(VLOOKUP("924-718057-100",B:AB,9+8,0),0)</f>
        <v>0</v>
      </c>
      <c r="S353">
        <f>IFERROR(VLOOKUP("924-718057-100",B:AB,10+8,0),0)</f>
        <v>0</v>
      </c>
      <c r="T353">
        <f>IFERROR(VLOOKUP("924-718057-100",B:AB,11+8,0),0)</f>
        <v>0</v>
      </c>
      <c r="U353">
        <f>IFERROR(VLOOKUP("924-718057-100",B:AB,12+8,0),0)</f>
        <v>0</v>
      </c>
      <c r="V353">
        <f>IFERROR(VLOOKUP("924-718057-100",B:AB,13+8,0),0)</f>
        <v>0</v>
      </c>
      <c r="W353">
        <f>IFERROR(VLOOKUP("924-718057-100",B:AB,14+8,0),0)</f>
        <v>0</v>
      </c>
      <c r="X353">
        <f>IFERROR(VLOOKUP("924-718057-100",B:AB,15+8,0),0)</f>
        <v>0</v>
      </c>
      <c r="Y353">
        <f>IFERROR(VLOOKUP("924-718057-100",B:AB,16+8,0),0)</f>
        <v>0</v>
      </c>
      <c r="Z353">
        <f>IFERROR(VLOOKUP("924-718057-100",B:AB,17+8,0),0)</f>
        <v>0</v>
      </c>
      <c r="AA353">
        <f>IFERROR(VLOOKUP("924-718057-100",B:AB,18+8,0),0)</f>
        <v>0</v>
      </c>
      <c r="AB353">
        <f>IFERROR(VLOOKUP("924-718057-100",B:AB,19+8,0),0)</f>
        <v>0</v>
      </c>
      <c r="AC353">
        <f>IFERROR(VLOOKUP("924-718057-100",B:AB,20+8,0),0)</f>
        <v>0</v>
      </c>
      <c r="AD353">
        <f>IFERROR(VLOOKUP("924-718057-100",B:AB,21+8,0),0)</f>
        <v>0</v>
      </c>
      <c r="AE353">
        <f>IFERROR(VLOOKUP("924-718057-100",B:AB,22+8,0),0)</f>
        <v>0</v>
      </c>
      <c r="AF353">
        <f>IFERROR(VLOOKUP("924-718057-100",B:AB,23+8,0),0)</f>
        <v>0</v>
      </c>
      <c r="AG353">
        <f>IFERROR(VLOOKUP("924-718057-100",B:AB,24+8,0),0)</f>
        <v>0</v>
      </c>
      <c r="AH353">
        <f>IFERROR(VLOOKUP("924-718057-100",B:AB,25+8,0),0)</f>
        <v>0</v>
      </c>
      <c r="AI353">
        <f>IFERROR(VLOOKUP("924-718057-100",B:AB,26+8,0),0)</f>
        <v>0</v>
      </c>
      <c r="AJ353">
        <f>IFERROR(VLOOKUP("924-718057-100",B:AB,27+8,0),0)</f>
        <v>0</v>
      </c>
      <c r="AK353">
        <f>IFERROR(VLOOKUP("924-718057-100",B:AB,28+8,0),0)</f>
        <v>0</v>
      </c>
      <c r="AL353">
        <f>IFERROR(VLOOKUP("924-718057-100",B:AB,29+8,0),0)</f>
        <v>0</v>
      </c>
      <c r="AM353">
        <f>IFERROR(VLOOKUP("924-718057-100",B:AB,30+8,0),0)</f>
        <v>0</v>
      </c>
      <c r="AN353">
        <f>IFERROR(VLOOKUP("924-718057-100",B:AB,31+8,0),0)</f>
        <v>0</v>
      </c>
      <c r="AO353">
        <f>SUN(INDIRECT(ADDRESS(352,8)):INDIRECT(ADDRESS(352,39)))</f>
        <v>0</v>
      </c>
    </row>
    <row r="354" spans="1:41">
      <c r="H354" t="s">
        <v>179</v>
      </c>
      <c r="J354">
        <f>INDIRECT(ADDRESS(354,9))+INDIRECT(ADDRESS(352,10))-INDIRECT(ADDRESS(353,10))</f>
        <v>0</v>
      </c>
      <c r="K354">
        <f>INDIRECT(ADDRESS(354,10))+INDIRECT(ADDRESS(352,11))-INDIRECT(ADDRESS(353,11))</f>
        <v>0</v>
      </c>
      <c r="L354">
        <f>INDIRECT(ADDRESS(354,11))+INDIRECT(ADDRESS(352,12))-INDIRECT(ADDRESS(353,12))</f>
        <v>0</v>
      </c>
      <c r="M354">
        <f>INDIRECT(ADDRESS(354,12))+INDIRECT(ADDRESS(352,13))-INDIRECT(ADDRESS(353,13))</f>
        <v>0</v>
      </c>
      <c r="N354">
        <f>INDIRECT(ADDRESS(354,13))+INDIRECT(ADDRESS(352,14))-INDIRECT(ADDRESS(353,14))</f>
        <v>0</v>
      </c>
      <c r="O354">
        <f>INDIRECT(ADDRESS(354,14))+INDIRECT(ADDRESS(352,15))-INDIRECT(ADDRESS(353,15))</f>
        <v>0</v>
      </c>
      <c r="P354">
        <f>INDIRECT(ADDRESS(354,15))+INDIRECT(ADDRESS(352,16))-INDIRECT(ADDRESS(353,16))</f>
        <v>0</v>
      </c>
      <c r="Q354">
        <f>INDIRECT(ADDRESS(354,16))+INDIRECT(ADDRESS(352,17))-INDIRECT(ADDRESS(353,17))</f>
        <v>0</v>
      </c>
      <c r="R354">
        <f>INDIRECT(ADDRESS(354,17))+INDIRECT(ADDRESS(352,18))-INDIRECT(ADDRESS(353,18))</f>
        <v>0</v>
      </c>
      <c r="S354">
        <f>INDIRECT(ADDRESS(354,18))+INDIRECT(ADDRESS(352,19))-INDIRECT(ADDRESS(353,19))</f>
        <v>0</v>
      </c>
      <c r="T354">
        <f>INDIRECT(ADDRESS(354,19))+INDIRECT(ADDRESS(352,20))-INDIRECT(ADDRESS(353,20))</f>
        <v>0</v>
      </c>
      <c r="U354">
        <f>INDIRECT(ADDRESS(354,20))+INDIRECT(ADDRESS(352,21))-INDIRECT(ADDRESS(353,21))</f>
        <v>0</v>
      </c>
      <c r="V354">
        <f>INDIRECT(ADDRESS(354,21))+INDIRECT(ADDRESS(352,22))-INDIRECT(ADDRESS(353,22))</f>
        <v>0</v>
      </c>
      <c r="W354">
        <f>INDIRECT(ADDRESS(354,22))+INDIRECT(ADDRESS(352,23))-INDIRECT(ADDRESS(353,23))</f>
        <v>0</v>
      </c>
      <c r="X354">
        <f>INDIRECT(ADDRESS(354,23))+INDIRECT(ADDRESS(352,24))-INDIRECT(ADDRESS(353,24))</f>
        <v>0</v>
      </c>
      <c r="Y354">
        <f>INDIRECT(ADDRESS(354,24))+INDIRECT(ADDRESS(352,25))-INDIRECT(ADDRESS(353,25))</f>
        <v>0</v>
      </c>
      <c r="Z354">
        <f>INDIRECT(ADDRESS(354,25))+INDIRECT(ADDRESS(352,26))-INDIRECT(ADDRESS(353,26))</f>
        <v>0</v>
      </c>
      <c r="AA354">
        <f>INDIRECT(ADDRESS(354,26))+INDIRECT(ADDRESS(352,27))-INDIRECT(ADDRESS(353,27))</f>
        <v>0</v>
      </c>
      <c r="AB354">
        <f>INDIRECT(ADDRESS(354,27))+INDIRECT(ADDRESS(352,28))-INDIRECT(ADDRESS(353,28))</f>
        <v>0</v>
      </c>
      <c r="AC354">
        <f>INDIRECT(ADDRESS(354,28))+INDIRECT(ADDRESS(352,29))-INDIRECT(ADDRESS(353,29))</f>
        <v>0</v>
      </c>
      <c r="AD354">
        <f>INDIRECT(ADDRESS(354,29))+INDIRECT(ADDRESS(352,30))-INDIRECT(ADDRESS(353,30))</f>
        <v>0</v>
      </c>
      <c r="AE354">
        <f>INDIRECT(ADDRESS(354,30))+INDIRECT(ADDRESS(352,31))-INDIRECT(ADDRESS(353,31))</f>
        <v>0</v>
      </c>
      <c r="AF354">
        <f>INDIRECT(ADDRESS(354,31))+INDIRECT(ADDRESS(352,32))-INDIRECT(ADDRESS(353,32))</f>
        <v>0</v>
      </c>
      <c r="AG354">
        <f>INDIRECT(ADDRESS(354,32))+INDIRECT(ADDRESS(352,33))-INDIRECT(ADDRESS(353,33))</f>
        <v>0</v>
      </c>
      <c r="AH354">
        <f>INDIRECT(ADDRESS(354,33))+INDIRECT(ADDRESS(352,34))-INDIRECT(ADDRESS(353,34))</f>
        <v>0</v>
      </c>
      <c r="AI354">
        <f>INDIRECT(ADDRESS(354,34))+INDIRECT(ADDRESS(352,35))-INDIRECT(ADDRESS(353,35))</f>
        <v>0</v>
      </c>
      <c r="AJ354">
        <f>INDIRECT(ADDRESS(354,35))+INDIRECT(ADDRESS(352,36))-INDIRECT(ADDRESS(353,36))</f>
        <v>0</v>
      </c>
      <c r="AK354">
        <f>INDIRECT(ADDRESS(354,36))+INDIRECT(ADDRESS(352,37))-INDIRECT(ADDRESS(353,37))</f>
        <v>0</v>
      </c>
      <c r="AL354">
        <f>INDIRECT(ADDRESS(354,37))+INDIRECT(ADDRESS(352,38))-INDIRECT(ADDRESS(353,38))</f>
        <v>0</v>
      </c>
      <c r="AM354">
        <f>INDIRECT(ADDRESS(354,38))+INDIRECT(ADDRESS(352,39))-INDIRECT(ADDRESS(353,39))</f>
        <v>0</v>
      </c>
      <c r="AN354">
        <f>INDIRECT(ADDRESS(354,39))+INDIRECT(ADDRESS(352,40))-INDIRECT(ADDRESS(353,40))</f>
        <v>0</v>
      </c>
      <c r="AO354">
        <f>SUM(INDIRECT(ADDRESS(353,8)):INDIRECT(ADDRESS(353,39)))</f>
        <v>0</v>
      </c>
    </row>
    <row r="355" spans="1:41">
      <c r="A355" t="s">
        <v>185</v>
      </c>
      <c r="B355" t="s">
        <v>312</v>
      </c>
      <c r="C355" t="s">
        <v>313</v>
      </c>
      <c r="E355">
        <v>1</v>
      </c>
      <c r="I355" t="s">
        <v>177</v>
      </c>
    </row>
    <row r="356" spans="1:41">
      <c r="I356" t="s">
        <v>178</v>
      </c>
      <c r="J356">
        <f>IFERROR(VLOOKUP("924-718057-100",B:AB,1+8,0),0)</f>
        <v>0</v>
      </c>
      <c r="K356">
        <f>IFERROR(VLOOKUP("924-718057-100",B:AB,2+8,0),0)</f>
        <v>0</v>
      </c>
      <c r="L356">
        <f>IFERROR(VLOOKUP("924-718057-100",B:AB,3+8,0),0)</f>
        <v>0</v>
      </c>
      <c r="M356">
        <f>IFERROR(VLOOKUP("924-718057-100",B:AB,4+8,0),0)</f>
        <v>0</v>
      </c>
      <c r="N356">
        <f>IFERROR(VLOOKUP("924-718057-100",B:AB,5+8,0),0)</f>
        <v>0</v>
      </c>
      <c r="O356">
        <f>IFERROR(VLOOKUP("924-718057-100",B:AB,6+8,0),0)</f>
        <v>0</v>
      </c>
      <c r="P356">
        <f>IFERROR(VLOOKUP("924-718057-100",B:AB,7+8,0),0)</f>
        <v>0</v>
      </c>
      <c r="Q356">
        <f>IFERROR(VLOOKUP("924-718057-100",B:AB,8+8,0),0)</f>
        <v>0</v>
      </c>
      <c r="R356">
        <f>IFERROR(VLOOKUP("924-718057-100",B:AB,9+8,0),0)</f>
        <v>0</v>
      </c>
      <c r="S356">
        <f>IFERROR(VLOOKUP("924-718057-100",B:AB,10+8,0),0)</f>
        <v>0</v>
      </c>
      <c r="T356">
        <f>IFERROR(VLOOKUP("924-718057-100",B:AB,11+8,0),0)</f>
        <v>0</v>
      </c>
      <c r="U356">
        <f>IFERROR(VLOOKUP("924-718057-100",B:AB,12+8,0),0)</f>
        <v>0</v>
      </c>
      <c r="V356">
        <f>IFERROR(VLOOKUP("924-718057-100",B:AB,13+8,0),0)</f>
        <v>0</v>
      </c>
      <c r="W356">
        <f>IFERROR(VLOOKUP("924-718057-100",B:AB,14+8,0),0)</f>
        <v>0</v>
      </c>
      <c r="X356">
        <f>IFERROR(VLOOKUP("924-718057-100",B:AB,15+8,0),0)</f>
        <v>0</v>
      </c>
      <c r="Y356">
        <f>IFERROR(VLOOKUP("924-718057-100",B:AB,16+8,0),0)</f>
        <v>0</v>
      </c>
      <c r="Z356">
        <f>IFERROR(VLOOKUP("924-718057-100",B:AB,17+8,0),0)</f>
        <v>0</v>
      </c>
      <c r="AA356">
        <f>IFERROR(VLOOKUP("924-718057-100",B:AB,18+8,0),0)</f>
        <v>0</v>
      </c>
      <c r="AB356">
        <f>IFERROR(VLOOKUP("924-718057-100",B:AB,19+8,0),0)</f>
        <v>0</v>
      </c>
      <c r="AC356">
        <f>IFERROR(VLOOKUP("924-718057-100",B:AB,20+8,0),0)</f>
        <v>0</v>
      </c>
      <c r="AD356">
        <f>IFERROR(VLOOKUP("924-718057-100",B:AB,21+8,0),0)</f>
        <v>0</v>
      </c>
      <c r="AE356">
        <f>IFERROR(VLOOKUP("924-718057-100",B:AB,22+8,0),0)</f>
        <v>0</v>
      </c>
      <c r="AF356">
        <f>IFERROR(VLOOKUP("924-718057-100",B:AB,23+8,0),0)</f>
        <v>0</v>
      </c>
      <c r="AG356">
        <f>IFERROR(VLOOKUP("924-718057-100",B:AB,24+8,0),0)</f>
        <v>0</v>
      </c>
      <c r="AH356">
        <f>IFERROR(VLOOKUP("924-718057-100",B:AB,25+8,0),0)</f>
        <v>0</v>
      </c>
      <c r="AI356">
        <f>IFERROR(VLOOKUP("924-718057-100",B:AB,26+8,0),0)</f>
        <v>0</v>
      </c>
      <c r="AJ356">
        <f>IFERROR(VLOOKUP("924-718057-100",B:AB,27+8,0),0)</f>
        <v>0</v>
      </c>
      <c r="AK356">
        <f>IFERROR(VLOOKUP("924-718057-100",B:AB,28+8,0),0)</f>
        <v>0</v>
      </c>
      <c r="AL356">
        <f>IFERROR(VLOOKUP("924-718057-100",B:AB,29+8,0),0)</f>
        <v>0</v>
      </c>
      <c r="AM356">
        <f>IFERROR(VLOOKUP("924-718057-100",B:AB,30+8,0),0)</f>
        <v>0</v>
      </c>
      <c r="AN356">
        <f>IFERROR(VLOOKUP("924-718057-100",B:AB,31+8,0),0)</f>
        <v>0</v>
      </c>
      <c r="AO356">
        <f>SUN(INDIRECT(ADDRESS(355,8)):INDIRECT(ADDRESS(355,39)))</f>
        <v>0</v>
      </c>
    </row>
    <row r="357" spans="1:41">
      <c r="H357" t="s">
        <v>179</v>
      </c>
      <c r="J357">
        <f>INDIRECT(ADDRESS(357,9))+INDIRECT(ADDRESS(355,10))-INDIRECT(ADDRESS(356,10))</f>
        <v>0</v>
      </c>
      <c r="K357">
        <f>INDIRECT(ADDRESS(357,10))+INDIRECT(ADDRESS(355,11))-INDIRECT(ADDRESS(356,11))</f>
        <v>0</v>
      </c>
      <c r="L357">
        <f>INDIRECT(ADDRESS(357,11))+INDIRECT(ADDRESS(355,12))-INDIRECT(ADDRESS(356,12))</f>
        <v>0</v>
      </c>
      <c r="M357">
        <f>INDIRECT(ADDRESS(357,12))+INDIRECT(ADDRESS(355,13))-INDIRECT(ADDRESS(356,13))</f>
        <v>0</v>
      </c>
      <c r="N357">
        <f>INDIRECT(ADDRESS(357,13))+INDIRECT(ADDRESS(355,14))-INDIRECT(ADDRESS(356,14))</f>
        <v>0</v>
      </c>
      <c r="O357">
        <f>INDIRECT(ADDRESS(357,14))+INDIRECT(ADDRESS(355,15))-INDIRECT(ADDRESS(356,15))</f>
        <v>0</v>
      </c>
      <c r="P357">
        <f>INDIRECT(ADDRESS(357,15))+INDIRECT(ADDRESS(355,16))-INDIRECT(ADDRESS(356,16))</f>
        <v>0</v>
      </c>
      <c r="Q357">
        <f>INDIRECT(ADDRESS(357,16))+INDIRECT(ADDRESS(355,17))-INDIRECT(ADDRESS(356,17))</f>
        <v>0</v>
      </c>
      <c r="R357">
        <f>INDIRECT(ADDRESS(357,17))+INDIRECT(ADDRESS(355,18))-INDIRECT(ADDRESS(356,18))</f>
        <v>0</v>
      </c>
      <c r="S357">
        <f>INDIRECT(ADDRESS(357,18))+INDIRECT(ADDRESS(355,19))-INDIRECT(ADDRESS(356,19))</f>
        <v>0</v>
      </c>
      <c r="T357">
        <f>INDIRECT(ADDRESS(357,19))+INDIRECT(ADDRESS(355,20))-INDIRECT(ADDRESS(356,20))</f>
        <v>0</v>
      </c>
      <c r="U357">
        <f>INDIRECT(ADDRESS(357,20))+INDIRECT(ADDRESS(355,21))-INDIRECT(ADDRESS(356,21))</f>
        <v>0</v>
      </c>
      <c r="V357">
        <f>INDIRECT(ADDRESS(357,21))+INDIRECT(ADDRESS(355,22))-INDIRECT(ADDRESS(356,22))</f>
        <v>0</v>
      </c>
      <c r="W357">
        <f>INDIRECT(ADDRESS(357,22))+INDIRECT(ADDRESS(355,23))-INDIRECT(ADDRESS(356,23))</f>
        <v>0</v>
      </c>
      <c r="X357">
        <f>INDIRECT(ADDRESS(357,23))+INDIRECT(ADDRESS(355,24))-INDIRECT(ADDRESS(356,24))</f>
        <v>0</v>
      </c>
      <c r="Y357">
        <f>INDIRECT(ADDRESS(357,24))+INDIRECT(ADDRESS(355,25))-INDIRECT(ADDRESS(356,25))</f>
        <v>0</v>
      </c>
      <c r="Z357">
        <f>INDIRECT(ADDRESS(357,25))+INDIRECT(ADDRESS(355,26))-INDIRECT(ADDRESS(356,26))</f>
        <v>0</v>
      </c>
      <c r="AA357">
        <f>INDIRECT(ADDRESS(357,26))+INDIRECT(ADDRESS(355,27))-INDIRECT(ADDRESS(356,27))</f>
        <v>0</v>
      </c>
      <c r="AB357">
        <f>INDIRECT(ADDRESS(357,27))+INDIRECT(ADDRESS(355,28))-INDIRECT(ADDRESS(356,28))</f>
        <v>0</v>
      </c>
      <c r="AC357">
        <f>INDIRECT(ADDRESS(357,28))+INDIRECT(ADDRESS(355,29))-INDIRECT(ADDRESS(356,29))</f>
        <v>0</v>
      </c>
      <c r="AD357">
        <f>INDIRECT(ADDRESS(357,29))+INDIRECT(ADDRESS(355,30))-INDIRECT(ADDRESS(356,30))</f>
        <v>0</v>
      </c>
      <c r="AE357">
        <f>INDIRECT(ADDRESS(357,30))+INDIRECT(ADDRESS(355,31))-INDIRECT(ADDRESS(356,31))</f>
        <v>0</v>
      </c>
      <c r="AF357">
        <f>INDIRECT(ADDRESS(357,31))+INDIRECT(ADDRESS(355,32))-INDIRECT(ADDRESS(356,32))</f>
        <v>0</v>
      </c>
      <c r="AG357">
        <f>INDIRECT(ADDRESS(357,32))+INDIRECT(ADDRESS(355,33))-INDIRECT(ADDRESS(356,33))</f>
        <v>0</v>
      </c>
      <c r="AH357">
        <f>INDIRECT(ADDRESS(357,33))+INDIRECT(ADDRESS(355,34))-INDIRECT(ADDRESS(356,34))</f>
        <v>0</v>
      </c>
      <c r="AI357">
        <f>INDIRECT(ADDRESS(357,34))+INDIRECT(ADDRESS(355,35))-INDIRECT(ADDRESS(356,35))</f>
        <v>0</v>
      </c>
      <c r="AJ357">
        <f>INDIRECT(ADDRESS(357,35))+INDIRECT(ADDRESS(355,36))-INDIRECT(ADDRESS(356,36))</f>
        <v>0</v>
      </c>
      <c r="AK357">
        <f>INDIRECT(ADDRESS(357,36))+INDIRECT(ADDRESS(355,37))-INDIRECT(ADDRESS(356,37))</f>
        <v>0</v>
      </c>
      <c r="AL357">
        <f>INDIRECT(ADDRESS(357,37))+INDIRECT(ADDRESS(355,38))-INDIRECT(ADDRESS(356,38))</f>
        <v>0</v>
      </c>
      <c r="AM357">
        <f>INDIRECT(ADDRESS(357,38))+INDIRECT(ADDRESS(355,39))-INDIRECT(ADDRESS(356,39))</f>
        <v>0</v>
      </c>
      <c r="AN357">
        <f>INDIRECT(ADDRESS(357,39))+INDIRECT(ADDRESS(355,40))-INDIRECT(ADDRESS(356,40))</f>
        <v>0</v>
      </c>
      <c r="AO357">
        <f>SUM(INDIRECT(ADDRESS(356,8)):INDIRECT(ADDRESS(356,39)))</f>
        <v>0</v>
      </c>
    </row>
    <row r="358" spans="1:41">
      <c r="A358" t="s">
        <v>185</v>
      </c>
      <c r="B358" t="s">
        <v>314</v>
      </c>
      <c r="C358" t="s">
        <v>315</v>
      </c>
      <c r="E358">
        <v>2</v>
      </c>
      <c r="I358" t="s">
        <v>177</v>
      </c>
    </row>
    <row r="359" spans="1:41">
      <c r="I359" t="s">
        <v>178</v>
      </c>
      <c r="J359">
        <f>IFERROR(VLOOKUP("924-718057-100",B:AB,1+8,0),0)</f>
        <v>0</v>
      </c>
      <c r="K359">
        <f>IFERROR(VLOOKUP("924-718057-100",B:AB,2+8,0),0)</f>
        <v>0</v>
      </c>
      <c r="L359">
        <f>IFERROR(VLOOKUP("924-718057-100",B:AB,3+8,0),0)</f>
        <v>0</v>
      </c>
      <c r="M359">
        <f>IFERROR(VLOOKUP("924-718057-100",B:AB,4+8,0),0)</f>
        <v>0</v>
      </c>
      <c r="N359">
        <f>IFERROR(VLOOKUP("924-718057-100",B:AB,5+8,0),0)</f>
        <v>0</v>
      </c>
      <c r="O359">
        <f>IFERROR(VLOOKUP("924-718057-100",B:AB,6+8,0),0)</f>
        <v>0</v>
      </c>
      <c r="P359">
        <f>IFERROR(VLOOKUP("924-718057-100",B:AB,7+8,0),0)</f>
        <v>0</v>
      </c>
      <c r="Q359">
        <f>IFERROR(VLOOKUP("924-718057-100",B:AB,8+8,0),0)</f>
        <v>0</v>
      </c>
      <c r="R359">
        <f>IFERROR(VLOOKUP("924-718057-100",B:AB,9+8,0),0)</f>
        <v>0</v>
      </c>
      <c r="S359">
        <f>IFERROR(VLOOKUP("924-718057-100",B:AB,10+8,0),0)</f>
        <v>0</v>
      </c>
      <c r="T359">
        <f>IFERROR(VLOOKUP("924-718057-100",B:AB,11+8,0),0)</f>
        <v>0</v>
      </c>
      <c r="U359">
        <f>IFERROR(VLOOKUP("924-718057-100",B:AB,12+8,0),0)</f>
        <v>0</v>
      </c>
      <c r="V359">
        <f>IFERROR(VLOOKUP("924-718057-100",B:AB,13+8,0),0)</f>
        <v>0</v>
      </c>
      <c r="W359">
        <f>IFERROR(VLOOKUP("924-718057-100",B:AB,14+8,0),0)</f>
        <v>0</v>
      </c>
      <c r="X359">
        <f>IFERROR(VLOOKUP("924-718057-100",B:AB,15+8,0),0)</f>
        <v>0</v>
      </c>
      <c r="Y359">
        <f>IFERROR(VLOOKUP("924-718057-100",B:AB,16+8,0),0)</f>
        <v>0</v>
      </c>
      <c r="Z359">
        <f>IFERROR(VLOOKUP("924-718057-100",B:AB,17+8,0),0)</f>
        <v>0</v>
      </c>
      <c r="AA359">
        <f>IFERROR(VLOOKUP("924-718057-100",B:AB,18+8,0),0)</f>
        <v>0</v>
      </c>
      <c r="AB359">
        <f>IFERROR(VLOOKUP("924-718057-100",B:AB,19+8,0),0)</f>
        <v>0</v>
      </c>
      <c r="AC359">
        <f>IFERROR(VLOOKUP("924-718057-100",B:AB,20+8,0),0)</f>
        <v>0</v>
      </c>
      <c r="AD359">
        <f>IFERROR(VLOOKUP("924-718057-100",B:AB,21+8,0),0)</f>
        <v>0</v>
      </c>
      <c r="AE359">
        <f>IFERROR(VLOOKUP("924-718057-100",B:AB,22+8,0),0)</f>
        <v>0</v>
      </c>
      <c r="AF359">
        <f>IFERROR(VLOOKUP("924-718057-100",B:AB,23+8,0),0)</f>
        <v>0</v>
      </c>
      <c r="AG359">
        <f>IFERROR(VLOOKUP("924-718057-100",B:AB,24+8,0),0)</f>
        <v>0</v>
      </c>
      <c r="AH359">
        <f>IFERROR(VLOOKUP("924-718057-100",B:AB,25+8,0),0)</f>
        <v>0</v>
      </c>
      <c r="AI359">
        <f>IFERROR(VLOOKUP("924-718057-100",B:AB,26+8,0),0)</f>
        <v>0</v>
      </c>
      <c r="AJ359">
        <f>IFERROR(VLOOKUP("924-718057-100",B:AB,27+8,0),0)</f>
        <v>0</v>
      </c>
      <c r="AK359">
        <f>IFERROR(VLOOKUP("924-718057-100",B:AB,28+8,0),0)</f>
        <v>0</v>
      </c>
      <c r="AL359">
        <f>IFERROR(VLOOKUP("924-718057-100",B:AB,29+8,0),0)</f>
        <v>0</v>
      </c>
      <c r="AM359">
        <f>IFERROR(VLOOKUP("924-718057-100",B:AB,30+8,0),0)</f>
        <v>0</v>
      </c>
      <c r="AN359">
        <f>IFERROR(VLOOKUP("924-718057-100",B:AB,31+8,0),0)</f>
        <v>0</v>
      </c>
      <c r="AO359">
        <f>SUN(INDIRECT(ADDRESS(358,8)):INDIRECT(ADDRESS(358,39)))</f>
        <v>0</v>
      </c>
    </row>
    <row r="360" spans="1:41">
      <c r="H360" t="s">
        <v>179</v>
      </c>
      <c r="J360">
        <f>INDIRECT(ADDRESS(360,9))+INDIRECT(ADDRESS(358,10))-INDIRECT(ADDRESS(359,10))</f>
        <v>0</v>
      </c>
      <c r="K360">
        <f>INDIRECT(ADDRESS(360,10))+INDIRECT(ADDRESS(358,11))-INDIRECT(ADDRESS(359,11))</f>
        <v>0</v>
      </c>
      <c r="L360">
        <f>INDIRECT(ADDRESS(360,11))+INDIRECT(ADDRESS(358,12))-INDIRECT(ADDRESS(359,12))</f>
        <v>0</v>
      </c>
      <c r="M360">
        <f>INDIRECT(ADDRESS(360,12))+INDIRECT(ADDRESS(358,13))-INDIRECT(ADDRESS(359,13))</f>
        <v>0</v>
      </c>
      <c r="N360">
        <f>INDIRECT(ADDRESS(360,13))+INDIRECT(ADDRESS(358,14))-INDIRECT(ADDRESS(359,14))</f>
        <v>0</v>
      </c>
      <c r="O360">
        <f>INDIRECT(ADDRESS(360,14))+INDIRECT(ADDRESS(358,15))-INDIRECT(ADDRESS(359,15))</f>
        <v>0</v>
      </c>
      <c r="P360">
        <f>INDIRECT(ADDRESS(360,15))+INDIRECT(ADDRESS(358,16))-INDIRECT(ADDRESS(359,16))</f>
        <v>0</v>
      </c>
      <c r="Q360">
        <f>INDIRECT(ADDRESS(360,16))+INDIRECT(ADDRESS(358,17))-INDIRECT(ADDRESS(359,17))</f>
        <v>0</v>
      </c>
      <c r="R360">
        <f>INDIRECT(ADDRESS(360,17))+INDIRECT(ADDRESS(358,18))-INDIRECT(ADDRESS(359,18))</f>
        <v>0</v>
      </c>
      <c r="S360">
        <f>INDIRECT(ADDRESS(360,18))+INDIRECT(ADDRESS(358,19))-INDIRECT(ADDRESS(359,19))</f>
        <v>0</v>
      </c>
      <c r="T360">
        <f>INDIRECT(ADDRESS(360,19))+INDIRECT(ADDRESS(358,20))-INDIRECT(ADDRESS(359,20))</f>
        <v>0</v>
      </c>
      <c r="U360">
        <f>INDIRECT(ADDRESS(360,20))+INDIRECT(ADDRESS(358,21))-INDIRECT(ADDRESS(359,21))</f>
        <v>0</v>
      </c>
      <c r="V360">
        <f>INDIRECT(ADDRESS(360,21))+INDIRECT(ADDRESS(358,22))-INDIRECT(ADDRESS(359,22))</f>
        <v>0</v>
      </c>
      <c r="W360">
        <f>INDIRECT(ADDRESS(360,22))+INDIRECT(ADDRESS(358,23))-INDIRECT(ADDRESS(359,23))</f>
        <v>0</v>
      </c>
      <c r="X360">
        <f>INDIRECT(ADDRESS(360,23))+INDIRECT(ADDRESS(358,24))-INDIRECT(ADDRESS(359,24))</f>
        <v>0</v>
      </c>
      <c r="Y360">
        <f>INDIRECT(ADDRESS(360,24))+INDIRECT(ADDRESS(358,25))-INDIRECT(ADDRESS(359,25))</f>
        <v>0</v>
      </c>
      <c r="Z360">
        <f>INDIRECT(ADDRESS(360,25))+INDIRECT(ADDRESS(358,26))-INDIRECT(ADDRESS(359,26))</f>
        <v>0</v>
      </c>
      <c r="AA360">
        <f>INDIRECT(ADDRESS(360,26))+INDIRECT(ADDRESS(358,27))-INDIRECT(ADDRESS(359,27))</f>
        <v>0</v>
      </c>
      <c r="AB360">
        <f>INDIRECT(ADDRESS(360,27))+INDIRECT(ADDRESS(358,28))-INDIRECT(ADDRESS(359,28))</f>
        <v>0</v>
      </c>
      <c r="AC360">
        <f>INDIRECT(ADDRESS(360,28))+INDIRECT(ADDRESS(358,29))-INDIRECT(ADDRESS(359,29))</f>
        <v>0</v>
      </c>
      <c r="AD360">
        <f>INDIRECT(ADDRESS(360,29))+INDIRECT(ADDRESS(358,30))-INDIRECT(ADDRESS(359,30))</f>
        <v>0</v>
      </c>
      <c r="AE360">
        <f>INDIRECT(ADDRESS(360,30))+INDIRECT(ADDRESS(358,31))-INDIRECT(ADDRESS(359,31))</f>
        <v>0</v>
      </c>
      <c r="AF360">
        <f>INDIRECT(ADDRESS(360,31))+INDIRECT(ADDRESS(358,32))-INDIRECT(ADDRESS(359,32))</f>
        <v>0</v>
      </c>
      <c r="AG360">
        <f>INDIRECT(ADDRESS(360,32))+INDIRECT(ADDRESS(358,33))-INDIRECT(ADDRESS(359,33))</f>
        <v>0</v>
      </c>
      <c r="AH360">
        <f>INDIRECT(ADDRESS(360,33))+INDIRECT(ADDRESS(358,34))-INDIRECT(ADDRESS(359,34))</f>
        <v>0</v>
      </c>
      <c r="AI360">
        <f>INDIRECT(ADDRESS(360,34))+INDIRECT(ADDRESS(358,35))-INDIRECT(ADDRESS(359,35))</f>
        <v>0</v>
      </c>
      <c r="AJ360">
        <f>INDIRECT(ADDRESS(360,35))+INDIRECT(ADDRESS(358,36))-INDIRECT(ADDRESS(359,36))</f>
        <v>0</v>
      </c>
      <c r="AK360">
        <f>INDIRECT(ADDRESS(360,36))+INDIRECT(ADDRESS(358,37))-INDIRECT(ADDRESS(359,37))</f>
        <v>0</v>
      </c>
      <c r="AL360">
        <f>INDIRECT(ADDRESS(360,37))+INDIRECT(ADDRESS(358,38))-INDIRECT(ADDRESS(359,38))</f>
        <v>0</v>
      </c>
      <c r="AM360">
        <f>INDIRECT(ADDRESS(360,38))+INDIRECT(ADDRESS(358,39))-INDIRECT(ADDRESS(359,39))</f>
        <v>0</v>
      </c>
      <c r="AN360">
        <f>INDIRECT(ADDRESS(360,39))+INDIRECT(ADDRESS(358,40))-INDIRECT(ADDRESS(359,40))</f>
        <v>0</v>
      </c>
      <c r="AO360">
        <f>SUM(INDIRECT(ADDRESS(359,8)):INDIRECT(ADDRESS(359,39)))</f>
        <v>0</v>
      </c>
    </row>
    <row r="361" spans="1:41">
      <c r="A361" t="s">
        <v>185</v>
      </c>
      <c r="B361" t="s">
        <v>316</v>
      </c>
      <c r="C361" t="s">
        <v>317</v>
      </c>
      <c r="E361">
        <v>1</v>
      </c>
      <c r="I361" t="s">
        <v>177</v>
      </c>
    </row>
    <row r="362" spans="1:41">
      <c r="I362" t="s">
        <v>178</v>
      </c>
      <c r="J362">
        <f>IFERROR(VLOOKUP("924-718057-100",B:AB,1+8,0),0)</f>
        <v>0</v>
      </c>
      <c r="K362">
        <f>IFERROR(VLOOKUP("924-718057-100",B:AB,2+8,0),0)</f>
        <v>0</v>
      </c>
      <c r="L362">
        <f>IFERROR(VLOOKUP("924-718057-100",B:AB,3+8,0),0)</f>
        <v>0</v>
      </c>
      <c r="M362">
        <f>IFERROR(VLOOKUP("924-718057-100",B:AB,4+8,0),0)</f>
        <v>0</v>
      </c>
      <c r="N362">
        <f>IFERROR(VLOOKUP("924-718057-100",B:AB,5+8,0),0)</f>
        <v>0</v>
      </c>
      <c r="O362">
        <f>IFERROR(VLOOKUP("924-718057-100",B:AB,6+8,0),0)</f>
        <v>0</v>
      </c>
      <c r="P362">
        <f>IFERROR(VLOOKUP("924-718057-100",B:AB,7+8,0),0)</f>
        <v>0</v>
      </c>
      <c r="Q362">
        <f>IFERROR(VLOOKUP("924-718057-100",B:AB,8+8,0),0)</f>
        <v>0</v>
      </c>
      <c r="R362">
        <f>IFERROR(VLOOKUP("924-718057-100",B:AB,9+8,0),0)</f>
        <v>0</v>
      </c>
      <c r="S362">
        <f>IFERROR(VLOOKUP("924-718057-100",B:AB,10+8,0),0)</f>
        <v>0</v>
      </c>
      <c r="T362">
        <f>IFERROR(VLOOKUP("924-718057-100",B:AB,11+8,0),0)</f>
        <v>0</v>
      </c>
      <c r="U362">
        <f>IFERROR(VLOOKUP("924-718057-100",B:AB,12+8,0),0)</f>
        <v>0</v>
      </c>
      <c r="V362">
        <f>IFERROR(VLOOKUP("924-718057-100",B:AB,13+8,0),0)</f>
        <v>0</v>
      </c>
      <c r="W362">
        <f>IFERROR(VLOOKUP("924-718057-100",B:AB,14+8,0),0)</f>
        <v>0</v>
      </c>
      <c r="X362">
        <f>IFERROR(VLOOKUP("924-718057-100",B:AB,15+8,0),0)</f>
        <v>0</v>
      </c>
      <c r="Y362">
        <f>IFERROR(VLOOKUP("924-718057-100",B:AB,16+8,0),0)</f>
        <v>0</v>
      </c>
      <c r="Z362">
        <f>IFERROR(VLOOKUP("924-718057-100",B:AB,17+8,0),0)</f>
        <v>0</v>
      </c>
      <c r="AA362">
        <f>IFERROR(VLOOKUP("924-718057-100",B:AB,18+8,0),0)</f>
        <v>0</v>
      </c>
      <c r="AB362">
        <f>IFERROR(VLOOKUP("924-718057-100",B:AB,19+8,0),0)</f>
        <v>0</v>
      </c>
      <c r="AC362">
        <f>IFERROR(VLOOKUP("924-718057-100",B:AB,20+8,0),0)</f>
        <v>0</v>
      </c>
      <c r="AD362">
        <f>IFERROR(VLOOKUP("924-718057-100",B:AB,21+8,0),0)</f>
        <v>0</v>
      </c>
      <c r="AE362">
        <f>IFERROR(VLOOKUP("924-718057-100",B:AB,22+8,0),0)</f>
        <v>0</v>
      </c>
      <c r="AF362">
        <f>IFERROR(VLOOKUP("924-718057-100",B:AB,23+8,0),0)</f>
        <v>0</v>
      </c>
      <c r="AG362">
        <f>IFERROR(VLOOKUP("924-718057-100",B:AB,24+8,0),0)</f>
        <v>0</v>
      </c>
      <c r="AH362">
        <f>IFERROR(VLOOKUP("924-718057-100",B:AB,25+8,0),0)</f>
        <v>0</v>
      </c>
      <c r="AI362">
        <f>IFERROR(VLOOKUP("924-718057-100",B:AB,26+8,0),0)</f>
        <v>0</v>
      </c>
      <c r="AJ362">
        <f>IFERROR(VLOOKUP("924-718057-100",B:AB,27+8,0),0)</f>
        <v>0</v>
      </c>
      <c r="AK362">
        <f>IFERROR(VLOOKUP("924-718057-100",B:AB,28+8,0),0)</f>
        <v>0</v>
      </c>
      <c r="AL362">
        <f>IFERROR(VLOOKUP("924-718057-100",B:AB,29+8,0),0)</f>
        <v>0</v>
      </c>
      <c r="AM362">
        <f>IFERROR(VLOOKUP("924-718057-100",B:AB,30+8,0),0)</f>
        <v>0</v>
      </c>
      <c r="AN362">
        <f>IFERROR(VLOOKUP("924-718057-100",B:AB,31+8,0),0)</f>
        <v>0</v>
      </c>
      <c r="AO362">
        <f>SUN(INDIRECT(ADDRESS(361,8)):INDIRECT(ADDRESS(361,39)))</f>
        <v>0</v>
      </c>
    </row>
    <row r="363" spans="1:41">
      <c r="H363" t="s">
        <v>179</v>
      </c>
      <c r="J363">
        <f>INDIRECT(ADDRESS(363,9))+INDIRECT(ADDRESS(361,10))-INDIRECT(ADDRESS(362,10))</f>
        <v>0</v>
      </c>
      <c r="K363">
        <f>INDIRECT(ADDRESS(363,10))+INDIRECT(ADDRESS(361,11))-INDIRECT(ADDRESS(362,11))</f>
        <v>0</v>
      </c>
      <c r="L363">
        <f>INDIRECT(ADDRESS(363,11))+INDIRECT(ADDRESS(361,12))-INDIRECT(ADDRESS(362,12))</f>
        <v>0</v>
      </c>
      <c r="M363">
        <f>INDIRECT(ADDRESS(363,12))+INDIRECT(ADDRESS(361,13))-INDIRECT(ADDRESS(362,13))</f>
        <v>0</v>
      </c>
      <c r="N363">
        <f>INDIRECT(ADDRESS(363,13))+INDIRECT(ADDRESS(361,14))-INDIRECT(ADDRESS(362,14))</f>
        <v>0</v>
      </c>
      <c r="O363">
        <f>INDIRECT(ADDRESS(363,14))+INDIRECT(ADDRESS(361,15))-INDIRECT(ADDRESS(362,15))</f>
        <v>0</v>
      </c>
      <c r="P363">
        <f>INDIRECT(ADDRESS(363,15))+INDIRECT(ADDRESS(361,16))-INDIRECT(ADDRESS(362,16))</f>
        <v>0</v>
      </c>
      <c r="Q363">
        <f>INDIRECT(ADDRESS(363,16))+INDIRECT(ADDRESS(361,17))-INDIRECT(ADDRESS(362,17))</f>
        <v>0</v>
      </c>
      <c r="R363">
        <f>INDIRECT(ADDRESS(363,17))+INDIRECT(ADDRESS(361,18))-INDIRECT(ADDRESS(362,18))</f>
        <v>0</v>
      </c>
      <c r="S363">
        <f>INDIRECT(ADDRESS(363,18))+INDIRECT(ADDRESS(361,19))-INDIRECT(ADDRESS(362,19))</f>
        <v>0</v>
      </c>
      <c r="T363">
        <f>INDIRECT(ADDRESS(363,19))+INDIRECT(ADDRESS(361,20))-INDIRECT(ADDRESS(362,20))</f>
        <v>0</v>
      </c>
      <c r="U363">
        <f>INDIRECT(ADDRESS(363,20))+INDIRECT(ADDRESS(361,21))-INDIRECT(ADDRESS(362,21))</f>
        <v>0</v>
      </c>
      <c r="V363">
        <f>INDIRECT(ADDRESS(363,21))+INDIRECT(ADDRESS(361,22))-INDIRECT(ADDRESS(362,22))</f>
        <v>0</v>
      </c>
      <c r="W363">
        <f>INDIRECT(ADDRESS(363,22))+INDIRECT(ADDRESS(361,23))-INDIRECT(ADDRESS(362,23))</f>
        <v>0</v>
      </c>
      <c r="X363">
        <f>INDIRECT(ADDRESS(363,23))+INDIRECT(ADDRESS(361,24))-INDIRECT(ADDRESS(362,24))</f>
        <v>0</v>
      </c>
      <c r="Y363">
        <f>INDIRECT(ADDRESS(363,24))+INDIRECT(ADDRESS(361,25))-INDIRECT(ADDRESS(362,25))</f>
        <v>0</v>
      </c>
      <c r="Z363">
        <f>INDIRECT(ADDRESS(363,25))+INDIRECT(ADDRESS(361,26))-INDIRECT(ADDRESS(362,26))</f>
        <v>0</v>
      </c>
      <c r="AA363">
        <f>INDIRECT(ADDRESS(363,26))+INDIRECT(ADDRESS(361,27))-INDIRECT(ADDRESS(362,27))</f>
        <v>0</v>
      </c>
      <c r="AB363">
        <f>INDIRECT(ADDRESS(363,27))+INDIRECT(ADDRESS(361,28))-INDIRECT(ADDRESS(362,28))</f>
        <v>0</v>
      </c>
      <c r="AC363">
        <f>INDIRECT(ADDRESS(363,28))+INDIRECT(ADDRESS(361,29))-INDIRECT(ADDRESS(362,29))</f>
        <v>0</v>
      </c>
      <c r="AD363">
        <f>INDIRECT(ADDRESS(363,29))+INDIRECT(ADDRESS(361,30))-INDIRECT(ADDRESS(362,30))</f>
        <v>0</v>
      </c>
      <c r="AE363">
        <f>INDIRECT(ADDRESS(363,30))+INDIRECT(ADDRESS(361,31))-INDIRECT(ADDRESS(362,31))</f>
        <v>0</v>
      </c>
      <c r="AF363">
        <f>INDIRECT(ADDRESS(363,31))+INDIRECT(ADDRESS(361,32))-INDIRECT(ADDRESS(362,32))</f>
        <v>0</v>
      </c>
      <c r="AG363">
        <f>INDIRECT(ADDRESS(363,32))+INDIRECT(ADDRESS(361,33))-INDIRECT(ADDRESS(362,33))</f>
        <v>0</v>
      </c>
      <c r="AH363">
        <f>INDIRECT(ADDRESS(363,33))+INDIRECT(ADDRESS(361,34))-INDIRECT(ADDRESS(362,34))</f>
        <v>0</v>
      </c>
      <c r="AI363">
        <f>INDIRECT(ADDRESS(363,34))+INDIRECT(ADDRESS(361,35))-INDIRECT(ADDRESS(362,35))</f>
        <v>0</v>
      </c>
      <c r="AJ363">
        <f>INDIRECT(ADDRESS(363,35))+INDIRECT(ADDRESS(361,36))-INDIRECT(ADDRESS(362,36))</f>
        <v>0</v>
      </c>
      <c r="AK363">
        <f>INDIRECT(ADDRESS(363,36))+INDIRECT(ADDRESS(361,37))-INDIRECT(ADDRESS(362,37))</f>
        <v>0</v>
      </c>
      <c r="AL363">
        <f>INDIRECT(ADDRESS(363,37))+INDIRECT(ADDRESS(361,38))-INDIRECT(ADDRESS(362,38))</f>
        <v>0</v>
      </c>
      <c r="AM363">
        <f>INDIRECT(ADDRESS(363,38))+INDIRECT(ADDRESS(361,39))-INDIRECT(ADDRESS(362,39))</f>
        <v>0</v>
      </c>
      <c r="AN363">
        <f>INDIRECT(ADDRESS(363,39))+INDIRECT(ADDRESS(361,40))-INDIRECT(ADDRESS(362,40))</f>
        <v>0</v>
      </c>
      <c r="AO363">
        <f>SUM(INDIRECT(ADDRESS(362,8)):INDIRECT(ADDRESS(362,39)))</f>
        <v>0</v>
      </c>
    </row>
    <row r="364" spans="1:41">
      <c r="A364" t="s">
        <v>185</v>
      </c>
      <c r="B364" t="s">
        <v>318</v>
      </c>
      <c r="C364" t="s">
        <v>319</v>
      </c>
      <c r="E364">
        <v>1</v>
      </c>
      <c r="I364" t="s">
        <v>177</v>
      </c>
    </row>
    <row r="365" spans="1:41">
      <c r="I365" t="s">
        <v>178</v>
      </c>
      <c r="J365">
        <f>IFERROR(VLOOKUP("924-718057-100",B:AB,1+8,0),0)</f>
        <v>0</v>
      </c>
      <c r="K365">
        <f>IFERROR(VLOOKUP("924-718057-100",B:AB,2+8,0),0)</f>
        <v>0</v>
      </c>
      <c r="L365">
        <f>IFERROR(VLOOKUP("924-718057-100",B:AB,3+8,0),0)</f>
        <v>0</v>
      </c>
      <c r="M365">
        <f>IFERROR(VLOOKUP("924-718057-100",B:AB,4+8,0),0)</f>
        <v>0</v>
      </c>
      <c r="N365">
        <f>IFERROR(VLOOKUP("924-718057-100",B:AB,5+8,0),0)</f>
        <v>0</v>
      </c>
      <c r="O365">
        <f>IFERROR(VLOOKUP("924-718057-100",B:AB,6+8,0),0)</f>
        <v>0</v>
      </c>
      <c r="P365">
        <f>IFERROR(VLOOKUP("924-718057-100",B:AB,7+8,0),0)</f>
        <v>0</v>
      </c>
      <c r="Q365">
        <f>IFERROR(VLOOKUP("924-718057-100",B:AB,8+8,0),0)</f>
        <v>0</v>
      </c>
      <c r="R365">
        <f>IFERROR(VLOOKUP("924-718057-100",B:AB,9+8,0),0)</f>
        <v>0</v>
      </c>
      <c r="S365">
        <f>IFERROR(VLOOKUP("924-718057-100",B:AB,10+8,0),0)</f>
        <v>0</v>
      </c>
      <c r="T365">
        <f>IFERROR(VLOOKUP("924-718057-100",B:AB,11+8,0),0)</f>
        <v>0</v>
      </c>
      <c r="U365">
        <f>IFERROR(VLOOKUP("924-718057-100",B:AB,12+8,0),0)</f>
        <v>0</v>
      </c>
      <c r="V365">
        <f>IFERROR(VLOOKUP("924-718057-100",B:AB,13+8,0),0)</f>
        <v>0</v>
      </c>
      <c r="W365">
        <f>IFERROR(VLOOKUP("924-718057-100",B:AB,14+8,0),0)</f>
        <v>0</v>
      </c>
      <c r="X365">
        <f>IFERROR(VLOOKUP("924-718057-100",B:AB,15+8,0),0)</f>
        <v>0</v>
      </c>
      <c r="Y365">
        <f>IFERROR(VLOOKUP("924-718057-100",B:AB,16+8,0),0)</f>
        <v>0</v>
      </c>
      <c r="Z365">
        <f>IFERROR(VLOOKUP("924-718057-100",B:AB,17+8,0),0)</f>
        <v>0</v>
      </c>
      <c r="AA365">
        <f>IFERROR(VLOOKUP("924-718057-100",B:AB,18+8,0),0)</f>
        <v>0</v>
      </c>
      <c r="AB365">
        <f>IFERROR(VLOOKUP("924-718057-100",B:AB,19+8,0),0)</f>
        <v>0</v>
      </c>
      <c r="AC365">
        <f>IFERROR(VLOOKUP("924-718057-100",B:AB,20+8,0),0)</f>
        <v>0</v>
      </c>
      <c r="AD365">
        <f>IFERROR(VLOOKUP("924-718057-100",B:AB,21+8,0),0)</f>
        <v>0</v>
      </c>
      <c r="AE365">
        <f>IFERROR(VLOOKUP("924-718057-100",B:AB,22+8,0),0)</f>
        <v>0</v>
      </c>
      <c r="AF365">
        <f>IFERROR(VLOOKUP("924-718057-100",B:AB,23+8,0),0)</f>
        <v>0</v>
      </c>
      <c r="AG365">
        <f>IFERROR(VLOOKUP("924-718057-100",B:AB,24+8,0),0)</f>
        <v>0</v>
      </c>
      <c r="AH365">
        <f>IFERROR(VLOOKUP("924-718057-100",B:AB,25+8,0),0)</f>
        <v>0</v>
      </c>
      <c r="AI365">
        <f>IFERROR(VLOOKUP("924-718057-100",B:AB,26+8,0),0)</f>
        <v>0</v>
      </c>
      <c r="AJ365">
        <f>IFERROR(VLOOKUP("924-718057-100",B:AB,27+8,0),0)</f>
        <v>0</v>
      </c>
      <c r="AK365">
        <f>IFERROR(VLOOKUP("924-718057-100",B:AB,28+8,0),0)</f>
        <v>0</v>
      </c>
      <c r="AL365">
        <f>IFERROR(VLOOKUP("924-718057-100",B:AB,29+8,0),0)</f>
        <v>0</v>
      </c>
      <c r="AM365">
        <f>IFERROR(VLOOKUP("924-718057-100",B:AB,30+8,0),0)</f>
        <v>0</v>
      </c>
      <c r="AN365">
        <f>IFERROR(VLOOKUP("924-718057-100",B:AB,31+8,0),0)</f>
        <v>0</v>
      </c>
      <c r="AO365">
        <f>SUN(INDIRECT(ADDRESS(364,8)):INDIRECT(ADDRESS(364,39)))</f>
        <v>0</v>
      </c>
    </row>
    <row r="366" spans="1:41">
      <c r="H366" t="s">
        <v>179</v>
      </c>
      <c r="J366">
        <f>INDIRECT(ADDRESS(366,9))+INDIRECT(ADDRESS(364,10))-INDIRECT(ADDRESS(365,10))</f>
        <v>0</v>
      </c>
      <c r="K366">
        <f>INDIRECT(ADDRESS(366,10))+INDIRECT(ADDRESS(364,11))-INDIRECT(ADDRESS(365,11))</f>
        <v>0</v>
      </c>
      <c r="L366">
        <f>INDIRECT(ADDRESS(366,11))+INDIRECT(ADDRESS(364,12))-INDIRECT(ADDRESS(365,12))</f>
        <v>0</v>
      </c>
      <c r="M366">
        <f>INDIRECT(ADDRESS(366,12))+INDIRECT(ADDRESS(364,13))-INDIRECT(ADDRESS(365,13))</f>
        <v>0</v>
      </c>
      <c r="N366">
        <f>INDIRECT(ADDRESS(366,13))+INDIRECT(ADDRESS(364,14))-INDIRECT(ADDRESS(365,14))</f>
        <v>0</v>
      </c>
      <c r="O366">
        <f>INDIRECT(ADDRESS(366,14))+INDIRECT(ADDRESS(364,15))-INDIRECT(ADDRESS(365,15))</f>
        <v>0</v>
      </c>
      <c r="P366">
        <f>INDIRECT(ADDRESS(366,15))+INDIRECT(ADDRESS(364,16))-INDIRECT(ADDRESS(365,16))</f>
        <v>0</v>
      </c>
      <c r="Q366">
        <f>INDIRECT(ADDRESS(366,16))+INDIRECT(ADDRESS(364,17))-INDIRECT(ADDRESS(365,17))</f>
        <v>0</v>
      </c>
      <c r="R366">
        <f>INDIRECT(ADDRESS(366,17))+INDIRECT(ADDRESS(364,18))-INDIRECT(ADDRESS(365,18))</f>
        <v>0</v>
      </c>
      <c r="S366">
        <f>INDIRECT(ADDRESS(366,18))+INDIRECT(ADDRESS(364,19))-INDIRECT(ADDRESS(365,19))</f>
        <v>0</v>
      </c>
      <c r="T366">
        <f>INDIRECT(ADDRESS(366,19))+INDIRECT(ADDRESS(364,20))-INDIRECT(ADDRESS(365,20))</f>
        <v>0</v>
      </c>
      <c r="U366">
        <f>INDIRECT(ADDRESS(366,20))+INDIRECT(ADDRESS(364,21))-INDIRECT(ADDRESS(365,21))</f>
        <v>0</v>
      </c>
      <c r="V366">
        <f>INDIRECT(ADDRESS(366,21))+INDIRECT(ADDRESS(364,22))-INDIRECT(ADDRESS(365,22))</f>
        <v>0</v>
      </c>
      <c r="W366">
        <f>INDIRECT(ADDRESS(366,22))+INDIRECT(ADDRESS(364,23))-INDIRECT(ADDRESS(365,23))</f>
        <v>0</v>
      </c>
      <c r="X366">
        <f>INDIRECT(ADDRESS(366,23))+INDIRECT(ADDRESS(364,24))-INDIRECT(ADDRESS(365,24))</f>
        <v>0</v>
      </c>
      <c r="Y366">
        <f>INDIRECT(ADDRESS(366,24))+INDIRECT(ADDRESS(364,25))-INDIRECT(ADDRESS(365,25))</f>
        <v>0</v>
      </c>
      <c r="Z366">
        <f>INDIRECT(ADDRESS(366,25))+INDIRECT(ADDRESS(364,26))-INDIRECT(ADDRESS(365,26))</f>
        <v>0</v>
      </c>
      <c r="AA366">
        <f>INDIRECT(ADDRESS(366,26))+INDIRECT(ADDRESS(364,27))-INDIRECT(ADDRESS(365,27))</f>
        <v>0</v>
      </c>
      <c r="AB366">
        <f>INDIRECT(ADDRESS(366,27))+INDIRECT(ADDRESS(364,28))-INDIRECT(ADDRESS(365,28))</f>
        <v>0</v>
      </c>
      <c r="AC366">
        <f>INDIRECT(ADDRESS(366,28))+INDIRECT(ADDRESS(364,29))-INDIRECT(ADDRESS(365,29))</f>
        <v>0</v>
      </c>
      <c r="AD366">
        <f>INDIRECT(ADDRESS(366,29))+INDIRECT(ADDRESS(364,30))-INDIRECT(ADDRESS(365,30))</f>
        <v>0</v>
      </c>
      <c r="AE366">
        <f>INDIRECT(ADDRESS(366,30))+INDIRECT(ADDRESS(364,31))-INDIRECT(ADDRESS(365,31))</f>
        <v>0</v>
      </c>
      <c r="AF366">
        <f>INDIRECT(ADDRESS(366,31))+INDIRECT(ADDRESS(364,32))-INDIRECT(ADDRESS(365,32))</f>
        <v>0</v>
      </c>
      <c r="AG366">
        <f>INDIRECT(ADDRESS(366,32))+INDIRECT(ADDRESS(364,33))-INDIRECT(ADDRESS(365,33))</f>
        <v>0</v>
      </c>
      <c r="AH366">
        <f>INDIRECT(ADDRESS(366,33))+INDIRECT(ADDRESS(364,34))-INDIRECT(ADDRESS(365,34))</f>
        <v>0</v>
      </c>
      <c r="AI366">
        <f>INDIRECT(ADDRESS(366,34))+INDIRECT(ADDRESS(364,35))-INDIRECT(ADDRESS(365,35))</f>
        <v>0</v>
      </c>
      <c r="AJ366">
        <f>INDIRECT(ADDRESS(366,35))+INDIRECT(ADDRESS(364,36))-INDIRECT(ADDRESS(365,36))</f>
        <v>0</v>
      </c>
      <c r="AK366">
        <f>INDIRECT(ADDRESS(366,36))+INDIRECT(ADDRESS(364,37))-INDIRECT(ADDRESS(365,37))</f>
        <v>0</v>
      </c>
      <c r="AL366">
        <f>INDIRECT(ADDRESS(366,37))+INDIRECT(ADDRESS(364,38))-INDIRECT(ADDRESS(365,38))</f>
        <v>0</v>
      </c>
      <c r="AM366">
        <f>INDIRECT(ADDRESS(366,38))+INDIRECT(ADDRESS(364,39))-INDIRECT(ADDRESS(365,39))</f>
        <v>0</v>
      </c>
      <c r="AN366">
        <f>INDIRECT(ADDRESS(366,39))+INDIRECT(ADDRESS(364,40))-INDIRECT(ADDRESS(365,40))</f>
        <v>0</v>
      </c>
      <c r="AO366">
        <f>SUM(INDIRECT(ADDRESS(365,8)):INDIRECT(ADDRESS(365,39)))</f>
        <v>0</v>
      </c>
    </row>
    <row r="367" spans="1:41">
      <c r="A367" t="s">
        <v>185</v>
      </c>
      <c r="B367" t="s">
        <v>323</v>
      </c>
      <c r="C367" t="s">
        <v>324</v>
      </c>
      <c r="E367">
        <v>1</v>
      </c>
      <c r="I367" t="s">
        <v>177</v>
      </c>
    </row>
    <row r="368" spans="1:41">
      <c r="I368" t="s">
        <v>178</v>
      </c>
      <c r="J368">
        <f>IFERROR(VLOOKUP("924-718057-100",B:AB,1+8,0),0)</f>
        <v>0</v>
      </c>
      <c r="K368">
        <f>IFERROR(VLOOKUP("924-718057-100",B:AB,2+8,0),0)</f>
        <v>0</v>
      </c>
      <c r="L368">
        <f>IFERROR(VLOOKUP("924-718057-100",B:AB,3+8,0),0)</f>
        <v>0</v>
      </c>
      <c r="M368">
        <f>IFERROR(VLOOKUP("924-718057-100",B:AB,4+8,0),0)</f>
        <v>0</v>
      </c>
      <c r="N368">
        <f>IFERROR(VLOOKUP("924-718057-100",B:AB,5+8,0),0)</f>
        <v>0</v>
      </c>
      <c r="O368">
        <f>IFERROR(VLOOKUP("924-718057-100",B:AB,6+8,0),0)</f>
        <v>0</v>
      </c>
      <c r="P368">
        <f>IFERROR(VLOOKUP("924-718057-100",B:AB,7+8,0),0)</f>
        <v>0</v>
      </c>
      <c r="Q368">
        <f>IFERROR(VLOOKUP("924-718057-100",B:AB,8+8,0),0)</f>
        <v>0</v>
      </c>
      <c r="R368">
        <f>IFERROR(VLOOKUP("924-718057-100",B:AB,9+8,0),0)</f>
        <v>0</v>
      </c>
      <c r="S368">
        <f>IFERROR(VLOOKUP("924-718057-100",B:AB,10+8,0),0)</f>
        <v>0</v>
      </c>
      <c r="T368">
        <f>IFERROR(VLOOKUP("924-718057-100",B:AB,11+8,0),0)</f>
        <v>0</v>
      </c>
      <c r="U368">
        <f>IFERROR(VLOOKUP("924-718057-100",B:AB,12+8,0),0)</f>
        <v>0</v>
      </c>
      <c r="V368">
        <f>IFERROR(VLOOKUP("924-718057-100",B:AB,13+8,0),0)</f>
        <v>0</v>
      </c>
      <c r="W368">
        <f>IFERROR(VLOOKUP("924-718057-100",B:AB,14+8,0),0)</f>
        <v>0</v>
      </c>
      <c r="X368">
        <f>IFERROR(VLOOKUP("924-718057-100",B:AB,15+8,0),0)</f>
        <v>0</v>
      </c>
      <c r="Y368">
        <f>IFERROR(VLOOKUP("924-718057-100",B:AB,16+8,0),0)</f>
        <v>0</v>
      </c>
      <c r="Z368">
        <f>IFERROR(VLOOKUP("924-718057-100",B:AB,17+8,0),0)</f>
        <v>0</v>
      </c>
      <c r="AA368">
        <f>IFERROR(VLOOKUP("924-718057-100",B:AB,18+8,0),0)</f>
        <v>0</v>
      </c>
      <c r="AB368">
        <f>IFERROR(VLOOKUP("924-718057-100",B:AB,19+8,0),0)</f>
        <v>0</v>
      </c>
      <c r="AC368">
        <f>IFERROR(VLOOKUP("924-718057-100",B:AB,20+8,0),0)</f>
        <v>0</v>
      </c>
      <c r="AD368">
        <f>IFERROR(VLOOKUP("924-718057-100",B:AB,21+8,0),0)</f>
        <v>0</v>
      </c>
      <c r="AE368">
        <f>IFERROR(VLOOKUP("924-718057-100",B:AB,22+8,0),0)</f>
        <v>0</v>
      </c>
      <c r="AF368">
        <f>IFERROR(VLOOKUP("924-718057-100",B:AB,23+8,0),0)</f>
        <v>0</v>
      </c>
      <c r="AG368">
        <f>IFERROR(VLOOKUP("924-718057-100",B:AB,24+8,0),0)</f>
        <v>0</v>
      </c>
      <c r="AH368">
        <f>IFERROR(VLOOKUP("924-718057-100",B:AB,25+8,0),0)</f>
        <v>0</v>
      </c>
      <c r="AI368">
        <f>IFERROR(VLOOKUP("924-718057-100",B:AB,26+8,0),0)</f>
        <v>0</v>
      </c>
      <c r="AJ368">
        <f>IFERROR(VLOOKUP("924-718057-100",B:AB,27+8,0),0)</f>
        <v>0</v>
      </c>
      <c r="AK368">
        <f>IFERROR(VLOOKUP("924-718057-100",B:AB,28+8,0),0)</f>
        <v>0</v>
      </c>
      <c r="AL368">
        <f>IFERROR(VLOOKUP("924-718057-100",B:AB,29+8,0),0)</f>
        <v>0</v>
      </c>
      <c r="AM368">
        <f>IFERROR(VLOOKUP("924-718057-100",B:AB,30+8,0),0)</f>
        <v>0</v>
      </c>
      <c r="AN368">
        <f>IFERROR(VLOOKUP("924-718057-100",B:AB,31+8,0),0)</f>
        <v>0</v>
      </c>
      <c r="AO368">
        <f>SUN(INDIRECT(ADDRESS(367,8)):INDIRECT(ADDRESS(367,39)))</f>
        <v>0</v>
      </c>
    </row>
    <row r="369" spans="1:41">
      <c r="H369" t="s">
        <v>179</v>
      </c>
      <c r="J369">
        <f>INDIRECT(ADDRESS(369,9))+INDIRECT(ADDRESS(367,10))-INDIRECT(ADDRESS(368,10))</f>
        <v>0</v>
      </c>
      <c r="K369">
        <f>INDIRECT(ADDRESS(369,10))+INDIRECT(ADDRESS(367,11))-INDIRECT(ADDRESS(368,11))</f>
        <v>0</v>
      </c>
      <c r="L369">
        <f>INDIRECT(ADDRESS(369,11))+INDIRECT(ADDRESS(367,12))-INDIRECT(ADDRESS(368,12))</f>
        <v>0</v>
      </c>
      <c r="M369">
        <f>INDIRECT(ADDRESS(369,12))+INDIRECT(ADDRESS(367,13))-INDIRECT(ADDRESS(368,13))</f>
        <v>0</v>
      </c>
      <c r="N369">
        <f>INDIRECT(ADDRESS(369,13))+INDIRECT(ADDRESS(367,14))-INDIRECT(ADDRESS(368,14))</f>
        <v>0</v>
      </c>
      <c r="O369">
        <f>INDIRECT(ADDRESS(369,14))+INDIRECT(ADDRESS(367,15))-INDIRECT(ADDRESS(368,15))</f>
        <v>0</v>
      </c>
      <c r="P369">
        <f>INDIRECT(ADDRESS(369,15))+INDIRECT(ADDRESS(367,16))-INDIRECT(ADDRESS(368,16))</f>
        <v>0</v>
      </c>
      <c r="Q369">
        <f>INDIRECT(ADDRESS(369,16))+INDIRECT(ADDRESS(367,17))-INDIRECT(ADDRESS(368,17))</f>
        <v>0</v>
      </c>
      <c r="R369">
        <f>INDIRECT(ADDRESS(369,17))+INDIRECT(ADDRESS(367,18))-INDIRECT(ADDRESS(368,18))</f>
        <v>0</v>
      </c>
      <c r="S369">
        <f>INDIRECT(ADDRESS(369,18))+INDIRECT(ADDRESS(367,19))-INDIRECT(ADDRESS(368,19))</f>
        <v>0</v>
      </c>
      <c r="T369">
        <f>INDIRECT(ADDRESS(369,19))+INDIRECT(ADDRESS(367,20))-INDIRECT(ADDRESS(368,20))</f>
        <v>0</v>
      </c>
      <c r="U369">
        <f>INDIRECT(ADDRESS(369,20))+INDIRECT(ADDRESS(367,21))-INDIRECT(ADDRESS(368,21))</f>
        <v>0</v>
      </c>
      <c r="V369">
        <f>INDIRECT(ADDRESS(369,21))+INDIRECT(ADDRESS(367,22))-INDIRECT(ADDRESS(368,22))</f>
        <v>0</v>
      </c>
      <c r="W369">
        <f>INDIRECT(ADDRESS(369,22))+INDIRECT(ADDRESS(367,23))-INDIRECT(ADDRESS(368,23))</f>
        <v>0</v>
      </c>
      <c r="X369">
        <f>INDIRECT(ADDRESS(369,23))+INDIRECT(ADDRESS(367,24))-INDIRECT(ADDRESS(368,24))</f>
        <v>0</v>
      </c>
      <c r="Y369">
        <f>INDIRECT(ADDRESS(369,24))+INDIRECT(ADDRESS(367,25))-INDIRECT(ADDRESS(368,25))</f>
        <v>0</v>
      </c>
      <c r="Z369">
        <f>INDIRECT(ADDRESS(369,25))+INDIRECT(ADDRESS(367,26))-INDIRECT(ADDRESS(368,26))</f>
        <v>0</v>
      </c>
      <c r="AA369">
        <f>INDIRECT(ADDRESS(369,26))+INDIRECT(ADDRESS(367,27))-INDIRECT(ADDRESS(368,27))</f>
        <v>0</v>
      </c>
      <c r="AB369">
        <f>INDIRECT(ADDRESS(369,27))+INDIRECT(ADDRESS(367,28))-INDIRECT(ADDRESS(368,28))</f>
        <v>0</v>
      </c>
      <c r="AC369">
        <f>INDIRECT(ADDRESS(369,28))+INDIRECT(ADDRESS(367,29))-INDIRECT(ADDRESS(368,29))</f>
        <v>0</v>
      </c>
      <c r="AD369">
        <f>INDIRECT(ADDRESS(369,29))+INDIRECT(ADDRESS(367,30))-INDIRECT(ADDRESS(368,30))</f>
        <v>0</v>
      </c>
      <c r="AE369">
        <f>INDIRECT(ADDRESS(369,30))+INDIRECT(ADDRESS(367,31))-INDIRECT(ADDRESS(368,31))</f>
        <v>0</v>
      </c>
      <c r="AF369">
        <f>INDIRECT(ADDRESS(369,31))+INDIRECT(ADDRESS(367,32))-INDIRECT(ADDRESS(368,32))</f>
        <v>0</v>
      </c>
      <c r="AG369">
        <f>INDIRECT(ADDRESS(369,32))+INDIRECT(ADDRESS(367,33))-INDIRECT(ADDRESS(368,33))</f>
        <v>0</v>
      </c>
      <c r="AH369">
        <f>INDIRECT(ADDRESS(369,33))+INDIRECT(ADDRESS(367,34))-INDIRECT(ADDRESS(368,34))</f>
        <v>0</v>
      </c>
      <c r="AI369">
        <f>INDIRECT(ADDRESS(369,34))+INDIRECT(ADDRESS(367,35))-INDIRECT(ADDRESS(368,35))</f>
        <v>0</v>
      </c>
      <c r="AJ369">
        <f>INDIRECT(ADDRESS(369,35))+INDIRECT(ADDRESS(367,36))-INDIRECT(ADDRESS(368,36))</f>
        <v>0</v>
      </c>
      <c r="AK369">
        <f>INDIRECT(ADDRESS(369,36))+INDIRECT(ADDRESS(367,37))-INDIRECT(ADDRESS(368,37))</f>
        <v>0</v>
      </c>
      <c r="AL369">
        <f>INDIRECT(ADDRESS(369,37))+INDIRECT(ADDRESS(367,38))-INDIRECT(ADDRESS(368,38))</f>
        <v>0</v>
      </c>
      <c r="AM369">
        <f>INDIRECT(ADDRESS(369,38))+INDIRECT(ADDRESS(367,39))-INDIRECT(ADDRESS(368,39))</f>
        <v>0</v>
      </c>
      <c r="AN369">
        <f>INDIRECT(ADDRESS(369,39))+INDIRECT(ADDRESS(367,40))-INDIRECT(ADDRESS(368,40))</f>
        <v>0</v>
      </c>
      <c r="AO369">
        <f>SUM(INDIRECT(ADDRESS(368,8)):INDIRECT(ADDRESS(368,39)))</f>
        <v>0</v>
      </c>
    </row>
    <row r="370" spans="1:41">
      <c r="A370" t="s">
        <v>8</v>
      </c>
      <c r="B370" t="s">
        <v>35</v>
      </c>
      <c r="C370" t="s">
        <v>33</v>
      </c>
      <c r="E370">
        <v>1</v>
      </c>
      <c r="I370" t="s">
        <v>177</v>
      </c>
    </row>
    <row r="371" spans="1:41">
      <c r="I371" t="s">
        <v>178</v>
      </c>
      <c r="J371">
        <f>IFERROR(VLOOKUP("924-718057-200",Out!B:AB,1+8,0),0)</f>
        <v>0</v>
      </c>
      <c r="K371">
        <f>IFERROR(VLOOKUP("924-718057-200",Out!B:AB,2+8,0),0)</f>
        <v>0</v>
      </c>
      <c r="L371">
        <f>IFERROR(VLOOKUP("924-718057-200",Out!B:AB,3+8,0),0)</f>
        <v>0</v>
      </c>
      <c r="M371">
        <f>IFERROR(VLOOKUP("924-718057-200",Out!B:AB,4+8,0),0)</f>
        <v>0</v>
      </c>
      <c r="N371">
        <f>IFERROR(VLOOKUP("924-718057-200",Out!B:AB,5+8,0),0)</f>
        <v>0</v>
      </c>
      <c r="O371">
        <f>IFERROR(VLOOKUP("924-718057-200",Out!B:AB,6+8,0),0)</f>
        <v>0</v>
      </c>
      <c r="P371">
        <f>IFERROR(VLOOKUP("924-718057-200",Out!B:AB,7+8,0),0)</f>
        <v>0</v>
      </c>
      <c r="Q371">
        <f>IFERROR(VLOOKUP("924-718057-200",Out!B:AB,8+8,0),0)</f>
        <v>0</v>
      </c>
      <c r="R371">
        <f>IFERROR(VLOOKUP("924-718057-200",Out!B:AB,9+8,0),0)</f>
        <v>0</v>
      </c>
      <c r="S371">
        <f>IFERROR(VLOOKUP("924-718057-200",Out!B:AB,10+8,0),0)</f>
        <v>0</v>
      </c>
      <c r="T371">
        <f>IFERROR(VLOOKUP("924-718057-200",Out!B:AB,11+8,0),0)</f>
        <v>0</v>
      </c>
      <c r="U371">
        <f>IFERROR(VLOOKUP("924-718057-200",Out!B:AB,12+8,0),0)</f>
        <v>0</v>
      </c>
      <c r="V371">
        <f>IFERROR(VLOOKUP("924-718057-200",Out!B:AB,13+8,0),0)</f>
        <v>0</v>
      </c>
      <c r="W371">
        <f>IFERROR(VLOOKUP("924-718057-200",Out!B:AB,14+8,0),0)</f>
        <v>0</v>
      </c>
      <c r="X371">
        <f>IFERROR(VLOOKUP("924-718057-200",Out!B:AB,15+8,0),0)</f>
        <v>0</v>
      </c>
      <c r="Y371">
        <f>IFERROR(VLOOKUP("924-718057-200",Out!B:AB,16+8,0),0)</f>
        <v>0</v>
      </c>
      <c r="Z371">
        <f>IFERROR(VLOOKUP("924-718057-200",Out!B:AB,17+8,0),0)</f>
        <v>0</v>
      </c>
      <c r="AA371">
        <f>IFERROR(VLOOKUP("924-718057-200",Out!B:AB,18+8,0),0)</f>
        <v>0</v>
      </c>
      <c r="AB371">
        <f>IFERROR(VLOOKUP("924-718057-200",Out!B:AB,19+8,0),0)</f>
        <v>0</v>
      </c>
      <c r="AC371">
        <f>IFERROR(VLOOKUP("924-718057-200",Out!B:AB,20+8,0),0)</f>
        <v>0</v>
      </c>
      <c r="AD371">
        <f>IFERROR(VLOOKUP("924-718057-200",Out!B:AB,21+8,0),0)</f>
        <v>0</v>
      </c>
      <c r="AE371">
        <f>IFERROR(VLOOKUP("924-718057-200",Out!B:AB,22+8,0),0)</f>
        <v>0</v>
      </c>
      <c r="AF371">
        <f>IFERROR(VLOOKUP("924-718057-200",Out!B:AB,23+8,0),0)</f>
        <v>0</v>
      </c>
      <c r="AG371">
        <f>IFERROR(VLOOKUP("924-718057-200",Out!B:AB,24+8,0),0)</f>
        <v>0</v>
      </c>
      <c r="AH371">
        <f>IFERROR(VLOOKUP("924-718057-200",Out!B:AB,25+8,0),0)</f>
        <v>0</v>
      </c>
      <c r="AI371">
        <f>IFERROR(VLOOKUP("924-718057-200",Out!B:AB,26+8,0),0)</f>
        <v>0</v>
      </c>
      <c r="AJ371">
        <f>IFERROR(VLOOKUP("924-718057-200",Out!B:AB,27+8,0),0)</f>
        <v>0</v>
      </c>
      <c r="AK371">
        <f>IFERROR(VLOOKUP("924-718057-200",Out!B:AB,28+8,0),0)</f>
        <v>0</v>
      </c>
      <c r="AL371">
        <f>IFERROR(VLOOKUP("924-718057-200",Out!B:AB,29+8,0),0)</f>
        <v>0</v>
      </c>
      <c r="AM371">
        <f>IFERROR(VLOOKUP("924-718057-200",Out!B:AB,30+8,0),0)</f>
        <v>0</v>
      </c>
      <c r="AN371">
        <f>IFERROR(VLOOKUP("924-718057-200",Out!B:AB,31+8,0),0)</f>
        <v>0</v>
      </c>
      <c r="AO371">
        <f>SUN(INDIRECT(ADDRESS(370,8)):INDIRECT(ADDRESS(370,39)))</f>
        <v>0</v>
      </c>
    </row>
    <row r="372" spans="1:41">
      <c r="H372" t="s">
        <v>179</v>
      </c>
      <c r="J372">
        <f>INDIRECT(ADDRESS(372,9))+INDIRECT(ADDRESS(370,10))-INDIRECT(ADDRESS(371,10))</f>
        <v>0</v>
      </c>
      <c r="K372">
        <f>INDIRECT(ADDRESS(372,10))+INDIRECT(ADDRESS(370,11))-INDIRECT(ADDRESS(371,11))</f>
        <v>0</v>
      </c>
      <c r="L372">
        <f>INDIRECT(ADDRESS(372,11))+INDIRECT(ADDRESS(370,12))-INDIRECT(ADDRESS(371,12))</f>
        <v>0</v>
      </c>
      <c r="M372">
        <f>INDIRECT(ADDRESS(372,12))+INDIRECT(ADDRESS(370,13))-INDIRECT(ADDRESS(371,13))</f>
        <v>0</v>
      </c>
      <c r="N372">
        <f>INDIRECT(ADDRESS(372,13))+INDIRECT(ADDRESS(370,14))-INDIRECT(ADDRESS(371,14))</f>
        <v>0</v>
      </c>
      <c r="O372">
        <f>INDIRECT(ADDRESS(372,14))+INDIRECT(ADDRESS(370,15))-INDIRECT(ADDRESS(371,15))</f>
        <v>0</v>
      </c>
      <c r="P372">
        <f>INDIRECT(ADDRESS(372,15))+INDIRECT(ADDRESS(370,16))-INDIRECT(ADDRESS(371,16))</f>
        <v>0</v>
      </c>
      <c r="Q372">
        <f>INDIRECT(ADDRESS(372,16))+INDIRECT(ADDRESS(370,17))-INDIRECT(ADDRESS(371,17))</f>
        <v>0</v>
      </c>
      <c r="R372">
        <f>INDIRECT(ADDRESS(372,17))+INDIRECT(ADDRESS(370,18))-INDIRECT(ADDRESS(371,18))</f>
        <v>0</v>
      </c>
      <c r="S372">
        <f>INDIRECT(ADDRESS(372,18))+INDIRECT(ADDRESS(370,19))-INDIRECT(ADDRESS(371,19))</f>
        <v>0</v>
      </c>
      <c r="T372">
        <f>INDIRECT(ADDRESS(372,19))+INDIRECT(ADDRESS(370,20))-INDIRECT(ADDRESS(371,20))</f>
        <v>0</v>
      </c>
      <c r="U372">
        <f>INDIRECT(ADDRESS(372,20))+INDIRECT(ADDRESS(370,21))-INDIRECT(ADDRESS(371,21))</f>
        <v>0</v>
      </c>
      <c r="V372">
        <f>INDIRECT(ADDRESS(372,21))+INDIRECT(ADDRESS(370,22))-INDIRECT(ADDRESS(371,22))</f>
        <v>0</v>
      </c>
      <c r="W372">
        <f>INDIRECT(ADDRESS(372,22))+INDIRECT(ADDRESS(370,23))-INDIRECT(ADDRESS(371,23))</f>
        <v>0</v>
      </c>
      <c r="X372">
        <f>INDIRECT(ADDRESS(372,23))+INDIRECT(ADDRESS(370,24))-INDIRECT(ADDRESS(371,24))</f>
        <v>0</v>
      </c>
      <c r="Y372">
        <f>INDIRECT(ADDRESS(372,24))+INDIRECT(ADDRESS(370,25))-INDIRECT(ADDRESS(371,25))</f>
        <v>0</v>
      </c>
      <c r="Z372">
        <f>INDIRECT(ADDRESS(372,25))+INDIRECT(ADDRESS(370,26))-INDIRECT(ADDRESS(371,26))</f>
        <v>0</v>
      </c>
      <c r="AA372">
        <f>INDIRECT(ADDRESS(372,26))+INDIRECT(ADDRESS(370,27))-INDIRECT(ADDRESS(371,27))</f>
        <v>0</v>
      </c>
      <c r="AB372">
        <f>INDIRECT(ADDRESS(372,27))+INDIRECT(ADDRESS(370,28))-INDIRECT(ADDRESS(371,28))</f>
        <v>0</v>
      </c>
      <c r="AC372">
        <f>INDIRECT(ADDRESS(372,28))+INDIRECT(ADDRESS(370,29))-INDIRECT(ADDRESS(371,29))</f>
        <v>0</v>
      </c>
      <c r="AD372">
        <f>INDIRECT(ADDRESS(372,29))+INDIRECT(ADDRESS(370,30))-INDIRECT(ADDRESS(371,30))</f>
        <v>0</v>
      </c>
      <c r="AE372">
        <f>INDIRECT(ADDRESS(372,30))+INDIRECT(ADDRESS(370,31))-INDIRECT(ADDRESS(371,31))</f>
        <v>0</v>
      </c>
      <c r="AF372">
        <f>INDIRECT(ADDRESS(372,31))+INDIRECT(ADDRESS(370,32))-INDIRECT(ADDRESS(371,32))</f>
        <v>0</v>
      </c>
      <c r="AG372">
        <f>INDIRECT(ADDRESS(372,32))+INDIRECT(ADDRESS(370,33))-INDIRECT(ADDRESS(371,33))</f>
        <v>0</v>
      </c>
      <c r="AH372">
        <f>INDIRECT(ADDRESS(372,33))+INDIRECT(ADDRESS(370,34))-INDIRECT(ADDRESS(371,34))</f>
        <v>0</v>
      </c>
      <c r="AI372">
        <f>INDIRECT(ADDRESS(372,34))+INDIRECT(ADDRESS(370,35))-INDIRECT(ADDRESS(371,35))</f>
        <v>0</v>
      </c>
      <c r="AJ372">
        <f>INDIRECT(ADDRESS(372,35))+INDIRECT(ADDRESS(370,36))-INDIRECT(ADDRESS(371,36))</f>
        <v>0</v>
      </c>
      <c r="AK372">
        <f>INDIRECT(ADDRESS(372,36))+INDIRECT(ADDRESS(370,37))-INDIRECT(ADDRESS(371,37))</f>
        <v>0</v>
      </c>
      <c r="AL372">
        <f>INDIRECT(ADDRESS(372,37))+INDIRECT(ADDRESS(370,38))-INDIRECT(ADDRESS(371,38))</f>
        <v>0</v>
      </c>
      <c r="AM372">
        <f>INDIRECT(ADDRESS(372,38))+INDIRECT(ADDRESS(370,39))-INDIRECT(ADDRESS(371,39))</f>
        <v>0</v>
      </c>
      <c r="AN372">
        <f>INDIRECT(ADDRESS(372,39))+INDIRECT(ADDRESS(370,40))-INDIRECT(ADDRESS(371,40))</f>
        <v>0</v>
      </c>
      <c r="AO372">
        <f>SUM(INDIRECT(ADDRESS(371,8)):INDIRECT(ADDRESS(371,39)))</f>
        <v>0</v>
      </c>
    </row>
    <row r="373" spans="1:41">
      <c r="A373" t="s">
        <v>180</v>
      </c>
      <c r="B373" t="s">
        <v>325</v>
      </c>
      <c r="C373" t="s">
        <v>321</v>
      </c>
      <c r="E373">
        <v>1</v>
      </c>
      <c r="I373" t="s">
        <v>177</v>
      </c>
    </row>
    <row r="374" spans="1:41">
      <c r="I374" t="s">
        <v>178</v>
      </c>
      <c r="J374">
        <f>IFERROR(VLOOKUP("924-718057-200",B:AB,1+8,0),0)</f>
        <v>0</v>
      </c>
      <c r="K374">
        <f>IFERROR(VLOOKUP("924-718057-200",B:AB,2+8,0),0)</f>
        <v>0</v>
      </c>
      <c r="L374">
        <f>IFERROR(VLOOKUP("924-718057-200",B:AB,3+8,0),0)</f>
        <v>0</v>
      </c>
      <c r="M374">
        <f>IFERROR(VLOOKUP("924-718057-200",B:AB,4+8,0),0)</f>
        <v>0</v>
      </c>
      <c r="N374">
        <f>IFERROR(VLOOKUP("924-718057-200",B:AB,5+8,0),0)</f>
        <v>0</v>
      </c>
      <c r="O374">
        <f>IFERROR(VLOOKUP("924-718057-200",B:AB,6+8,0),0)</f>
        <v>0</v>
      </c>
      <c r="P374">
        <f>IFERROR(VLOOKUP("924-718057-200",B:AB,7+8,0),0)</f>
        <v>0</v>
      </c>
      <c r="Q374">
        <f>IFERROR(VLOOKUP("924-718057-200",B:AB,8+8,0),0)</f>
        <v>0</v>
      </c>
      <c r="R374">
        <f>IFERROR(VLOOKUP("924-718057-200",B:AB,9+8,0),0)</f>
        <v>0</v>
      </c>
      <c r="S374">
        <f>IFERROR(VLOOKUP("924-718057-200",B:AB,10+8,0),0)</f>
        <v>0</v>
      </c>
      <c r="T374">
        <f>IFERROR(VLOOKUP("924-718057-200",B:AB,11+8,0),0)</f>
        <v>0</v>
      </c>
      <c r="U374">
        <f>IFERROR(VLOOKUP("924-718057-200",B:AB,12+8,0),0)</f>
        <v>0</v>
      </c>
      <c r="V374">
        <f>IFERROR(VLOOKUP("924-718057-200",B:AB,13+8,0),0)</f>
        <v>0</v>
      </c>
      <c r="W374">
        <f>IFERROR(VLOOKUP("924-718057-200",B:AB,14+8,0),0)</f>
        <v>0</v>
      </c>
      <c r="X374">
        <f>IFERROR(VLOOKUP("924-718057-200",B:AB,15+8,0),0)</f>
        <v>0</v>
      </c>
      <c r="Y374">
        <f>IFERROR(VLOOKUP("924-718057-200",B:AB,16+8,0),0)</f>
        <v>0</v>
      </c>
      <c r="Z374">
        <f>IFERROR(VLOOKUP("924-718057-200",B:AB,17+8,0),0)</f>
        <v>0</v>
      </c>
      <c r="AA374">
        <f>IFERROR(VLOOKUP("924-718057-200",B:AB,18+8,0),0)</f>
        <v>0</v>
      </c>
      <c r="AB374">
        <f>IFERROR(VLOOKUP("924-718057-200",B:AB,19+8,0),0)</f>
        <v>0</v>
      </c>
      <c r="AC374">
        <f>IFERROR(VLOOKUP("924-718057-200",B:AB,20+8,0),0)</f>
        <v>0</v>
      </c>
      <c r="AD374">
        <f>IFERROR(VLOOKUP("924-718057-200",B:AB,21+8,0),0)</f>
        <v>0</v>
      </c>
      <c r="AE374">
        <f>IFERROR(VLOOKUP("924-718057-200",B:AB,22+8,0),0)</f>
        <v>0</v>
      </c>
      <c r="AF374">
        <f>IFERROR(VLOOKUP("924-718057-200",B:AB,23+8,0),0)</f>
        <v>0</v>
      </c>
      <c r="AG374">
        <f>IFERROR(VLOOKUP("924-718057-200",B:AB,24+8,0),0)</f>
        <v>0</v>
      </c>
      <c r="AH374">
        <f>IFERROR(VLOOKUP("924-718057-200",B:AB,25+8,0),0)</f>
        <v>0</v>
      </c>
      <c r="AI374">
        <f>IFERROR(VLOOKUP("924-718057-200",B:AB,26+8,0),0)</f>
        <v>0</v>
      </c>
      <c r="AJ374">
        <f>IFERROR(VLOOKUP("924-718057-200",B:AB,27+8,0),0)</f>
        <v>0</v>
      </c>
      <c r="AK374">
        <f>IFERROR(VLOOKUP("924-718057-200",B:AB,28+8,0),0)</f>
        <v>0</v>
      </c>
      <c r="AL374">
        <f>IFERROR(VLOOKUP("924-718057-200",B:AB,29+8,0),0)</f>
        <v>0</v>
      </c>
      <c r="AM374">
        <f>IFERROR(VLOOKUP("924-718057-200",B:AB,30+8,0),0)</f>
        <v>0</v>
      </c>
      <c r="AN374">
        <f>IFERROR(VLOOKUP("924-718057-200",B:AB,31+8,0),0)</f>
        <v>0</v>
      </c>
      <c r="AO374">
        <f>SUN(INDIRECT(ADDRESS(373,8)):INDIRECT(ADDRESS(373,39)))</f>
        <v>0</v>
      </c>
    </row>
    <row r="375" spans="1:41">
      <c r="H375" t="s">
        <v>179</v>
      </c>
      <c r="J375">
        <f>INDIRECT(ADDRESS(375,9))+INDIRECT(ADDRESS(373,10))-INDIRECT(ADDRESS(374,10))</f>
        <v>0</v>
      </c>
      <c r="K375">
        <f>INDIRECT(ADDRESS(375,10))+INDIRECT(ADDRESS(373,11))-INDIRECT(ADDRESS(374,11))</f>
        <v>0</v>
      </c>
      <c r="L375">
        <f>INDIRECT(ADDRESS(375,11))+INDIRECT(ADDRESS(373,12))-INDIRECT(ADDRESS(374,12))</f>
        <v>0</v>
      </c>
      <c r="M375">
        <f>INDIRECT(ADDRESS(375,12))+INDIRECT(ADDRESS(373,13))-INDIRECT(ADDRESS(374,13))</f>
        <v>0</v>
      </c>
      <c r="N375">
        <f>INDIRECT(ADDRESS(375,13))+INDIRECT(ADDRESS(373,14))-INDIRECT(ADDRESS(374,14))</f>
        <v>0</v>
      </c>
      <c r="O375">
        <f>INDIRECT(ADDRESS(375,14))+INDIRECT(ADDRESS(373,15))-INDIRECT(ADDRESS(374,15))</f>
        <v>0</v>
      </c>
      <c r="P375">
        <f>INDIRECT(ADDRESS(375,15))+INDIRECT(ADDRESS(373,16))-INDIRECT(ADDRESS(374,16))</f>
        <v>0</v>
      </c>
      <c r="Q375">
        <f>INDIRECT(ADDRESS(375,16))+INDIRECT(ADDRESS(373,17))-INDIRECT(ADDRESS(374,17))</f>
        <v>0</v>
      </c>
      <c r="R375">
        <f>INDIRECT(ADDRESS(375,17))+INDIRECT(ADDRESS(373,18))-INDIRECT(ADDRESS(374,18))</f>
        <v>0</v>
      </c>
      <c r="S375">
        <f>INDIRECT(ADDRESS(375,18))+INDIRECT(ADDRESS(373,19))-INDIRECT(ADDRESS(374,19))</f>
        <v>0</v>
      </c>
      <c r="T375">
        <f>INDIRECT(ADDRESS(375,19))+INDIRECT(ADDRESS(373,20))-INDIRECT(ADDRESS(374,20))</f>
        <v>0</v>
      </c>
      <c r="U375">
        <f>INDIRECT(ADDRESS(375,20))+INDIRECT(ADDRESS(373,21))-INDIRECT(ADDRESS(374,21))</f>
        <v>0</v>
      </c>
      <c r="V375">
        <f>INDIRECT(ADDRESS(375,21))+INDIRECT(ADDRESS(373,22))-INDIRECT(ADDRESS(374,22))</f>
        <v>0</v>
      </c>
      <c r="W375">
        <f>INDIRECT(ADDRESS(375,22))+INDIRECT(ADDRESS(373,23))-INDIRECT(ADDRESS(374,23))</f>
        <v>0</v>
      </c>
      <c r="X375">
        <f>INDIRECT(ADDRESS(375,23))+INDIRECT(ADDRESS(373,24))-INDIRECT(ADDRESS(374,24))</f>
        <v>0</v>
      </c>
      <c r="Y375">
        <f>INDIRECT(ADDRESS(375,24))+INDIRECT(ADDRESS(373,25))-INDIRECT(ADDRESS(374,25))</f>
        <v>0</v>
      </c>
      <c r="Z375">
        <f>INDIRECT(ADDRESS(375,25))+INDIRECT(ADDRESS(373,26))-INDIRECT(ADDRESS(374,26))</f>
        <v>0</v>
      </c>
      <c r="AA375">
        <f>INDIRECT(ADDRESS(375,26))+INDIRECT(ADDRESS(373,27))-INDIRECT(ADDRESS(374,27))</f>
        <v>0</v>
      </c>
      <c r="AB375">
        <f>INDIRECT(ADDRESS(375,27))+INDIRECT(ADDRESS(373,28))-INDIRECT(ADDRESS(374,28))</f>
        <v>0</v>
      </c>
      <c r="AC375">
        <f>INDIRECT(ADDRESS(375,28))+INDIRECT(ADDRESS(373,29))-INDIRECT(ADDRESS(374,29))</f>
        <v>0</v>
      </c>
      <c r="AD375">
        <f>INDIRECT(ADDRESS(375,29))+INDIRECT(ADDRESS(373,30))-INDIRECT(ADDRESS(374,30))</f>
        <v>0</v>
      </c>
      <c r="AE375">
        <f>INDIRECT(ADDRESS(375,30))+INDIRECT(ADDRESS(373,31))-INDIRECT(ADDRESS(374,31))</f>
        <v>0</v>
      </c>
      <c r="AF375">
        <f>INDIRECT(ADDRESS(375,31))+INDIRECT(ADDRESS(373,32))-INDIRECT(ADDRESS(374,32))</f>
        <v>0</v>
      </c>
      <c r="AG375">
        <f>INDIRECT(ADDRESS(375,32))+INDIRECT(ADDRESS(373,33))-INDIRECT(ADDRESS(374,33))</f>
        <v>0</v>
      </c>
      <c r="AH375">
        <f>INDIRECT(ADDRESS(375,33))+INDIRECT(ADDRESS(373,34))-INDIRECT(ADDRESS(374,34))</f>
        <v>0</v>
      </c>
      <c r="AI375">
        <f>INDIRECT(ADDRESS(375,34))+INDIRECT(ADDRESS(373,35))-INDIRECT(ADDRESS(374,35))</f>
        <v>0</v>
      </c>
      <c r="AJ375">
        <f>INDIRECT(ADDRESS(375,35))+INDIRECT(ADDRESS(373,36))-INDIRECT(ADDRESS(374,36))</f>
        <v>0</v>
      </c>
      <c r="AK375">
        <f>INDIRECT(ADDRESS(375,36))+INDIRECT(ADDRESS(373,37))-INDIRECT(ADDRESS(374,37))</f>
        <v>0</v>
      </c>
      <c r="AL375">
        <f>INDIRECT(ADDRESS(375,37))+INDIRECT(ADDRESS(373,38))-INDIRECT(ADDRESS(374,38))</f>
        <v>0</v>
      </c>
      <c r="AM375">
        <f>INDIRECT(ADDRESS(375,38))+INDIRECT(ADDRESS(373,39))-INDIRECT(ADDRESS(374,39))</f>
        <v>0</v>
      </c>
      <c r="AN375">
        <f>INDIRECT(ADDRESS(375,39))+INDIRECT(ADDRESS(373,40))-INDIRECT(ADDRESS(374,40))</f>
        <v>0</v>
      </c>
      <c r="AO375">
        <f>SUM(INDIRECT(ADDRESS(374,8)):INDIRECT(ADDRESS(374,39)))</f>
        <v>0</v>
      </c>
    </row>
    <row r="376" spans="1:41">
      <c r="A376" t="s">
        <v>185</v>
      </c>
      <c r="B376" t="s">
        <v>310</v>
      </c>
      <c r="C376" t="s">
        <v>311</v>
      </c>
      <c r="E376">
        <v>1</v>
      </c>
      <c r="I376" t="s">
        <v>177</v>
      </c>
    </row>
    <row r="377" spans="1:41">
      <c r="I377" t="s">
        <v>178</v>
      </c>
      <c r="J377">
        <f>IFERROR(VLOOKUP("924-718057-200",B:AB,1+8,0),0)</f>
        <v>0</v>
      </c>
      <c r="K377">
        <f>IFERROR(VLOOKUP("924-718057-200",B:AB,2+8,0),0)</f>
        <v>0</v>
      </c>
      <c r="L377">
        <f>IFERROR(VLOOKUP("924-718057-200",B:AB,3+8,0),0)</f>
        <v>0</v>
      </c>
      <c r="M377">
        <f>IFERROR(VLOOKUP("924-718057-200",B:AB,4+8,0),0)</f>
        <v>0</v>
      </c>
      <c r="N377">
        <f>IFERROR(VLOOKUP("924-718057-200",B:AB,5+8,0),0)</f>
        <v>0</v>
      </c>
      <c r="O377">
        <f>IFERROR(VLOOKUP("924-718057-200",B:AB,6+8,0),0)</f>
        <v>0</v>
      </c>
      <c r="P377">
        <f>IFERROR(VLOOKUP("924-718057-200",B:AB,7+8,0),0)</f>
        <v>0</v>
      </c>
      <c r="Q377">
        <f>IFERROR(VLOOKUP("924-718057-200",B:AB,8+8,0),0)</f>
        <v>0</v>
      </c>
      <c r="R377">
        <f>IFERROR(VLOOKUP("924-718057-200",B:AB,9+8,0),0)</f>
        <v>0</v>
      </c>
      <c r="S377">
        <f>IFERROR(VLOOKUP("924-718057-200",B:AB,10+8,0),0)</f>
        <v>0</v>
      </c>
      <c r="T377">
        <f>IFERROR(VLOOKUP("924-718057-200",B:AB,11+8,0),0)</f>
        <v>0</v>
      </c>
      <c r="U377">
        <f>IFERROR(VLOOKUP("924-718057-200",B:AB,12+8,0),0)</f>
        <v>0</v>
      </c>
      <c r="V377">
        <f>IFERROR(VLOOKUP("924-718057-200",B:AB,13+8,0),0)</f>
        <v>0</v>
      </c>
      <c r="W377">
        <f>IFERROR(VLOOKUP("924-718057-200",B:AB,14+8,0),0)</f>
        <v>0</v>
      </c>
      <c r="X377">
        <f>IFERROR(VLOOKUP("924-718057-200",B:AB,15+8,0),0)</f>
        <v>0</v>
      </c>
      <c r="Y377">
        <f>IFERROR(VLOOKUP("924-718057-200",B:AB,16+8,0),0)</f>
        <v>0</v>
      </c>
      <c r="Z377">
        <f>IFERROR(VLOOKUP("924-718057-200",B:AB,17+8,0),0)</f>
        <v>0</v>
      </c>
      <c r="AA377">
        <f>IFERROR(VLOOKUP("924-718057-200",B:AB,18+8,0),0)</f>
        <v>0</v>
      </c>
      <c r="AB377">
        <f>IFERROR(VLOOKUP("924-718057-200",B:AB,19+8,0),0)</f>
        <v>0</v>
      </c>
      <c r="AC377">
        <f>IFERROR(VLOOKUP("924-718057-200",B:AB,20+8,0),0)</f>
        <v>0</v>
      </c>
      <c r="AD377">
        <f>IFERROR(VLOOKUP("924-718057-200",B:AB,21+8,0),0)</f>
        <v>0</v>
      </c>
      <c r="AE377">
        <f>IFERROR(VLOOKUP("924-718057-200",B:AB,22+8,0),0)</f>
        <v>0</v>
      </c>
      <c r="AF377">
        <f>IFERROR(VLOOKUP("924-718057-200",B:AB,23+8,0),0)</f>
        <v>0</v>
      </c>
      <c r="AG377">
        <f>IFERROR(VLOOKUP("924-718057-200",B:AB,24+8,0),0)</f>
        <v>0</v>
      </c>
      <c r="AH377">
        <f>IFERROR(VLOOKUP("924-718057-200",B:AB,25+8,0),0)</f>
        <v>0</v>
      </c>
      <c r="AI377">
        <f>IFERROR(VLOOKUP("924-718057-200",B:AB,26+8,0),0)</f>
        <v>0</v>
      </c>
      <c r="AJ377">
        <f>IFERROR(VLOOKUP("924-718057-200",B:AB,27+8,0),0)</f>
        <v>0</v>
      </c>
      <c r="AK377">
        <f>IFERROR(VLOOKUP("924-718057-200",B:AB,28+8,0),0)</f>
        <v>0</v>
      </c>
      <c r="AL377">
        <f>IFERROR(VLOOKUP("924-718057-200",B:AB,29+8,0),0)</f>
        <v>0</v>
      </c>
      <c r="AM377">
        <f>IFERROR(VLOOKUP("924-718057-200",B:AB,30+8,0),0)</f>
        <v>0</v>
      </c>
      <c r="AN377">
        <f>IFERROR(VLOOKUP("924-718057-200",B:AB,31+8,0),0)</f>
        <v>0</v>
      </c>
      <c r="AO377">
        <f>SUN(INDIRECT(ADDRESS(376,8)):INDIRECT(ADDRESS(376,39)))</f>
        <v>0</v>
      </c>
    </row>
    <row r="378" spans="1:41">
      <c r="H378" t="s">
        <v>179</v>
      </c>
      <c r="J378">
        <f>INDIRECT(ADDRESS(378,9))+INDIRECT(ADDRESS(376,10))-INDIRECT(ADDRESS(377,10))</f>
        <v>0</v>
      </c>
      <c r="K378">
        <f>INDIRECT(ADDRESS(378,10))+INDIRECT(ADDRESS(376,11))-INDIRECT(ADDRESS(377,11))</f>
        <v>0</v>
      </c>
      <c r="L378">
        <f>INDIRECT(ADDRESS(378,11))+INDIRECT(ADDRESS(376,12))-INDIRECT(ADDRESS(377,12))</f>
        <v>0</v>
      </c>
      <c r="M378">
        <f>INDIRECT(ADDRESS(378,12))+INDIRECT(ADDRESS(376,13))-INDIRECT(ADDRESS(377,13))</f>
        <v>0</v>
      </c>
      <c r="N378">
        <f>INDIRECT(ADDRESS(378,13))+INDIRECT(ADDRESS(376,14))-INDIRECT(ADDRESS(377,14))</f>
        <v>0</v>
      </c>
      <c r="O378">
        <f>INDIRECT(ADDRESS(378,14))+INDIRECT(ADDRESS(376,15))-INDIRECT(ADDRESS(377,15))</f>
        <v>0</v>
      </c>
      <c r="P378">
        <f>INDIRECT(ADDRESS(378,15))+INDIRECT(ADDRESS(376,16))-INDIRECT(ADDRESS(377,16))</f>
        <v>0</v>
      </c>
      <c r="Q378">
        <f>INDIRECT(ADDRESS(378,16))+INDIRECT(ADDRESS(376,17))-INDIRECT(ADDRESS(377,17))</f>
        <v>0</v>
      </c>
      <c r="R378">
        <f>INDIRECT(ADDRESS(378,17))+INDIRECT(ADDRESS(376,18))-INDIRECT(ADDRESS(377,18))</f>
        <v>0</v>
      </c>
      <c r="S378">
        <f>INDIRECT(ADDRESS(378,18))+INDIRECT(ADDRESS(376,19))-INDIRECT(ADDRESS(377,19))</f>
        <v>0</v>
      </c>
      <c r="T378">
        <f>INDIRECT(ADDRESS(378,19))+INDIRECT(ADDRESS(376,20))-INDIRECT(ADDRESS(377,20))</f>
        <v>0</v>
      </c>
      <c r="U378">
        <f>INDIRECT(ADDRESS(378,20))+INDIRECT(ADDRESS(376,21))-INDIRECT(ADDRESS(377,21))</f>
        <v>0</v>
      </c>
      <c r="V378">
        <f>INDIRECT(ADDRESS(378,21))+INDIRECT(ADDRESS(376,22))-INDIRECT(ADDRESS(377,22))</f>
        <v>0</v>
      </c>
      <c r="W378">
        <f>INDIRECT(ADDRESS(378,22))+INDIRECT(ADDRESS(376,23))-INDIRECT(ADDRESS(377,23))</f>
        <v>0</v>
      </c>
      <c r="X378">
        <f>INDIRECT(ADDRESS(378,23))+INDIRECT(ADDRESS(376,24))-INDIRECT(ADDRESS(377,24))</f>
        <v>0</v>
      </c>
      <c r="Y378">
        <f>INDIRECT(ADDRESS(378,24))+INDIRECT(ADDRESS(376,25))-INDIRECT(ADDRESS(377,25))</f>
        <v>0</v>
      </c>
      <c r="Z378">
        <f>INDIRECT(ADDRESS(378,25))+INDIRECT(ADDRESS(376,26))-INDIRECT(ADDRESS(377,26))</f>
        <v>0</v>
      </c>
      <c r="AA378">
        <f>INDIRECT(ADDRESS(378,26))+INDIRECT(ADDRESS(376,27))-INDIRECT(ADDRESS(377,27))</f>
        <v>0</v>
      </c>
      <c r="AB378">
        <f>INDIRECT(ADDRESS(378,27))+INDIRECT(ADDRESS(376,28))-INDIRECT(ADDRESS(377,28))</f>
        <v>0</v>
      </c>
      <c r="AC378">
        <f>INDIRECT(ADDRESS(378,28))+INDIRECT(ADDRESS(376,29))-INDIRECT(ADDRESS(377,29))</f>
        <v>0</v>
      </c>
      <c r="AD378">
        <f>INDIRECT(ADDRESS(378,29))+INDIRECT(ADDRESS(376,30))-INDIRECT(ADDRESS(377,30))</f>
        <v>0</v>
      </c>
      <c r="AE378">
        <f>INDIRECT(ADDRESS(378,30))+INDIRECT(ADDRESS(376,31))-INDIRECT(ADDRESS(377,31))</f>
        <v>0</v>
      </c>
      <c r="AF378">
        <f>INDIRECT(ADDRESS(378,31))+INDIRECT(ADDRESS(376,32))-INDIRECT(ADDRESS(377,32))</f>
        <v>0</v>
      </c>
      <c r="AG378">
        <f>INDIRECT(ADDRESS(378,32))+INDIRECT(ADDRESS(376,33))-INDIRECT(ADDRESS(377,33))</f>
        <v>0</v>
      </c>
      <c r="AH378">
        <f>INDIRECT(ADDRESS(378,33))+INDIRECT(ADDRESS(376,34))-INDIRECT(ADDRESS(377,34))</f>
        <v>0</v>
      </c>
      <c r="AI378">
        <f>INDIRECT(ADDRESS(378,34))+INDIRECT(ADDRESS(376,35))-INDIRECT(ADDRESS(377,35))</f>
        <v>0</v>
      </c>
      <c r="AJ378">
        <f>INDIRECT(ADDRESS(378,35))+INDIRECT(ADDRESS(376,36))-INDIRECT(ADDRESS(377,36))</f>
        <v>0</v>
      </c>
      <c r="AK378">
        <f>INDIRECT(ADDRESS(378,36))+INDIRECT(ADDRESS(376,37))-INDIRECT(ADDRESS(377,37))</f>
        <v>0</v>
      </c>
      <c r="AL378">
        <f>INDIRECT(ADDRESS(378,37))+INDIRECT(ADDRESS(376,38))-INDIRECT(ADDRESS(377,38))</f>
        <v>0</v>
      </c>
      <c r="AM378">
        <f>INDIRECT(ADDRESS(378,38))+INDIRECT(ADDRESS(376,39))-INDIRECT(ADDRESS(377,39))</f>
        <v>0</v>
      </c>
      <c r="AN378">
        <f>INDIRECT(ADDRESS(378,39))+INDIRECT(ADDRESS(376,40))-INDIRECT(ADDRESS(377,40))</f>
        <v>0</v>
      </c>
      <c r="AO378">
        <f>SUM(INDIRECT(ADDRESS(377,8)):INDIRECT(ADDRESS(377,39)))</f>
        <v>0</v>
      </c>
    </row>
    <row r="379" spans="1:41">
      <c r="A379" t="s">
        <v>185</v>
      </c>
      <c r="B379" t="s">
        <v>312</v>
      </c>
      <c r="C379" t="s">
        <v>313</v>
      </c>
      <c r="E379">
        <v>1</v>
      </c>
      <c r="I379" t="s">
        <v>177</v>
      </c>
    </row>
    <row r="380" spans="1:41">
      <c r="I380" t="s">
        <v>178</v>
      </c>
      <c r="J380">
        <f>IFERROR(VLOOKUP("924-718057-200",B:AB,1+8,0),0)</f>
        <v>0</v>
      </c>
      <c r="K380">
        <f>IFERROR(VLOOKUP("924-718057-200",B:AB,2+8,0),0)</f>
        <v>0</v>
      </c>
      <c r="L380">
        <f>IFERROR(VLOOKUP("924-718057-200",B:AB,3+8,0),0)</f>
        <v>0</v>
      </c>
      <c r="M380">
        <f>IFERROR(VLOOKUP("924-718057-200",B:AB,4+8,0),0)</f>
        <v>0</v>
      </c>
      <c r="N380">
        <f>IFERROR(VLOOKUP("924-718057-200",B:AB,5+8,0),0)</f>
        <v>0</v>
      </c>
      <c r="O380">
        <f>IFERROR(VLOOKUP("924-718057-200",B:AB,6+8,0),0)</f>
        <v>0</v>
      </c>
      <c r="P380">
        <f>IFERROR(VLOOKUP("924-718057-200",B:AB,7+8,0),0)</f>
        <v>0</v>
      </c>
      <c r="Q380">
        <f>IFERROR(VLOOKUP("924-718057-200",B:AB,8+8,0),0)</f>
        <v>0</v>
      </c>
      <c r="R380">
        <f>IFERROR(VLOOKUP("924-718057-200",B:AB,9+8,0),0)</f>
        <v>0</v>
      </c>
      <c r="S380">
        <f>IFERROR(VLOOKUP("924-718057-200",B:AB,10+8,0),0)</f>
        <v>0</v>
      </c>
      <c r="T380">
        <f>IFERROR(VLOOKUP("924-718057-200",B:AB,11+8,0),0)</f>
        <v>0</v>
      </c>
      <c r="U380">
        <f>IFERROR(VLOOKUP("924-718057-200",B:AB,12+8,0),0)</f>
        <v>0</v>
      </c>
      <c r="V380">
        <f>IFERROR(VLOOKUP("924-718057-200",B:AB,13+8,0),0)</f>
        <v>0</v>
      </c>
      <c r="W380">
        <f>IFERROR(VLOOKUP("924-718057-200",B:AB,14+8,0),0)</f>
        <v>0</v>
      </c>
      <c r="X380">
        <f>IFERROR(VLOOKUP("924-718057-200",B:AB,15+8,0),0)</f>
        <v>0</v>
      </c>
      <c r="Y380">
        <f>IFERROR(VLOOKUP("924-718057-200",B:AB,16+8,0),0)</f>
        <v>0</v>
      </c>
      <c r="Z380">
        <f>IFERROR(VLOOKUP("924-718057-200",B:AB,17+8,0),0)</f>
        <v>0</v>
      </c>
      <c r="AA380">
        <f>IFERROR(VLOOKUP("924-718057-200",B:AB,18+8,0),0)</f>
        <v>0</v>
      </c>
      <c r="AB380">
        <f>IFERROR(VLOOKUP("924-718057-200",B:AB,19+8,0),0)</f>
        <v>0</v>
      </c>
      <c r="AC380">
        <f>IFERROR(VLOOKUP("924-718057-200",B:AB,20+8,0),0)</f>
        <v>0</v>
      </c>
      <c r="AD380">
        <f>IFERROR(VLOOKUP("924-718057-200",B:AB,21+8,0),0)</f>
        <v>0</v>
      </c>
      <c r="AE380">
        <f>IFERROR(VLOOKUP("924-718057-200",B:AB,22+8,0),0)</f>
        <v>0</v>
      </c>
      <c r="AF380">
        <f>IFERROR(VLOOKUP("924-718057-200",B:AB,23+8,0),0)</f>
        <v>0</v>
      </c>
      <c r="AG380">
        <f>IFERROR(VLOOKUP("924-718057-200",B:AB,24+8,0),0)</f>
        <v>0</v>
      </c>
      <c r="AH380">
        <f>IFERROR(VLOOKUP("924-718057-200",B:AB,25+8,0),0)</f>
        <v>0</v>
      </c>
      <c r="AI380">
        <f>IFERROR(VLOOKUP("924-718057-200",B:AB,26+8,0),0)</f>
        <v>0</v>
      </c>
      <c r="AJ380">
        <f>IFERROR(VLOOKUP("924-718057-200",B:AB,27+8,0),0)</f>
        <v>0</v>
      </c>
      <c r="AK380">
        <f>IFERROR(VLOOKUP("924-718057-200",B:AB,28+8,0),0)</f>
        <v>0</v>
      </c>
      <c r="AL380">
        <f>IFERROR(VLOOKUP("924-718057-200",B:AB,29+8,0),0)</f>
        <v>0</v>
      </c>
      <c r="AM380">
        <f>IFERROR(VLOOKUP("924-718057-200",B:AB,30+8,0),0)</f>
        <v>0</v>
      </c>
      <c r="AN380">
        <f>IFERROR(VLOOKUP("924-718057-200",B:AB,31+8,0),0)</f>
        <v>0</v>
      </c>
      <c r="AO380">
        <f>SUN(INDIRECT(ADDRESS(379,8)):INDIRECT(ADDRESS(379,39)))</f>
        <v>0</v>
      </c>
    </row>
    <row r="381" spans="1:41">
      <c r="H381" t="s">
        <v>179</v>
      </c>
      <c r="J381">
        <f>INDIRECT(ADDRESS(381,9))+INDIRECT(ADDRESS(379,10))-INDIRECT(ADDRESS(380,10))</f>
        <v>0</v>
      </c>
      <c r="K381">
        <f>INDIRECT(ADDRESS(381,10))+INDIRECT(ADDRESS(379,11))-INDIRECT(ADDRESS(380,11))</f>
        <v>0</v>
      </c>
      <c r="L381">
        <f>INDIRECT(ADDRESS(381,11))+INDIRECT(ADDRESS(379,12))-INDIRECT(ADDRESS(380,12))</f>
        <v>0</v>
      </c>
      <c r="M381">
        <f>INDIRECT(ADDRESS(381,12))+INDIRECT(ADDRESS(379,13))-INDIRECT(ADDRESS(380,13))</f>
        <v>0</v>
      </c>
      <c r="N381">
        <f>INDIRECT(ADDRESS(381,13))+INDIRECT(ADDRESS(379,14))-INDIRECT(ADDRESS(380,14))</f>
        <v>0</v>
      </c>
      <c r="O381">
        <f>INDIRECT(ADDRESS(381,14))+INDIRECT(ADDRESS(379,15))-INDIRECT(ADDRESS(380,15))</f>
        <v>0</v>
      </c>
      <c r="P381">
        <f>INDIRECT(ADDRESS(381,15))+INDIRECT(ADDRESS(379,16))-INDIRECT(ADDRESS(380,16))</f>
        <v>0</v>
      </c>
      <c r="Q381">
        <f>INDIRECT(ADDRESS(381,16))+INDIRECT(ADDRESS(379,17))-INDIRECT(ADDRESS(380,17))</f>
        <v>0</v>
      </c>
      <c r="R381">
        <f>INDIRECT(ADDRESS(381,17))+INDIRECT(ADDRESS(379,18))-INDIRECT(ADDRESS(380,18))</f>
        <v>0</v>
      </c>
      <c r="S381">
        <f>INDIRECT(ADDRESS(381,18))+INDIRECT(ADDRESS(379,19))-INDIRECT(ADDRESS(380,19))</f>
        <v>0</v>
      </c>
      <c r="T381">
        <f>INDIRECT(ADDRESS(381,19))+INDIRECT(ADDRESS(379,20))-INDIRECT(ADDRESS(380,20))</f>
        <v>0</v>
      </c>
      <c r="U381">
        <f>INDIRECT(ADDRESS(381,20))+INDIRECT(ADDRESS(379,21))-INDIRECT(ADDRESS(380,21))</f>
        <v>0</v>
      </c>
      <c r="V381">
        <f>INDIRECT(ADDRESS(381,21))+INDIRECT(ADDRESS(379,22))-INDIRECT(ADDRESS(380,22))</f>
        <v>0</v>
      </c>
      <c r="W381">
        <f>INDIRECT(ADDRESS(381,22))+INDIRECT(ADDRESS(379,23))-INDIRECT(ADDRESS(380,23))</f>
        <v>0</v>
      </c>
      <c r="X381">
        <f>INDIRECT(ADDRESS(381,23))+INDIRECT(ADDRESS(379,24))-INDIRECT(ADDRESS(380,24))</f>
        <v>0</v>
      </c>
      <c r="Y381">
        <f>INDIRECT(ADDRESS(381,24))+INDIRECT(ADDRESS(379,25))-INDIRECT(ADDRESS(380,25))</f>
        <v>0</v>
      </c>
      <c r="Z381">
        <f>INDIRECT(ADDRESS(381,25))+INDIRECT(ADDRESS(379,26))-INDIRECT(ADDRESS(380,26))</f>
        <v>0</v>
      </c>
      <c r="AA381">
        <f>INDIRECT(ADDRESS(381,26))+INDIRECT(ADDRESS(379,27))-INDIRECT(ADDRESS(380,27))</f>
        <v>0</v>
      </c>
      <c r="AB381">
        <f>INDIRECT(ADDRESS(381,27))+INDIRECT(ADDRESS(379,28))-INDIRECT(ADDRESS(380,28))</f>
        <v>0</v>
      </c>
      <c r="AC381">
        <f>INDIRECT(ADDRESS(381,28))+INDIRECT(ADDRESS(379,29))-INDIRECT(ADDRESS(380,29))</f>
        <v>0</v>
      </c>
      <c r="AD381">
        <f>INDIRECT(ADDRESS(381,29))+INDIRECT(ADDRESS(379,30))-INDIRECT(ADDRESS(380,30))</f>
        <v>0</v>
      </c>
      <c r="AE381">
        <f>INDIRECT(ADDRESS(381,30))+INDIRECT(ADDRESS(379,31))-INDIRECT(ADDRESS(380,31))</f>
        <v>0</v>
      </c>
      <c r="AF381">
        <f>INDIRECT(ADDRESS(381,31))+INDIRECT(ADDRESS(379,32))-INDIRECT(ADDRESS(380,32))</f>
        <v>0</v>
      </c>
      <c r="AG381">
        <f>INDIRECT(ADDRESS(381,32))+INDIRECT(ADDRESS(379,33))-INDIRECT(ADDRESS(380,33))</f>
        <v>0</v>
      </c>
      <c r="AH381">
        <f>INDIRECT(ADDRESS(381,33))+INDIRECT(ADDRESS(379,34))-INDIRECT(ADDRESS(380,34))</f>
        <v>0</v>
      </c>
      <c r="AI381">
        <f>INDIRECT(ADDRESS(381,34))+INDIRECT(ADDRESS(379,35))-INDIRECT(ADDRESS(380,35))</f>
        <v>0</v>
      </c>
      <c r="AJ381">
        <f>INDIRECT(ADDRESS(381,35))+INDIRECT(ADDRESS(379,36))-INDIRECT(ADDRESS(380,36))</f>
        <v>0</v>
      </c>
      <c r="AK381">
        <f>INDIRECT(ADDRESS(381,36))+INDIRECT(ADDRESS(379,37))-INDIRECT(ADDRESS(380,37))</f>
        <v>0</v>
      </c>
      <c r="AL381">
        <f>INDIRECT(ADDRESS(381,37))+INDIRECT(ADDRESS(379,38))-INDIRECT(ADDRESS(380,38))</f>
        <v>0</v>
      </c>
      <c r="AM381">
        <f>INDIRECT(ADDRESS(381,38))+INDIRECT(ADDRESS(379,39))-INDIRECT(ADDRESS(380,39))</f>
        <v>0</v>
      </c>
      <c r="AN381">
        <f>INDIRECT(ADDRESS(381,39))+INDIRECT(ADDRESS(379,40))-INDIRECT(ADDRESS(380,40))</f>
        <v>0</v>
      </c>
      <c r="AO381">
        <f>SUM(INDIRECT(ADDRESS(380,8)):INDIRECT(ADDRESS(380,39)))</f>
        <v>0</v>
      </c>
    </row>
    <row r="382" spans="1:41">
      <c r="A382" t="s">
        <v>185</v>
      </c>
      <c r="B382" t="s">
        <v>314</v>
      </c>
      <c r="C382" t="s">
        <v>315</v>
      </c>
      <c r="E382">
        <v>2</v>
      </c>
      <c r="I382" t="s">
        <v>177</v>
      </c>
    </row>
    <row r="383" spans="1:41">
      <c r="I383" t="s">
        <v>178</v>
      </c>
      <c r="J383">
        <f>IFERROR(VLOOKUP("924-718057-200",B:AB,1+8,0),0)</f>
        <v>0</v>
      </c>
      <c r="K383">
        <f>IFERROR(VLOOKUP("924-718057-200",B:AB,2+8,0),0)</f>
        <v>0</v>
      </c>
      <c r="L383">
        <f>IFERROR(VLOOKUP("924-718057-200",B:AB,3+8,0),0)</f>
        <v>0</v>
      </c>
      <c r="M383">
        <f>IFERROR(VLOOKUP("924-718057-200",B:AB,4+8,0),0)</f>
        <v>0</v>
      </c>
      <c r="N383">
        <f>IFERROR(VLOOKUP("924-718057-200",B:AB,5+8,0),0)</f>
        <v>0</v>
      </c>
      <c r="O383">
        <f>IFERROR(VLOOKUP("924-718057-200",B:AB,6+8,0),0)</f>
        <v>0</v>
      </c>
      <c r="P383">
        <f>IFERROR(VLOOKUP("924-718057-200",B:AB,7+8,0),0)</f>
        <v>0</v>
      </c>
      <c r="Q383">
        <f>IFERROR(VLOOKUP("924-718057-200",B:AB,8+8,0),0)</f>
        <v>0</v>
      </c>
      <c r="R383">
        <f>IFERROR(VLOOKUP("924-718057-200",B:AB,9+8,0),0)</f>
        <v>0</v>
      </c>
      <c r="S383">
        <f>IFERROR(VLOOKUP("924-718057-200",B:AB,10+8,0),0)</f>
        <v>0</v>
      </c>
      <c r="T383">
        <f>IFERROR(VLOOKUP("924-718057-200",B:AB,11+8,0),0)</f>
        <v>0</v>
      </c>
      <c r="U383">
        <f>IFERROR(VLOOKUP("924-718057-200",B:AB,12+8,0),0)</f>
        <v>0</v>
      </c>
      <c r="V383">
        <f>IFERROR(VLOOKUP("924-718057-200",B:AB,13+8,0),0)</f>
        <v>0</v>
      </c>
      <c r="W383">
        <f>IFERROR(VLOOKUP("924-718057-200",B:AB,14+8,0),0)</f>
        <v>0</v>
      </c>
      <c r="X383">
        <f>IFERROR(VLOOKUP("924-718057-200",B:AB,15+8,0),0)</f>
        <v>0</v>
      </c>
      <c r="Y383">
        <f>IFERROR(VLOOKUP("924-718057-200",B:AB,16+8,0),0)</f>
        <v>0</v>
      </c>
      <c r="Z383">
        <f>IFERROR(VLOOKUP("924-718057-200",B:AB,17+8,0),0)</f>
        <v>0</v>
      </c>
      <c r="AA383">
        <f>IFERROR(VLOOKUP("924-718057-200",B:AB,18+8,0),0)</f>
        <v>0</v>
      </c>
      <c r="AB383">
        <f>IFERROR(VLOOKUP("924-718057-200",B:AB,19+8,0),0)</f>
        <v>0</v>
      </c>
      <c r="AC383">
        <f>IFERROR(VLOOKUP("924-718057-200",B:AB,20+8,0),0)</f>
        <v>0</v>
      </c>
      <c r="AD383">
        <f>IFERROR(VLOOKUP("924-718057-200",B:AB,21+8,0),0)</f>
        <v>0</v>
      </c>
      <c r="AE383">
        <f>IFERROR(VLOOKUP("924-718057-200",B:AB,22+8,0),0)</f>
        <v>0</v>
      </c>
      <c r="AF383">
        <f>IFERROR(VLOOKUP("924-718057-200",B:AB,23+8,0),0)</f>
        <v>0</v>
      </c>
      <c r="AG383">
        <f>IFERROR(VLOOKUP("924-718057-200",B:AB,24+8,0),0)</f>
        <v>0</v>
      </c>
      <c r="AH383">
        <f>IFERROR(VLOOKUP("924-718057-200",B:AB,25+8,0),0)</f>
        <v>0</v>
      </c>
      <c r="AI383">
        <f>IFERROR(VLOOKUP("924-718057-200",B:AB,26+8,0),0)</f>
        <v>0</v>
      </c>
      <c r="AJ383">
        <f>IFERROR(VLOOKUP("924-718057-200",B:AB,27+8,0),0)</f>
        <v>0</v>
      </c>
      <c r="AK383">
        <f>IFERROR(VLOOKUP("924-718057-200",B:AB,28+8,0),0)</f>
        <v>0</v>
      </c>
      <c r="AL383">
        <f>IFERROR(VLOOKUP("924-718057-200",B:AB,29+8,0),0)</f>
        <v>0</v>
      </c>
      <c r="AM383">
        <f>IFERROR(VLOOKUP("924-718057-200",B:AB,30+8,0),0)</f>
        <v>0</v>
      </c>
      <c r="AN383">
        <f>IFERROR(VLOOKUP("924-718057-200",B:AB,31+8,0),0)</f>
        <v>0</v>
      </c>
      <c r="AO383">
        <f>SUN(INDIRECT(ADDRESS(382,8)):INDIRECT(ADDRESS(382,39)))</f>
        <v>0</v>
      </c>
    </row>
    <row r="384" spans="1:41">
      <c r="H384" t="s">
        <v>179</v>
      </c>
      <c r="J384">
        <f>INDIRECT(ADDRESS(384,9))+INDIRECT(ADDRESS(382,10))-INDIRECT(ADDRESS(383,10))</f>
        <v>0</v>
      </c>
      <c r="K384">
        <f>INDIRECT(ADDRESS(384,10))+INDIRECT(ADDRESS(382,11))-INDIRECT(ADDRESS(383,11))</f>
        <v>0</v>
      </c>
      <c r="L384">
        <f>INDIRECT(ADDRESS(384,11))+INDIRECT(ADDRESS(382,12))-INDIRECT(ADDRESS(383,12))</f>
        <v>0</v>
      </c>
      <c r="M384">
        <f>INDIRECT(ADDRESS(384,12))+INDIRECT(ADDRESS(382,13))-INDIRECT(ADDRESS(383,13))</f>
        <v>0</v>
      </c>
      <c r="N384">
        <f>INDIRECT(ADDRESS(384,13))+INDIRECT(ADDRESS(382,14))-INDIRECT(ADDRESS(383,14))</f>
        <v>0</v>
      </c>
      <c r="O384">
        <f>INDIRECT(ADDRESS(384,14))+INDIRECT(ADDRESS(382,15))-INDIRECT(ADDRESS(383,15))</f>
        <v>0</v>
      </c>
      <c r="P384">
        <f>INDIRECT(ADDRESS(384,15))+INDIRECT(ADDRESS(382,16))-INDIRECT(ADDRESS(383,16))</f>
        <v>0</v>
      </c>
      <c r="Q384">
        <f>INDIRECT(ADDRESS(384,16))+INDIRECT(ADDRESS(382,17))-INDIRECT(ADDRESS(383,17))</f>
        <v>0</v>
      </c>
      <c r="R384">
        <f>INDIRECT(ADDRESS(384,17))+INDIRECT(ADDRESS(382,18))-INDIRECT(ADDRESS(383,18))</f>
        <v>0</v>
      </c>
      <c r="S384">
        <f>INDIRECT(ADDRESS(384,18))+INDIRECT(ADDRESS(382,19))-INDIRECT(ADDRESS(383,19))</f>
        <v>0</v>
      </c>
      <c r="T384">
        <f>INDIRECT(ADDRESS(384,19))+INDIRECT(ADDRESS(382,20))-INDIRECT(ADDRESS(383,20))</f>
        <v>0</v>
      </c>
      <c r="U384">
        <f>INDIRECT(ADDRESS(384,20))+INDIRECT(ADDRESS(382,21))-INDIRECT(ADDRESS(383,21))</f>
        <v>0</v>
      </c>
      <c r="V384">
        <f>INDIRECT(ADDRESS(384,21))+INDIRECT(ADDRESS(382,22))-INDIRECT(ADDRESS(383,22))</f>
        <v>0</v>
      </c>
      <c r="W384">
        <f>INDIRECT(ADDRESS(384,22))+INDIRECT(ADDRESS(382,23))-INDIRECT(ADDRESS(383,23))</f>
        <v>0</v>
      </c>
      <c r="X384">
        <f>INDIRECT(ADDRESS(384,23))+INDIRECT(ADDRESS(382,24))-INDIRECT(ADDRESS(383,24))</f>
        <v>0</v>
      </c>
      <c r="Y384">
        <f>INDIRECT(ADDRESS(384,24))+INDIRECT(ADDRESS(382,25))-INDIRECT(ADDRESS(383,25))</f>
        <v>0</v>
      </c>
      <c r="Z384">
        <f>INDIRECT(ADDRESS(384,25))+INDIRECT(ADDRESS(382,26))-INDIRECT(ADDRESS(383,26))</f>
        <v>0</v>
      </c>
      <c r="AA384">
        <f>INDIRECT(ADDRESS(384,26))+INDIRECT(ADDRESS(382,27))-INDIRECT(ADDRESS(383,27))</f>
        <v>0</v>
      </c>
      <c r="AB384">
        <f>INDIRECT(ADDRESS(384,27))+INDIRECT(ADDRESS(382,28))-INDIRECT(ADDRESS(383,28))</f>
        <v>0</v>
      </c>
      <c r="AC384">
        <f>INDIRECT(ADDRESS(384,28))+INDIRECT(ADDRESS(382,29))-INDIRECT(ADDRESS(383,29))</f>
        <v>0</v>
      </c>
      <c r="AD384">
        <f>INDIRECT(ADDRESS(384,29))+INDIRECT(ADDRESS(382,30))-INDIRECT(ADDRESS(383,30))</f>
        <v>0</v>
      </c>
      <c r="AE384">
        <f>INDIRECT(ADDRESS(384,30))+INDIRECT(ADDRESS(382,31))-INDIRECT(ADDRESS(383,31))</f>
        <v>0</v>
      </c>
      <c r="AF384">
        <f>INDIRECT(ADDRESS(384,31))+INDIRECT(ADDRESS(382,32))-INDIRECT(ADDRESS(383,32))</f>
        <v>0</v>
      </c>
      <c r="AG384">
        <f>INDIRECT(ADDRESS(384,32))+INDIRECT(ADDRESS(382,33))-INDIRECT(ADDRESS(383,33))</f>
        <v>0</v>
      </c>
      <c r="AH384">
        <f>INDIRECT(ADDRESS(384,33))+INDIRECT(ADDRESS(382,34))-INDIRECT(ADDRESS(383,34))</f>
        <v>0</v>
      </c>
      <c r="AI384">
        <f>INDIRECT(ADDRESS(384,34))+INDIRECT(ADDRESS(382,35))-INDIRECT(ADDRESS(383,35))</f>
        <v>0</v>
      </c>
      <c r="AJ384">
        <f>INDIRECT(ADDRESS(384,35))+INDIRECT(ADDRESS(382,36))-INDIRECT(ADDRESS(383,36))</f>
        <v>0</v>
      </c>
      <c r="AK384">
        <f>INDIRECT(ADDRESS(384,36))+INDIRECT(ADDRESS(382,37))-INDIRECT(ADDRESS(383,37))</f>
        <v>0</v>
      </c>
      <c r="AL384">
        <f>INDIRECT(ADDRESS(384,37))+INDIRECT(ADDRESS(382,38))-INDIRECT(ADDRESS(383,38))</f>
        <v>0</v>
      </c>
      <c r="AM384">
        <f>INDIRECT(ADDRESS(384,38))+INDIRECT(ADDRESS(382,39))-INDIRECT(ADDRESS(383,39))</f>
        <v>0</v>
      </c>
      <c r="AN384">
        <f>INDIRECT(ADDRESS(384,39))+INDIRECT(ADDRESS(382,40))-INDIRECT(ADDRESS(383,40))</f>
        <v>0</v>
      </c>
      <c r="AO384">
        <f>SUM(INDIRECT(ADDRESS(383,8)):INDIRECT(ADDRESS(383,39)))</f>
        <v>0</v>
      </c>
    </row>
    <row r="385" spans="1:41">
      <c r="A385" t="s">
        <v>185</v>
      </c>
      <c r="B385" t="s">
        <v>316</v>
      </c>
      <c r="C385" t="s">
        <v>317</v>
      </c>
      <c r="E385">
        <v>1</v>
      </c>
      <c r="I385" t="s">
        <v>177</v>
      </c>
    </row>
    <row r="386" spans="1:41">
      <c r="I386" t="s">
        <v>178</v>
      </c>
      <c r="J386">
        <f>IFERROR(VLOOKUP("924-718057-200",B:AB,1+8,0),0)</f>
        <v>0</v>
      </c>
      <c r="K386">
        <f>IFERROR(VLOOKUP("924-718057-200",B:AB,2+8,0),0)</f>
        <v>0</v>
      </c>
      <c r="L386">
        <f>IFERROR(VLOOKUP("924-718057-200",B:AB,3+8,0),0)</f>
        <v>0</v>
      </c>
      <c r="M386">
        <f>IFERROR(VLOOKUP("924-718057-200",B:AB,4+8,0),0)</f>
        <v>0</v>
      </c>
      <c r="N386">
        <f>IFERROR(VLOOKUP("924-718057-200",B:AB,5+8,0),0)</f>
        <v>0</v>
      </c>
      <c r="O386">
        <f>IFERROR(VLOOKUP("924-718057-200",B:AB,6+8,0),0)</f>
        <v>0</v>
      </c>
      <c r="P386">
        <f>IFERROR(VLOOKUP("924-718057-200",B:AB,7+8,0),0)</f>
        <v>0</v>
      </c>
      <c r="Q386">
        <f>IFERROR(VLOOKUP("924-718057-200",B:AB,8+8,0),0)</f>
        <v>0</v>
      </c>
      <c r="R386">
        <f>IFERROR(VLOOKUP("924-718057-200",B:AB,9+8,0),0)</f>
        <v>0</v>
      </c>
      <c r="S386">
        <f>IFERROR(VLOOKUP("924-718057-200",B:AB,10+8,0),0)</f>
        <v>0</v>
      </c>
      <c r="T386">
        <f>IFERROR(VLOOKUP("924-718057-200",B:AB,11+8,0),0)</f>
        <v>0</v>
      </c>
      <c r="U386">
        <f>IFERROR(VLOOKUP("924-718057-200",B:AB,12+8,0),0)</f>
        <v>0</v>
      </c>
      <c r="V386">
        <f>IFERROR(VLOOKUP("924-718057-200",B:AB,13+8,0),0)</f>
        <v>0</v>
      </c>
      <c r="W386">
        <f>IFERROR(VLOOKUP("924-718057-200",B:AB,14+8,0),0)</f>
        <v>0</v>
      </c>
      <c r="X386">
        <f>IFERROR(VLOOKUP("924-718057-200",B:AB,15+8,0),0)</f>
        <v>0</v>
      </c>
      <c r="Y386">
        <f>IFERROR(VLOOKUP("924-718057-200",B:AB,16+8,0),0)</f>
        <v>0</v>
      </c>
      <c r="Z386">
        <f>IFERROR(VLOOKUP("924-718057-200",B:AB,17+8,0),0)</f>
        <v>0</v>
      </c>
      <c r="AA386">
        <f>IFERROR(VLOOKUP("924-718057-200",B:AB,18+8,0),0)</f>
        <v>0</v>
      </c>
      <c r="AB386">
        <f>IFERROR(VLOOKUP("924-718057-200",B:AB,19+8,0),0)</f>
        <v>0</v>
      </c>
      <c r="AC386">
        <f>IFERROR(VLOOKUP("924-718057-200",B:AB,20+8,0),0)</f>
        <v>0</v>
      </c>
      <c r="AD386">
        <f>IFERROR(VLOOKUP("924-718057-200",B:AB,21+8,0),0)</f>
        <v>0</v>
      </c>
      <c r="AE386">
        <f>IFERROR(VLOOKUP("924-718057-200",B:AB,22+8,0),0)</f>
        <v>0</v>
      </c>
      <c r="AF386">
        <f>IFERROR(VLOOKUP("924-718057-200",B:AB,23+8,0),0)</f>
        <v>0</v>
      </c>
      <c r="AG386">
        <f>IFERROR(VLOOKUP("924-718057-200",B:AB,24+8,0),0)</f>
        <v>0</v>
      </c>
      <c r="AH386">
        <f>IFERROR(VLOOKUP("924-718057-200",B:AB,25+8,0),0)</f>
        <v>0</v>
      </c>
      <c r="AI386">
        <f>IFERROR(VLOOKUP("924-718057-200",B:AB,26+8,0),0)</f>
        <v>0</v>
      </c>
      <c r="AJ386">
        <f>IFERROR(VLOOKUP("924-718057-200",B:AB,27+8,0),0)</f>
        <v>0</v>
      </c>
      <c r="AK386">
        <f>IFERROR(VLOOKUP("924-718057-200",B:AB,28+8,0),0)</f>
        <v>0</v>
      </c>
      <c r="AL386">
        <f>IFERROR(VLOOKUP("924-718057-200",B:AB,29+8,0),0)</f>
        <v>0</v>
      </c>
      <c r="AM386">
        <f>IFERROR(VLOOKUP("924-718057-200",B:AB,30+8,0),0)</f>
        <v>0</v>
      </c>
      <c r="AN386">
        <f>IFERROR(VLOOKUP("924-718057-200",B:AB,31+8,0),0)</f>
        <v>0</v>
      </c>
      <c r="AO386">
        <f>SUN(INDIRECT(ADDRESS(385,8)):INDIRECT(ADDRESS(385,39)))</f>
        <v>0</v>
      </c>
    </row>
    <row r="387" spans="1:41">
      <c r="H387" t="s">
        <v>179</v>
      </c>
      <c r="J387">
        <f>INDIRECT(ADDRESS(387,9))+INDIRECT(ADDRESS(385,10))-INDIRECT(ADDRESS(386,10))</f>
        <v>0</v>
      </c>
      <c r="K387">
        <f>INDIRECT(ADDRESS(387,10))+INDIRECT(ADDRESS(385,11))-INDIRECT(ADDRESS(386,11))</f>
        <v>0</v>
      </c>
      <c r="L387">
        <f>INDIRECT(ADDRESS(387,11))+INDIRECT(ADDRESS(385,12))-INDIRECT(ADDRESS(386,12))</f>
        <v>0</v>
      </c>
      <c r="M387">
        <f>INDIRECT(ADDRESS(387,12))+INDIRECT(ADDRESS(385,13))-INDIRECT(ADDRESS(386,13))</f>
        <v>0</v>
      </c>
      <c r="N387">
        <f>INDIRECT(ADDRESS(387,13))+INDIRECT(ADDRESS(385,14))-INDIRECT(ADDRESS(386,14))</f>
        <v>0</v>
      </c>
      <c r="O387">
        <f>INDIRECT(ADDRESS(387,14))+INDIRECT(ADDRESS(385,15))-INDIRECT(ADDRESS(386,15))</f>
        <v>0</v>
      </c>
      <c r="P387">
        <f>INDIRECT(ADDRESS(387,15))+INDIRECT(ADDRESS(385,16))-INDIRECT(ADDRESS(386,16))</f>
        <v>0</v>
      </c>
      <c r="Q387">
        <f>INDIRECT(ADDRESS(387,16))+INDIRECT(ADDRESS(385,17))-INDIRECT(ADDRESS(386,17))</f>
        <v>0</v>
      </c>
      <c r="R387">
        <f>INDIRECT(ADDRESS(387,17))+INDIRECT(ADDRESS(385,18))-INDIRECT(ADDRESS(386,18))</f>
        <v>0</v>
      </c>
      <c r="S387">
        <f>INDIRECT(ADDRESS(387,18))+INDIRECT(ADDRESS(385,19))-INDIRECT(ADDRESS(386,19))</f>
        <v>0</v>
      </c>
      <c r="T387">
        <f>INDIRECT(ADDRESS(387,19))+INDIRECT(ADDRESS(385,20))-INDIRECT(ADDRESS(386,20))</f>
        <v>0</v>
      </c>
      <c r="U387">
        <f>INDIRECT(ADDRESS(387,20))+INDIRECT(ADDRESS(385,21))-INDIRECT(ADDRESS(386,21))</f>
        <v>0</v>
      </c>
      <c r="V387">
        <f>INDIRECT(ADDRESS(387,21))+INDIRECT(ADDRESS(385,22))-INDIRECT(ADDRESS(386,22))</f>
        <v>0</v>
      </c>
      <c r="W387">
        <f>INDIRECT(ADDRESS(387,22))+INDIRECT(ADDRESS(385,23))-INDIRECT(ADDRESS(386,23))</f>
        <v>0</v>
      </c>
      <c r="X387">
        <f>INDIRECT(ADDRESS(387,23))+INDIRECT(ADDRESS(385,24))-INDIRECT(ADDRESS(386,24))</f>
        <v>0</v>
      </c>
      <c r="Y387">
        <f>INDIRECT(ADDRESS(387,24))+INDIRECT(ADDRESS(385,25))-INDIRECT(ADDRESS(386,25))</f>
        <v>0</v>
      </c>
      <c r="Z387">
        <f>INDIRECT(ADDRESS(387,25))+INDIRECT(ADDRESS(385,26))-INDIRECT(ADDRESS(386,26))</f>
        <v>0</v>
      </c>
      <c r="AA387">
        <f>INDIRECT(ADDRESS(387,26))+INDIRECT(ADDRESS(385,27))-INDIRECT(ADDRESS(386,27))</f>
        <v>0</v>
      </c>
      <c r="AB387">
        <f>INDIRECT(ADDRESS(387,27))+INDIRECT(ADDRESS(385,28))-INDIRECT(ADDRESS(386,28))</f>
        <v>0</v>
      </c>
      <c r="AC387">
        <f>INDIRECT(ADDRESS(387,28))+INDIRECT(ADDRESS(385,29))-INDIRECT(ADDRESS(386,29))</f>
        <v>0</v>
      </c>
      <c r="AD387">
        <f>INDIRECT(ADDRESS(387,29))+INDIRECT(ADDRESS(385,30))-INDIRECT(ADDRESS(386,30))</f>
        <v>0</v>
      </c>
      <c r="AE387">
        <f>INDIRECT(ADDRESS(387,30))+INDIRECT(ADDRESS(385,31))-INDIRECT(ADDRESS(386,31))</f>
        <v>0</v>
      </c>
      <c r="AF387">
        <f>INDIRECT(ADDRESS(387,31))+INDIRECT(ADDRESS(385,32))-INDIRECT(ADDRESS(386,32))</f>
        <v>0</v>
      </c>
      <c r="AG387">
        <f>INDIRECT(ADDRESS(387,32))+INDIRECT(ADDRESS(385,33))-INDIRECT(ADDRESS(386,33))</f>
        <v>0</v>
      </c>
      <c r="AH387">
        <f>INDIRECT(ADDRESS(387,33))+INDIRECT(ADDRESS(385,34))-INDIRECT(ADDRESS(386,34))</f>
        <v>0</v>
      </c>
      <c r="AI387">
        <f>INDIRECT(ADDRESS(387,34))+INDIRECT(ADDRESS(385,35))-INDIRECT(ADDRESS(386,35))</f>
        <v>0</v>
      </c>
      <c r="AJ387">
        <f>INDIRECT(ADDRESS(387,35))+INDIRECT(ADDRESS(385,36))-INDIRECT(ADDRESS(386,36))</f>
        <v>0</v>
      </c>
      <c r="AK387">
        <f>INDIRECT(ADDRESS(387,36))+INDIRECT(ADDRESS(385,37))-INDIRECT(ADDRESS(386,37))</f>
        <v>0</v>
      </c>
      <c r="AL387">
        <f>INDIRECT(ADDRESS(387,37))+INDIRECT(ADDRESS(385,38))-INDIRECT(ADDRESS(386,38))</f>
        <v>0</v>
      </c>
      <c r="AM387">
        <f>INDIRECT(ADDRESS(387,38))+INDIRECT(ADDRESS(385,39))-INDIRECT(ADDRESS(386,39))</f>
        <v>0</v>
      </c>
      <c r="AN387">
        <f>INDIRECT(ADDRESS(387,39))+INDIRECT(ADDRESS(385,40))-INDIRECT(ADDRESS(386,40))</f>
        <v>0</v>
      </c>
      <c r="AO387">
        <f>SUM(INDIRECT(ADDRESS(386,8)):INDIRECT(ADDRESS(386,39)))</f>
        <v>0</v>
      </c>
    </row>
    <row r="388" spans="1:41">
      <c r="A388" t="s">
        <v>185</v>
      </c>
      <c r="B388" t="s">
        <v>318</v>
      </c>
      <c r="C388" t="s">
        <v>319</v>
      </c>
      <c r="E388">
        <v>1</v>
      </c>
      <c r="I388" t="s">
        <v>177</v>
      </c>
    </row>
    <row r="389" spans="1:41">
      <c r="I389" t="s">
        <v>178</v>
      </c>
      <c r="J389">
        <f>IFERROR(VLOOKUP("924-718057-200",B:AB,1+8,0),0)</f>
        <v>0</v>
      </c>
      <c r="K389">
        <f>IFERROR(VLOOKUP("924-718057-200",B:AB,2+8,0),0)</f>
        <v>0</v>
      </c>
      <c r="L389">
        <f>IFERROR(VLOOKUP("924-718057-200",B:AB,3+8,0),0)</f>
        <v>0</v>
      </c>
      <c r="M389">
        <f>IFERROR(VLOOKUP("924-718057-200",B:AB,4+8,0),0)</f>
        <v>0</v>
      </c>
      <c r="N389">
        <f>IFERROR(VLOOKUP("924-718057-200",B:AB,5+8,0),0)</f>
        <v>0</v>
      </c>
      <c r="O389">
        <f>IFERROR(VLOOKUP("924-718057-200",B:AB,6+8,0),0)</f>
        <v>0</v>
      </c>
      <c r="P389">
        <f>IFERROR(VLOOKUP("924-718057-200",B:AB,7+8,0),0)</f>
        <v>0</v>
      </c>
      <c r="Q389">
        <f>IFERROR(VLOOKUP("924-718057-200",B:AB,8+8,0),0)</f>
        <v>0</v>
      </c>
      <c r="R389">
        <f>IFERROR(VLOOKUP("924-718057-200",B:AB,9+8,0),0)</f>
        <v>0</v>
      </c>
      <c r="S389">
        <f>IFERROR(VLOOKUP("924-718057-200",B:AB,10+8,0),0)</f>
        <v>0</v>
      </c>
      <c r="T389">
        <f>IFERROR(VLOOKUP("924-718057-200",B:AB,11+8,0),0)</f>
        <v>0</v>
      </c>
      <c r="U389">
        <f>IFERROR(VLOOKUP("924-718057-200",B:AB,12+8,0),0)</f>
        <v>0</v>
      </c>
      <c r="V389">
        <f>IFERROR(VLOOKUP("924-718057-200",B:AB,13+8,0),0)</f>
        <v>0</v>
      </c>
      <c r="W389">
        <f>IFERROR(VLOOKUP("924-718057-200",B:AB,14+8,0),0)</f>
        <v>0</v>
      </c>
      <c r="X389">
        <f>IFERROR(VLOOKUP("924-718057-200",B:AB,15+8,0),0)</f>
        <v>0</v>
      </c>
      <c r="Y389">
        <f>IFERROR(VLOOKUP("924-718057-200",B:AB,16+8,0),0)</f>
        <v>0</v>
      </c>
      <c r="Z389">
        <f>IFERROR(VLOOKUP("924-718057-200",B:AB,17+8,0),0)</f>
        <v>0</v>
      </c>
      <c r="AA389">
        <f>IFERROR(VLOOKUP("924-718057-200",B:AB,18+8,0),0)</f>
        <v>0</v>
      </c>
      <c r="AB389">
        <f>IFERROR(VLOOKUP("924-718057-200",B:AB,19+8,0),0)</f>
        <v>0</v>
      </c>
      <c r="AC389">
        <f>IFERROR(VLOOKUP("924-718057-200",B:AB,20+8,0),0)</f>
        <v>0</v>
      </c>
      <c r="AD389">
        <f>IFERROR(VLOOKUP("924-718057-200",B:AB,21+8,0),0)</f>
        <v>0</v>
      </c>
      <c r="AE389">
        <f>IFERROR(VLOOKUP("924-718057-200",B:AB,22+8,0),0)</f>
        <v>0</v>
      </c>
      <c r="AF389">
        <f>IFERROR(VLOOKUP("924-718057-200",B:AB,23+8,0),0)</f>
        <v>0</v>
      </c>
      <c r="AG389">
        <f>IFERROR(VLOOKUP("924-718057-200",B:AB,24+8,0),0)</f>
        <v>0</v>
      </c>
      <c r="AH389">
        <f>IFERROR(VLOOKUP("924-718057-200",B:AB,25+8,0),0)</f>
        <v>0</v>
      </c>
      <c r="AI389">
        <f>IFERROR(VLOOKUP("924-718057-200",B:AB,26+8,0),0)</f>
        <v>0</v>
      </c>
      <c r="AJ389">
        <f>IFERROR(VLOOKUP("924-718057-200",B:AB,27+8,0),0)</f>
        <v>0</v>
      </c>
      <c r="AK389">
        <f>IFERROR(VLOOKUP("924-718057-200",B:AB,28+8,0),0)</f>
        <v>0</v>
      </c>
      <c r="AL389">
        <f>IFERROR(VLOOKUP("924-718057-200",B:AB,29+8,0),0)</f>
        <v>0</v>
      </c>
      <c r="AM389">
        <f>IFERROR(VLOOKUP("924-718057-200",B:AB,30+8,0),0)</f>
        <v>0</v>
      </c>
      <c r="AN389">
        <f>IFERROR(VLOOKUP("924-718057-200",B:AB,31+8,0),0)</f>
        <v>0</v>
      </c>
      <c r="AO389">
        <f>SUN(INDIRECT(ADDRESS(388,8)):INDIRECT(ADDRESS(388,39)))</f>
        <v>0</v>
      </c>
    </row>
    <row r="390" spans="1:41">
      <c r="H390" t="s">
        <v>179</v>
      </c>
      <c r="J390">
        <f>INDIRECT(ADDRESS(390,9))+INDIRECT(ADDRESS(388,10))-INDIRECT(ADDRESS(389,10))</f>
        <v>0</v>
      </c>
      <c r="K390">
        <f>INDIRECT(ADDRESS(390,10))+INDIRECT(ADDRESS(388,11))-INDIRECT(ADDRESS(389,11))</f>
        <v>0</v>
      </c>
      <c r="L390">
        <f>INDIRECT(ADDRESS(390,11))+INDIRECT(ADDRESS(388,12))-INDIRECT(ADDRESS(389,12))</f>
        <v>0</v>
      </c>
      <c r="M390">
        <f>INDIRECT(ADDRESS(390,12))+INDIRECT(ADDRESS(388,13))-INDIRECT(ADDRESS(389,13))</f>
        <v>0</v>
      </c>
      <c r="N390">
        <f>INDIRECT(ADDRESS(390,13))+INDIRECT(ADDRESS(388,14))-INDIRECT(ADDRESS(389,14))</f>
        <v>0</v>
      </c>
      <c r="O390">
        <f>INDIRECT(ADDRESS(390,14))+INDIRECT(ADDRESS(388,15))-INDIRECT(ADDRESS(389,15))</f>
        <v>0</v>
      </c>
      <c r="P390">
        <f>INDIRECT(ADDRESS(390,15))+INDIRECT(ADDRESS(388,16))-INDIRECT(ADDRESS(389,16))</f>
        <v>0</v>
      </c>
      <c r="Q390">
        <f>INDIRECT(ADDRESS(390,16))+INDIRECT(ADDRESS(388,17))-INDIRECT(ADDRESS(389,17))</f>
        <v>0</v>
      </c>
      <c r="R390">
        <f>INDIRECT(ADDRESS(390,17))+INDIRECT(ADDRESS(388,18))-INDIRECT(ADDRESS(389,18))</f>
        <v>0</v>
      </c>
      <c r="S390">
        <f>INDIRECT(ADDRESS(390,18))+INDIRECT(ADDRESS(388,19))-INDIRECT(ADDRESS(389,19))</f>
        <v>0</v>
      </c>
      <c r="T390">
        <f>INDIRECT(ADDRESS(390,19))+INDIRECT(ADDRESS(388,20))-INDIRECT(ADDRESS(389,20))</f>
        <v>0</v>
      </c>
      <c r="U390">
        <f>INDIRECT(ADDRESS(390,20))+INDIRECT(ADDRESS(388,21))-INDIRECT(ADDRESS(389,21))</f>
        <v>0</v>
      </c>
      <c r="V390">
        <f>INDIRECT(ADDRESS(390,21))+INDIRECT(ADDRESS(388,22))-INDIRECT(ADDRESS(389,22))</f>
        <v>0</v>
      </c>
      <c r="W390">
        <f>INDIRECT(ADDRESS(390,22))+INDIRECT(ADDRESS(388,23))-INDIRECT(ADDRESS(389,23))</f>
        <v>0</v>
      </c>
      <c r="X390">
        <f>INDIRECT(ADDRESS(390,23))+INDIRECT(ADDRESS(388,24))-INDIRECT(ADDRESS(389,24))</f>
        <v>0</v>
      </c>
      <c r="Y390">
        <f>INDIRECT(ADDRESS(390,24))+INDIRECT(ADDRESS(388,25))-INDIRECT(ADDRESS(389,25))</f>
        <v>0</v>
      </c>
      <c r="Z390">
        <f>INDIRECT(ADDRESS(390,25))+INDIRECT(ADDRESS(388,26))-INDIRECT(ADDRESS(389,26))</f>
        <v>0</v>
      </c>
      <c r="AA390">
        <f>INDIRECT(ADDRESS(390,26))+INDIRECT(ADDRESS(388,27))-INDIRECT(ADDRESS(389,27))</f>
        <v>0</v>
      </c>
      <c r="AB390">
        <f>INDIRECT(ADDRESS(390,27))+INDIRECT(ADDRESS(388,28))-INDIRECT(ADDRESS(389,28))</f>
        <v>0</v>
      </c>
      <c r="AC390">
        <f>INDIRECT(ADDRESS(390,28))+INDIRECT(ADDRESS(388,29))-INDIRECT(ADDRESS(389,29))</f>
        <v>0</v>
      </c>
      <c r="AD390">
        <f>INDIRECT(ADDRESS(390,29))+INDIRECT(ADDRESS(388,30))-INDIRECT(ADDRESS(389,30))</f>
        <v>0</v>
      </c>
      <c r="AE390">
        <f>INDIRECT(ADDRESS(390,30))+INDIRECT(ADDRESS(388,31))-INDIRECT(ADDRESS(389,31))</f>
        <v>0</v>
      </c>
      <c r="AF390">
        <f>INDIRECT(ADDRESS(390,31))+INDIRECT(ADDRESS(388,32))-INDIRECT(ADDRESS(389,32))</f>
        <v>0</v>
      </c>
      <c r="AG390">
        <f>INDIRECT(ADDRESS(390,32))+INDIRECT(ADDRESS(388,33))-INDIRECT(ADDRESS(389,33))</f>
        <v>0</v>
      </c>
      <c r="AH390">
        <f>INDIRECT(ADDRESS(390,33))+INDIRECT(ADDRESS(388,34))-INDIRECT(ADDRESS(389,34))</f>
        <v>0</v>
      </c>
      <c r="AI390">
        <f>INDIRECT(ADDRESS(390,34))+INDIRECT(ADDRESS(388,35))-INDIRECT(ADDRESS(389,35))</f>
        <v>0</v>
      </c>
      <c r="AJ390">
        <f>INDIRECT(ADDRESS(390,35))+INDIRECT(ADDRESS(388,36))-INDIRECT(ADDRESS(389,36))</f>
        <v>0</v>
      </c>
      <c r="AK390">
        <f>INDIRECT(ADDRESS(390,36))+INDIRECT(ADDRESS(388,37))-INDIRECT(ADDRESS(389,37))</f>
        <v>0</v>
      </c>
      <c r="AL390">
        <f>INDIRECT(ADDRESS(390,37))+INDIRECT(ADDRESS(388,38))-INDIRECT(ADDRESS(389,38))</f>
        <v>0</v>
      </c>
      <c r="AM390">
        <f>INDIRECT(ADDRESS(390,38))+INDIRECT(ADDRESS(388,39))-INDIRECT(ADDRESS(389,39))</f>
        <v>0</v>
      </c>
      <c r="AN390">
        <f>INDIRECT(ADDRESS(390,39))+INDIRECT(ADDRESS(388,40))-INDIRECT(ADDRESS(389,40))</f>
        <v>0</v>
      </c>
      <c r="AO390">
        <f>SUM(INDIRECT(ADDRESS(389,8)):INDIRECT(ADDRESS(389,39)))</f>
        <v>0</v>
      </c>
    </row>
    <row r="391" spans="1:41">
      <c r="A391" t="s">
        <v>185</v>
      </c>
      <c r="B391" t="s">
        <v>323</v>
      </c>
      <c r="C391" t="s">
        <v>324</v>
      </c>
      <c r="E391">
        <v>1</v>
      </c>
      <c r="I391" t="s">
        <v>177</v>
      </c>
    </row>
    <row r="392" spans="1:41">
      <c r="I392" t="s">
        <v>178</v>
      </c>
      <c r="J392">
        <f>IFERROR(VLOOKUP("924-718057-200",B:AB,1+8,0),0)</f>
        <v>0</v>
      </c>
      <c r="K392">
        <f>IFERROR(VLOOKUP("924-718057-200",B:AB,2+8,0),0)</f>
        <v>0</v>
      </c>
      <c r="L392">
        <f>IFERROR(VLOOKUP("924-718057-200",B:AB,3+8,0),0)</f>
        <v>0</v>
      </c>
      <c r="M392">
        <f>IFERROR(VLOOKUP("924-718057-200",B:AB,4+8,0),0)</f>
        <v>0</v>
      </c>
      <c r="N392">
        <f>IFERROR(VLOOKUP("924-718057-200",B:AB,5+8,0),0)</f>
        <v>0</v>
      </c>
      <c r="O392">
        <f>IFERROR(VLOOKUP("924-718057-200",B:AB,6+8,0),0)</f>
        <v>0</v>
      </c>
      <c r="P392">
        <f>IFERROR(VLOOKUP("924-718057-200",B:AB,7+8,0),0)</f>
        <v>0</v>
      </c>
      <c r="Q392">
        <f>IFERROR(VLOOKUP("924-718057-200",B:AB,8+8,0),0)</f>
        <v>0</v>
      </c>
      <c r="R392">
        <f>IFERROR(VLOOKUP("924-718057-200",B:AB,9+8,0),0)</f>
        <v>0</v>
      </c>
      <c r="S392">
        <f>IFERROR(VLOOKUP("924-718057-200",B:AB,10+8,0),0)</f>
        <v>0</v>
      </c>
      <c r="T392">
        <f>IFERROR(VLOOKUP("924-718057-200",B:AB,11+8,0),0)</f>
        <v>0</v>
      </c>
      <c r="U392">
        <f>IFERROR(VLOOKUP("924-718057-200",B:AB,12+8,0),0)</f>
        <v>0</v>
      </c>
      <c r="V392">
        <f>IFERROR(VLOOKUP("924-718057-200",B:AB,13+8,0),0)</f>
        <v>0</v>
      </c>
      <c r="W392">
        <f>IFERROR(VLOOKUP("924-718057-200",B:AB,14+8,0),0)</f>
        <v>0</v>
      </c>
      <c r="X392">
        <f>IFERROR(VLOOKUP("924-718057-200",B:AB,15+8,0),0)</f>
        <v>0</v>
      </c>
      <c r="Y392">
        <f>IFERROR(VLOOKUP("924-718057-200",B:AB,16+8,0),0)</f>
        <v>0</v>
      </c>
      <c r="Z392">
        <f>IFERROR(VLOOKUP("924-718057-200",B:AB,17+8,0),0)</f>
        <v>0</v>
      </c>
      <c r="AA392">
        <f>IFERROR(VLOOKUP("924-718057-200",B:AB,18+8,0),0)</f>
        <v>0</v>
      </c>
      <c r="AB392">
        <f>IFERROR(VLOOKUP("924-718057-200",B:AB,19+8,0),0)</f>
        <v>0</v>
      </c>
      <c r="AC392">
        <f>IFERROR(VLOOKUP("924-718057-200",B:AB,20+8,0),0)</f>
        <v>0</v>
      </c>
      <c r="AD392">
        <f>IFERROR(VLOOKUP("924-718057-200",B:AB,21+8,0),0)</f>
        <v>0</v>
      </c>
      <c r="AE392">
        <f>IFERROR(VLOOKUP("924-718057-200",B:AB,22+8,0),0)</f>
        <v>0</v>
      </c>
      <c r="AF392">
        <f>IFERROR(VLOOKUP("924-718057-200",B:AB,23+8,0),0)</f>
        <v>0</v>
      </c>
      <c r="AG392">
        <f>IFERROR(VLOOKUP("924-718057-200",B:AB,24+8,0),0)</f>
        <v>0</v>
      </c>
      <c r="AH392">
        <f>IFERROR(VLOOKUP("924-718057-200",B:AB,25+8,0),0)</f>
        <v>0</v>
      </c>
      <c r="AI392">
        <f>IFERROR(VLOOKUP("924-718057-200",B:AB,26+8,0),0)</f>
        <v>0</v>
      </c>
      <c r="AJ392">
        <f>IFERROR(VLOOKUP("924-718057-200",B:AB,27+8,0),0)</f>
        <v>0</v>
      </c>
      <c r="AK392">
        <f>IFERROR(VLOOKUP("924-718057-200",B:AB,28+8,0),0)</f>
        <v>0</v>
      </c>
      <c r="AL392">
        <f>IFERROR(VLOOKUP("924-718057-200",B:AB,29+8,0),0)</f>
        <v>0</v>
      </c>
      <c r="AM392">
        <f>IFERROR(VLOOKUP("924-718057-200",B:AB,30+8,0),0)</f>
        <v>0</v>
      </c>
      <c r="AN392">
        <f>IFERROR(VLOOKUP("924-718057-200",B:AB,31+8,0),0)</f>
        <v>0</v>
      </c>
      <c r="AO392">
        <f>SUN(INDIRECT(ADDRESS(391,8)):INDIRECT(ADDRESS(391,39)))</f>
        <v>0</v>
      </c>
    </row>
    <row r="393" spans="1:41">
      <c r="H393" t="s">
        <v>179</v>
      </c>
      <c r="J393">
        <f>INDIRECT(ADDRESS(393,9))+INDIRECT(ADDRESS(391,10))-INDIRECT(ADDRESS(392,10))</f>
        <v>0</v>
      </c>
      <c r="K393">
        <f>INDIRECT(ADDRESS(393,10))+INDIRECT(ADDRESS(391,11))-INDIRECT(ADDRESS(392,11))</f>
        <v>0</v>
      </c>
      <c r="L393">
        <f>INDIRECT(ADDRESS(393,11))+INDIRECT(ADDRESS(391,12))-INDIRECT(ADDRESS(392,12))</f>
        <v>0</v>
      </c>
      <c r="M393">
        <f>INDIRECT(ADDRESS(393,12))+INDIRECT(ADDRESS(391,13))-INDIRECT(ADDRESS(392,13))</f>
        <v>0</v>
      </c>
      <c r="N393">
        <f>INDIRECT(ADDRESS(393,13))+INDIRECT(ADDRESS(391,14))-INDIRECT(ADDRESS(392,14))</f>
        <v>0</v>
      </c>
      <c r="O393">
        <f>INDIRECT(ADDRESS(393,14))+INDIRECT(ADDRESS(391,15))-INDIRECT(ADDRESS(392,15))</f>
        <v>0</v>
      </c>
      <c r="P393">
        <f>INDIRECT(ADDRESS(393,15))+INDIRECT(ADDRESS(391,16))-INDIRECT(ADDRESS(392,16))</f>
        <v>0</v>
      </c>
      <c r="Q393">
        <f>INDIRECT(ADDRESS(393,16))+INDIRECT(ADDRESS(391,17))-INDIRECT(ADDRESS(392,17))</f>
        <v>0</v>
      </c>
      <c r="R393">
        <f>INDIRECT(ADDRESS(393,17))+INDIRECT(ADDRESS(391,18))-INDIRECT(ADDRESS(392,18))</f>
        <v>0</v>
      </c>
      <c r="S393">
        <f>INDIRECT(ADDRESS(393,18))+INDIRECT(ADDRESS(391,19))-INDIRECT(ADDRESS(392,19))</f>
        <v>0</v>
      </c>
      <c r="T393">
        <f>INDIRECT(ADDRESS(393,19))+INDIRECT(ADDRESS(391,20))-INDIRECT(ADDRESS(392,20))</f>
        <v>0</v>
      </c>
      <c r="U393">
        <f>INDIRECT(ADDRESS(393,20))+INDIRECT(ADDRESS(391,21))-INDIRECT(ADDRESS(392,21))</f>
        <v>0</v>
      </c>
      <c r="V393">
        <f>INDIRECT(ADDRESS(393,21))+INDIRECT(ADDRESS(391,22))-INDIRECT(ADDRESS(392,22))</f>
        <v>0</v>
      </c>
      <c r="W393">
        <f>INDIRECT(ADDRESS(393,22))+INDIRECT(ADDRESS(391,23))-INDIRECT(ADDRESS(392,23))</f>
        <v>0</v>
      </c>
      <c r="X393">
        <f>INDIRECT(ADDRESS(393,23))+INDIRECT(ADDRESS(391,24))-INDIRECT(ADDRESS(392,24))</f>
        <v>0</v>
      </c>
      <c r="Y393">
        <f>INDIRECT(ADDRESS(393,24))+INDIRECT(ADDRESS(391,25))-INDIRECT(ADDRESS(392,25))</f>
        <v>0</v>
      </c>
      <c r="Z393">
        <f>INDIRECT(ADDRESS(393,25))+INDIRECT(ADDRESS(391,26))-INDIRECT(ADDRESS(392,26))</f>
        <v>0</v>
      </c>
      <c r="AA393">
        <f>INDIRECT(ADDRESS(393,26))+INDIRECT(ADDRESS(391,27))-INDIRECT(ADDRESS(392,27))</f>
        <v>0</v>
      </c>
      <c r="AB393">
        <f>INDIRECT(ADDRESS(393,27))+INDIRECT(ADDRESS(391,28))-INDIRECT(ADDRESS(392,28))</f>
        <v>0</v>
      </c>
      <c r="AC393">
        <f>INDIRECT(ADDRESS(393,28))+INDIRECT(ADDRESS(391,29))-INDIRECT(ADDRESS(392,29))</f>
        <v>0</v>
      </c>
      <c r="AD393">
        <f>INDIRECT(ADDRESS(393,29))+INDIRECT(ADDRESS(391,30))-INDIRECT(ADDRESS(392,30))</f>
        <v>0</v>
      </c>
      <c r="AE393">
        <f>INDIRECT(ADDRESS(393,30))+INDIRECT(ADDRESS(391,31))-INDIRECT(ADDRESS(392,31))</f>
        <v>0</v>
      </c>
      <c r="AF393">
        <f>INDIRECT(ADDRESS(393,31))+INDIRECT(ADDRESS(391,32))-INDIRECT(ADDRESS(392,32))</f>
        <v>0</v>
      </c>
      <c r="AG393">
        <f>INDIRECT(ADDRESS(393,32))+INDIRECT(ADDRESS(391,33))-INDIRECT(ADDRESS(392,33))</f>
        <v>0</v>
      </c>
      <c r="AH393">
        <f>INDIRECT(ADDRESS(393,33))+INDIRECT(ADDRESS(391,34))-INDIRECT(ADDRESS(392,34))</f>
        <v>0</v>
      </c>
      <c r="AI393">
        <f>INDIRECT(ADDRESS(393,34))+INDIRECT(ADDRESS(391,35))-INDIRECT(ADDRESS(392,35))</f>
        <v>0</v>
      </c>
      <c r="AJ393">
        <f>INDIRECT(ADDRESS(393,35))+INDIRECT(ADDRESS(391,36))-INDIRECT(ADDRESS(392,36))</f>
        <v>0</v>
      </c>
      <c r="AK393">
        <f>INDIRECT(ADDRESS(393,36))+INDIRECT(ADDRESS(391,37))-INDIRECT(ADDRESS(392,37))</f>
        <v>0</v>
      </c>
      <c r="AL393">
        <f>INDIRECT(ADDRESS(393,37))+INDIRECT(ADDRESS(391,38))-INDIRECT(ADDRESS(392,38))</f>
        <v>0</v>
      </c>
      <c r="AM393">
        <f>INDIRECT(ADDRESS(393,38))+INDIRECT(ADDRESS(391,39))-INDIRECT(ADDRESS(392,39))</f>
        <v>0</v>
      </c>
      <c r="AN393">
        <f>INDIRECT(ADDRESS(393,39))+INDIRECT(ADDRESS(391,40))-INDIRECT(ADDRESS(392,40))</f>
        <v>0</v>
      </c>
      <c r="AO393">
        <f>SUM(INDIRECT(ADDRESS(392,8)):INDIRECT(ADDRESS(392,39)))</f>
        <v>0</v>
      </c>
    </row>
    <row r="394" spans="1:41">
      <c r="A394" t="s">
        <v>8</v>
      </c>
      <c r="B394" t="s">
        <v>36</v>
      </c>
      <c r="C394" t="s">
        <v>37</v>
      </c>
      <c r="E394">
        <v>1</v>
      </c>
      <c r="I394" t="s">
        <v>177</v>
      </c>
    </row>
    <row r="395" spans="1:41">
      <c r="I395" t="s">
        <v>178</v>
      </c>
      <c r="J395">
        <f>IFERROR(VLOOKUP("924-700000-100",Out!B:AB,1+8,0),0)</f>
        <v>0</v>
      </c>
      <c r="K395">
        <f>IFERROR(VLOOKUP("924-700000-100",Out!B:AB,2+8,0),0)</f>
        <v>0</v>
      </c>
      <c r="L395">
        <f>IFERROR(VLOOKUP("924-700000-100",Out!B:AB,3+8,0),0)</f>
        <v>0</v>
      </c>
      <c r="M395">
        <f>IFERROR(VLOOKUP("924-700000-100",Out!B:AB,4+8,0),0)</f>
        <v>0</v>
      </c>
      <c r="N395">
        <f>IFERROR(VLOOKUP("924-700000-100",Out!B:AB,5+8,0),0)</f>
        <v>0</v>
      </c>
      <c r="O395">
        <f>IFERROR(VLOOKUP("924-700000-100",Out!B:AB,6+8,0),0)</f>
        <v>0</v>
      </c>
      <c r="P395">
        <f>IFERROR(VLOOKUP("924-700000-100",Out!B:AB,7+8,0),0)</f>
        <v>0</v>
      </c>
      <c r="Q395">
        <f>IFERROR(VLOOKUP("924-700000-100",Out!B:AB,8+8,0),0)</f>
        <v>0</v>
      </c>
      <c r="R395">
        <f>IFERROR(VLOOKUP("924-700000-100",Out!B:AB,9+8,0),0)</f>
        <v>0</v>
      </c>
      <c r="S395">
        <f>IFERROR(VLOOKUP("924-700000-100",Out!B:AB,10+8,0),0)</f>
        <v>0</v>
      </c>
      <c r="T395">
        <f>IFERROR(VLOOKUP("924-700000-100",Out!B:AB,11+8,0),0)</f>
        <v>0</v>
      </c>
      <c r="U395">
        <f>IFERROR(VLOOKUP("924-700000-100",Out!B:AB,12+8,0),0)</f>
        <v>0</v>
      </c>
      <c r="V395">
        <f>IFERROR(VLOOKUP("924-700000-100",Out!B:AB,13+8,0),0)</f>
        <v>0</v>
      </c>
      <c r="W395">
        <f>IFERROR(VLOOKUP("924-700000-100",Out!B:AB,14+8,0),0)</f>
        <v>0</v>
      </c>
      <c r="X395">
        <f>IFERROR(VLOOKUP("924-700000-100",Out!B:AB,15+8,0),0)</f>
        <v>0</v>
      </c>
      <c r="Y395">
        <f>IFERROR(VLOOKUP("924-700000-100",Out!B:AB,16+8,0),0)</f>
        <v>0</v>
      </c>
      <c r="Z395">
        <f>IFERROR(VLOOKUP("924-700000-100",Out!B:AB,17+8,0),0)</f>
        <v>0</v>
      </c>
      <c r="AA395">
        <f>IFERROR(VLOOKUP("924-700000-100",Out!B:AB,18+8,0),0)</f>
        <v>0</v>
      </c>
      <c r="AB395">
        <f>IFERROR(VLOOKUP("924-700000-100",Out!B:AB,19+8,0),0)</f>
        <v>0</v>
      </c>
      <c r="AC395">
        <f>IFERROR(VLOOKUP("924-700000-100",Out!B:AB,20+8,0),0)</f>
        <v>0</v>
      </c>
      <c r="AD395">
        <f>IFERROR(VLOOKUP("924-700000-100",Out!B:AB,21+8,0),0)</f>
        <v>0</v>
      </c>
      <c r="AE395">
        <f>IFERROR(VLOOKUP("924-700000-100",Out!B:AB,22+8,0),0)</f>
        <v>0</v>
      </c>
      <c r="AF395">
        <f>IFERROR(VLOOKUP("924-700000-100",Out!B:AB,23+8,0),0)</f>
        <v>0</v>
      </c>
      <c r="AG395">
        <f>IFERROR(VLOOKUP("924-700000-100",Out!B:AB,24+8,0),0)</f>
        <v>0</v>
      </c>
      <c r="AH395">
        <f>IFERROR(VLOOKUP("924-700000-100",Out!B:AB,25+8,0),0)</f>
        <v>0</v>
      </c>
      <c r="AI395">
        <f>IFERROR(VLOOKUP("924-700000-100",Out!B:AB,26+8,0),0)</f>
        <v>0</v>
      </c>
      <c r="AJ395">
        <f>IFERROR(VLOOKUP("924-700000-100",Out!B:AB,27+8,0),0)</f>
        <v>0</v>
      </c>
      <c r="AK395">
        <f>IFERROR(VLOOKUP("924-700000-100",Out!B:AB,28+8,0),0)</f>
        <v>0</v>
      </c>
      <c r="AL395">
        <f>IFERROR(VLOOKUP("924-700000-100",Out!B:AB,29+8,0),0)</f>
        <v>0</v>
      </c>
      <c r="AM395">
        <f>IFERROR(VLOOKUP("924-700000-100",Out!B:AB,30+8,0),0)</f>
        <v>0</v>
      </c>
      <c r="AN395">
        <f>IFERROR(VLOOKUP("924-700000-100",Out!B:AB,31+8,0),0)</f>
        <v>0</v>
      </c>
      <c r="AO395">
        <f>SUN(INDIRECT(ADDRESS(394,8)):INDIRECT(ADDRESS(394,39)))</f>
        <v>0</v>
      </c>
    </row>
    <row r="396" spans="1:41">
      <c r="H396" t="s">
        <v>179</v>
      </c>
      <c r="J396">
        <f>INDIRECT(ADDRESS(396,9))+INDIRECT(ADDRESS(394,10))-INDIRECT(ADDRESS(395,10))</f>
        <v>0</v>
      </c>
      <c r="K396">
        <f>INDIRECT(ADDRESS(396,10))+INDIRECT(ADDRESS(394,11))-INDIRECT(ADDRESS(395,11))</f>
        <v>0</v>
      </c>
      <c r="L396">
        <f>INDIRECT(ADDRESS(396,11))+INDIRECT(ADDRESS(394,12))-INDIRECT(ADDRESS(395,12))</f>
        <v>0</v>
      </c>
      <c r="M396">
        <f>INDIRECT(ADDRESS(396,12))+INDIRECT(ADDRESS(394,13))-INDIRECT(ADDRESS(395,13))</f>
        <v>0</v>
      </c>
      <c r="N396">
        <f>INDIRECT(ADDRESS(396,13))+INDIRECT(ADDRESS(394,14))-INDIRECT(ADDRESS(395,14))</f>
        <v>0</v>
      </c>
      <c r="O396">
        <f>INDIRECT(ADDRESS(396,14))+INDIRECT(ADDRESS(394,15))-INDIRECT(ADDRESS(395,15))</f>
        <v>0</v>
      </c>
      <c r="P396">
        <f>INDIRECT(ADDRESS(396,15))+INDIRECT(ADDRESS(394,16))-INDIRECT(ADDRESS(395,16))</f>
        <v>0</v>
      </c>
      <c r="Q396">
        <f>INDIRECT(ADDRESS(396,16))+INDIRECT(ADDRESS(394,17))-INDIRECT(ADDRESS(395,17))</f>
        <v>0</v>
      </c>
      <c r="R396">
        <f>INDIRECT(ADDRESS(396,17))+INDIRECT(ADDRESS(394,18))-INDIRECT(ADDRESS(395,18))</f>
        <v>0</v>
      </c>
      <c r="S396">
        <f>INDIRECT(ADDRESS(396,18))+INDIRECT(ADDRESS(394,19))-INDIRECT(ADDRESS(395,19))</f>
        <v>0</v>
      </c>
      <c r="T396">
        <f>INDIRECT(ADDRESS(396,19))+INDIRECT(ADDRESS(394,20))-INDIRECT(ADDRESS(395,20))</f>
        <v>0</v>
      </c>
      <c r="U396">
        <f>INDIRECT(ADDRESS(396,20))+INDIRECT(ADDRESS(394,21))-INDIRECT(ADDRESS(395,21))</f>
        <v>0</v>
      </c>
      <c r="V396">
        <f>INDIRECT(ADDRESS(396,21))+INDIRECT(ADDRESS(394,22))-INDIRECT(ADDRESS(395,22))</f>
        <v>0</v>
      </c>
      <c r="W396">
        <f>INDIRECT(ADDRESS(396,22))+INDIRECT(ADDRESS(394,23))-INDIRECT(ADDRESS(395,23))</f>
        <v>0</v>
      </c>
      <c r="X396">
        <f>INDIRECT(ADDRESS(396,23))+INDIRECT(ADDRESS(394,24))-INDIRECT(ADDRESS(395,24))</f>
        <v>0</v>
      </c>
      <c r="Y396">
        <f>INDIRECT(ADDRESS(396,24))+INDIRECT(ADDRESS(394,25))-INDIRECT(ADDRESS(395,25))</f>
        <v>0</v>
      </c>
      <c r="Z396">
        <f>INDIRECT(ADDRESS(396,25))+INDIRECT(ADDRESS(394,26))-INDIRECT(ADDRESS(395,26))</f>
        <v>0</v>
      </c>
      <c r="AA396">
        <f>INDIRECT(ADDRESS(396,26))+INDIRECT(ADDRESS(394,27))-INDIRECT(ADDRESS(395,27))</f>
        <v>0</v>
      </c>
      <c r="AB396">
        <f>INDIRECT(ADDRESS(396,27))+INDIRECT(ADDRESS(394,28))-INDIRECT(ADDRESS(395,28))</f>
        <v>0</v>
      </c>
      <c r="AC396">
        <f>INDIRECT(ADDRESS(396,28))+INDIRECT(ADDRESS(394,29))-INDIRECT(ADDRESS(395,29))</f>
        <v>0</v>
      </c>
      <c r="AD396">
        <f>INDIRECT(ADDRESS(396,29))+INDIRECT(ADDRESS(394,30))-INDIRECT(ADDRESS(395,30))</f>
        <v>0</v>
      </c>
      <c r="AE396">
        <f>INDIRECT(ADDRESS(396,30))+INDIRECT(ADDRESS(394,31))-INDIRECT(ADDRESS(395,31))</f>
        <v>0</v>
      </c>
      <c r="AF396">
        <f>INDIRECT(ADDRESS(396,31))+INDIRECT(ADDRESS(394,32))-INDIRECT(ADDRESS(395,32))</f>
        <v>0</v>
      </c>
      <c r="AG396">
        <f>INDIRECT(ADDRESS(396,32))+INDIRECT(ADDRESS(394,33))-INDIRECT(ADDRESS(395,33))</f>
        <v>0</v>
      </c>
      <c r="AH396">
        <f>INDIRECT(ADDRESS(396,33))+INDIRECT(ADDRESS(394,34))-INDIRECT(ADDRESS(395,34))</f>
        <v>0</v>
      </c>
      <c r="AI396">
        <f>INDIRECT(ADDRESS(396,34))+INDIRECT(ADDRESS(394,35))-INDIRECT(ADDRESS(395,35))</f>
        <v>0</v>
      </c>
      <c r="AJ396">
        <f>INDIRECT(ADDRESS(396,35))+INDIRECT(ADDRESS(394,36))-INDIRECT(ADDRESS(395,36))</f>
        <v>0</v>
      </c>
      <c r="AK396">
        <f>INDIRECT(ADDRESS(396,36))+INDIRECT(ADDRESS(394,37))-INDIRECT(ADDRESS(395,37))</f>
        <v>0</v>
      </c>
      <c r="AL396">
        <f>INDIRECT(ADDRESS(396,37))+INDIRECT(ADDRESS(394,38))-INDIRECT(ADDRESS(395,38))</f>
        <v>0</v>
      </c>
      <c r="AM396">
        <f>INDIRECT(ADDRESS(396,38))+INDIRECT(ADDRESS(394,39))-INDIRECT(ADDRESS(395,39))</f>
        <v>0</v>
      </c>
      <c r="AN396">
        <f>INDIRECT(ADDRESS(396,39))+INDIRECT(ADDRESS(394,40))-INDIRECT(ADDRESS(395,40))</f>
        <v>0</v>
      </c>
      <c r="AO396">
        <f>SUM(INDIRECT(ADDRESS(395,8)):INDIRECT(ADDRESS(395,39)))</f>
        <v>0</v>
      </c>
    </row>
    <row r="397" spans="1:41">
      <c r="A397" t="s">
        <v>180</v>
      </c>
      <c r="B397" t="s">
        <v>326</v>
      </c>
      <c r="C397" t="s">
        <v>327</v>
      </c>
      <c r="E397">
        <v>1</v>
      </c>
      <c r="I397" t="s">
        <v>177</v>
      </c>
    </row>
    <row r="398" spans="1:41">
      <c r="I398" t="s">
        <v>178</v>
      </c>
      <c r="J398">
        <f>IFERROR(VLOOKUP("924-700000-100",B:AB,1+8,0),0)</f>
        <v>0</v>
      </c>
      <c r="K398">
        <f>IFERROR(VLOOKUP("924-700000-100",B:AB,2+8,0),0)</f>
        <v>0</v>
      </c>
      <c r="L398">
        <f>IFERROR(VLOOKUP("924-700000-100",B:AB,3+8,0),0)</f>
        <v>0</v>
      </c>
      <c r="M398">
        <f>IFERROR(VLOOKUP("924-700000-100",B:AB,4+8,0),0)</f>
        <v>0</v>
      </c>
      <c r="N398">
        <f>IFERROR(VLOOKUP("924-700000-100",B:AB,5+8,0),0)</f>
        <v>0</v>
      </c>
      <c r="O398">
        <f>IFERROR(VLOOKUP("924-700000-100",B:AB,6+8,0),0)</f>
        <v>0</v>
      </c>
      <c r="P398">
        <f>IFERROR(VLOOKUP("924-700000-100",B:AB,7+8,0),0)</f>
        <v>0</v>
      </c>
      <c r="Q398">
        <f>IFERROR(VLOOKUP("924-700000-100",B:AB,8+8,0),0)</f>
        <v>0</v>
      </c>
      <c r="R398">
        <f>IFERROR(VLOOKUP("924-700000-100",B:AB,9+8,0),0)</f>
        <v>0</v>
      </c>
      <c r="S398">
        <f>IFERROR(VLOOKUP("924-700000-100",B:AB,10+8,0),0)</f>
        <v>0</v>
      </c>
      <c r="T398">
        <f>IFERROR(VLOOKUP("924-700000-100",B:AB,11+8,0),0)</f>
        <v>0</v>
      </c>
      <c r="U398">
        <f>IFERROR(VLOOKUP("924-700000-100",B:AB,12+8,0),0)</f>
        <v>0</v>
      </c>
      <c r="V398">
        <f>IFERROR(VLOOKUP("924-700000-100",B:AB,13+8,0),0)</f>
        <v>0</v>
      </c>
      <c r="W398">
        <f>IFERROR(VLOOKUP("924-700000-100",B:AB,14+8,0),0)</f>
        <v>0</v>
      </c>
      <c r="X398">
        <f>IFERROR(VLOOKUP("924-700000-100",B:AB,15+8,0),0)</f>
        <v>0</v>
      </c>
      <c r="Y398">
        <f>IFERROR(VLOOKUP("924-700000-100",B:AB,16+8,0),0)</f>
        <v>0</v>
      </c>
      <c r="Z398">
        <f>IFERROR(VLOOKUP("924-700000-100",B:AB,17+8,0),0)</f>
        <v>0</v>
      </c>
      <c r="AA398">
        <f>IFERROR(VLOOKUP("924-700000-100",B:AB,18+8,0),0)</f>
        <v>0</v>
      </c>
      <c r="AB398">
        <f>IFERROR(VLOOKUP("924-700000-100",B:AB,19+8,0),0)</f>
        <v>0</v>
      </c>
      <c r="AC398">
        <f>IFERROR(VLOOKUP("924-700000-100",B:AB,20+8,0),0)</f>
        <v>0</v>
      </c>
      <c r="AD398">
        <f>IFERROR(VLOOKUP("924-700000-100",B:AB,21+8,0),0)</f>
        <v>0</v>
      </c>
      <c r="AE398">
        <f>IFERROR(VLOOKUP("924-700000-100",B:AB,22+8,0),0)</f>
        <v>0</v>
      </c>
      <c r="AF398">
        <f>IFERROR(VLOOKUP("924-700000-100",B:AB,23+8,0),0)</f>
        <v>0</v>
      </c>
      <c r="AG398">
        <f>IFERROR(VLOOKUP("924-700000-100",B:AB,24+8,0),0)</f>
        <v>0</v>
      </c>
      <c r="AH398">
        <f>IFERROR(VLOOKUP("924-700000-100",B:AB,25+8,0),0)</f>
        <v>0</v>
      </c>
      <c r="AI398">
        <f>IFERROR(VLOOKUP("924-700000-100",B:AB,26+8,0),0)</f>
        <v>0</v>
      </c>
      <c r="AJ398">
        <f>IFERROR(VLOOKUP("924-700000-100",B:AB,27+8,0),0)</f>
        <v>0</v>
      </c>
      <c r="AK398">
        <f>IFERROR(VLOOKUP("924-700000-100",B:AB,28+8,0),0)</f>
        <v>0</v>
      </c>
      <c r="AL398">
        <f>IFERROR(VLOOKUP("924-700000-100",B:AB,29+8,0),0)</f>
        <v>0</v>
      </c>
      <c r="AM398">
        <f>IFERROR(VLOOKUP("924-700000-100",B:AB,30+8,0),0)</f>
        <v>0</v>
      </c>
      <c r="AN398">
        <f>IFERROR(VLOOKUP("924-700000-100",B:AB,31+8,0),0)</f>
        <v>0</v>
      </c>
      <c r="AO398">
        <f>SUN(INDIRECT(ADDRESS(397,8)):INDIRECT(ADDRESS(397,39)))</f>
        <v>0</v>
      </c>
    </row>
    <row r="399" spans="1:41">
      <c r="H399" t="s">
        <v>179</v>
      </c>
      <c r="J399">
        <f>INDIRECT(ADDRESS(399,9))+INDIRECT(ADDRESS(397,10))-INDIRECT(ADDRESS(398,10))</f>
        <v>0</v>
      </c>
      <c r="K399">
        <f>INDIRECT(ADDRESS(399,10))+INDIRECT(ADDRESS(397,11))-INDIRECT(ADDRESS(398,11))</f>
        <v>0</v>
      </c>
      <c r="L399">
        <f>INDIRECT(ADDRESS(399,11))+INDIRECT(ADDRESS(397,12))-INDIRECT(ADDRESS(398,12))</f>
        <v>0</v>
      </c>
      <c r="M399">
        <f>INDIRECT(ADDRESS(399,12))+INDIRECT(ADDRESS(397,13))-INDIRECT(ADDRESS(398,13))</f>
        <v>0</v>
      </c>
      <c r="N399">
        <f>INDIRECT(ADDRESS(399,13))+INDIRECT(ADDRESS(397,14))-INDIRECT(ADDRESS(398,14))</f>
        <v>0</v>
      </c>
      <c r="O399">
        <f>INDIRECT(ADDRESS(399,14))+INDIRECT(ADDRESS(397,15))-INDIRECT(ADDRESS(398,15))</f>
        <v>0</v>
      </c>
      <c r="P399">
        <f>INDIRECT(ADDRESS(399,15))+INDIRECT(ADDRESS(397,16))-INDIRECT(ADDRESS(398,16))</f>
        <v>0</v>
      </c>
      <c r="Q399">
        <f>INDIRECT(ADDRESS(399,16))+INDIRECT(ADDRESS(397,17))-INDIRECT(ADDRESS(398,17))</f>
        <v>0</v>
      </c>
      <c r="R399">
        <f>INDIRECT(ADDRESS(399,17))+INDIRECT(ADDRESS(397,18))-INDIRECT(ADDRESS(398,18))</f>
        <v>0</v>
      </c>
      <c r="S399">
        <f>INDIRECT(ADDRESS(399,18))+INDIRECT(ADDRESS(397,19))-INDIRECT(ADDRESS(398,19))</f>
        <v>0</v>
      </c>
      <c r="T399">
        <f>INDIRECT(ADDRESS(399,19))+INDIRECT(ADDRESS(397,20))-INDIRECT(ADDRESS(398,20))</f>
        <v>0</v>
      </c>
      <c r="U399">
        <f>INDIRECT(ADDRESS(399,20))+INDIRECT(ADDRESS(397,21))-INDIRECT(ADDRESS(398,21))</f>
        <v>0</v>
      </c>
      <c r="V399">
        <f>INDIRECT(ADDRESS(399,21))+INDIRECT(ADDRESS(397,22))-INDIRECT(ADDRESS(398,22))</f>
        <v>0</v>
      </c>
      <c r="W399">
        <f>INDIRECT(ADDRESS(399,22))+INDIRECT(ADDRESS(397,23))-INDIRECT(ADDRESS(398,23))</f>
        <v>0</v>
      </c>
      <c r="X399">
        <f>INDIRECT(ADDRESS(399,23))+INDIRECT(ADDRESS(397,24))-INDIRECT(ADDRESS(398,24))</f>
        <v>0</v>
      </c>
      <c r="Y399">
        <f>INDIRECT(ADDRESS(399,24))+INDIRECT(ADDRESS(397,25))-INDIRECT(ADDRESS(398,25))</f>
        <v>0</v>
      </c>
      <c r="Z399">
        <f>INDIRECT(ADDRESS(399,25))+INDIRECT(ADDRESS(397,26))-INDIRECT(ADDRESS(398,26))</f>
        <v>0</v>
      </c>
      <c r="AA399">
        <f>INDIRECT(ADDRESS(399,26))+INDIRECT(ADDRESS(397,27))-INDIRECT(ADDRESS(398,27))</f>
        <v>0</v>
      </c>
      <c r="AB399">
        <f>INDIRECT(ADDRESS(399,27))+INDIRECT(ADDRESS(397,28))-INDIRECT(ADDRESS(398,28))</f>
        <v>0</v>
      </c>
      <c r="AC399">
        <f>INDIRECT(ADDRESS(399,28))+INDIRECT(ADDRESS(397,29))-INDIRECT(ADDRESS(398,29))</f>
        <v>0</v>
      </c>
      <c r="AD399">
        <f>INDIRECT(ADDRESS(399,29))+INDIRECT(ADDRESS(397,30))-INDIRECT(ADDRESS(398,30))</f>
        <v>0</v>
      </c>
      <c r="AE399">
        <f>INDIRECT(ADDRESS(399,30))+INDIRECT(ADDRESS(397,31))-INDIRECT(ADDRESS(398,31))</f>
        <v>0</v>
      </c>
      <c r="AF399">
        <f>INDIRECT(ADDRESS(399,31))+INDIRECT(ADDRESS(397,32))-INDIRECT(ADDRESS(398,32))</f>
        <v>0</v>
      </c>
      <c r="AG399">
        <f>INDIRECT(ADDRESS(399,32))+INDIRECT(ADDRESS(397,33))-INDIRECT(ADDRESS(398,33))</f>
        <v>0</v>
      </c>
      <c r="AH399">
        <f>INDIRECT(ADDRESS(399,33))+INDIRECT(ADDRESS(397,34))-INDIRECT(ADDRESS(398,34))</f>
        <v>0</v>
      </c>
      <c r="AI399">
        <f>INDIRECT(ADDRESS(399,34))+INDIRECT(ADDRESS(397,35))-INDIRECT(ADDRESS(398,35))</f>
        <v>0</v>
      </c>
      <c r="AJ399">
        <f>INDIRECT(ADDRESS(399,35))+INDIRECT(ADDRESS(397,36))-INDIRECT(ADDRESS(398,36))</f>
        <v>0</v>
      </c>
      <c r="AK399">
        <f>INDIRECT(ADDRESS(399,36))+INDIRECT(ADDRESS(397,37))-INDIRECT(ADDRESS(398,37))</f>
        <v>0</v>
      </c>
      <c r="AL399">
        <f>INDIRECT(ADDRESS(399,37))+INDIRECT(ADDRESS(397,38))-INDIRECT(ADDRESS(398,38))</f>
        <v>0</v>
      </c>
      <c r="AM399">
        <f>INDIRECT(ADDRESS(399,38))+INDIRECT(ADDRESS(397,39))-INDIRECT(ADDRESS(398,39))</f>
        <v>0</v>
      </c>
      <c r="AN399">
        <f>INDIRECT(ADDRESS(399,39))+INDIRECT(ADDRESS(397,40))-INDIRECT(ADDRESS(398,40))</f>
        <v>0</v>
      </c>
      <c r="AO399">
        <f>SUM(INDIRECT(ADDRESS(398,8)):INDIRECT(ADDRESS(398,39)))</f>
        <v>0</v>
      </c>
    </row>
    <row r="400" spans="1:41">
      <c r="A400" t="s">
        <v>180</v>
      </c>
      <c r="B400" t="s">
        <v>328</v>
      </c>
      <c r="C400" t="s">
        <v>329</v>
      </c>
      <c r="E400">
        <v>1</v>
      </c>
      <c r="I400" t="s">
        <v>177</v>
      </c>
    </row>
    <row r="401" spans="1:41">
      <c r="I401" t="s">
        <v>178</v>
      </c>
      <c r="J401">
        <f>IFERROR(VLOOKUP("924-700000-100",B:AB,1+8,0),0)</f>
        <v>0</v>
      </c>
      <c r="K401">
        <f>IFERROR(VLOOKUP("924-700000-100",B:AB,2+8,0),0)</f>
        <v>0</v>
      </c>
      <c r="L401">
        <f>IFERROR(VLOOKUP("924-700000-100",B:AB,3+8,0),0)</f>
        <v>0</v>
      </c>
      <c r="M401">
        <f>IFERROR(VLOOKUP("924-700000-100",B:AB,4+8,0),0)</f>
        <v>0</v>
      </c>
      <c r="N401">
        <f>IFERROR(VLOOKUP("924-700000-100",B:AB,5+8,0),0)</f>
        <v>0</v>
      </c>
      <c r="O401">
        <f>IFERROR(VLOOKUP("924-700000-100",B:AB,6+8,0),0)</f>
        <v>0</v>
      </c>
      <c r="P401">
        <f>IFERROR(VLOOKUP("924-700000-100",B:AB,7+8,0),0)</f>
        <v>0</v>
      </c>
      <c r="Q401">
        <f>IFERROR(VLOOKUP("924-700000-100",B:AB,8+8,0),0)</f>
        <v>0</v>
      </c>
      <c r="R401">
        <f>IFERROR(VLOOKUP("924-700000-100",B:AB,9+8,0),0)</f>
        <v>0</v>
      </c>
      <c r="S401">
        <f>IFERROR(VLOOKUP("924-700000-100",B:AB,10+8,0),0)</f>
        <v>0</v>
      </c>
      <c r="T401">
        <f>IFERROR(VLOOKUP("924-700000-100",B:AB,11+8,0),0)</f>
        <v>0</v>
      </c>
      <c r="U401">
        <f>IFERROR(VLOOKUP("924-700000-100",B:AB,12+8,0),0)</f>
        <v>0</v>
      </c>
      <c r="V401">
        <f>IFERROR(VLOOKUP("924-700000-100",B:AB,13+8,0),0)</f>
        <v>0</v>
      </c>
      <c r="W401">
        <f>IFERROR(VLOOKUP("924-700000-100",B:AB,14+8,0),0)</f>
        <v>0</v>
      </c>
      <c r="X401">
        <f>IFERROR(VLOOKUP("924-700000-100",B:AB,15+8,0),0)</f>
        <v>0</v>
      </c>
      <c r="Y401">
        <f>IFERROR(VLOOKUP("924-700000-100",B:AB,16+8,0),0)</f>
        <v>0</v>
      </c>
      <c r="Z401">
        <f>IFERROR(VLOOKUP("924-700000-100",B:AB,17+8,0),0)</f>
        <v>0</v>
      </c>
      <c r="AA401">
        <f>IFERROR(VLOOKUP("924-700000-100",B:AB,18+8,0),0)</f>
        <v>0</v>
      </c>
      <c r="AB401">
        <f>IFERROR(VLOOKUP("924-700000-100",B:AB,19+8,0),0)</f>
        <v>0</v>
      </c>
      <c r="AC401">
        <f>IFERROR(VLOOKUP("924-700000-100",B:AB,20+8,0),0)</f>
        <v>0</v>
      </c>
      <c r="AD401">
        <f>IFERROR(VLOOKUP("924-700000-100",B:AB,21+8,0),0)</f>
        <v>0</v>
      </c>
      <c r="AE401">
        <f>IFERROR(VLOOKUP("924-700000-100",B:AB,22+8,0),0)</f>
        <v>0</v>
      </c>
      <c r="AF401">
        <f>IFERROR(VLOOKUP("924-700000-100",B:AB,23+8,0),0)</f>
        <v>0</v>
      </c>
      <c r="AG401">
        <f>IFERROR(VLOOKUP("924-700000-100",B:AB,24+8,0),0)</f>
        <v>0</v>
      </c>
      <c r="AH401">
        <f>IFERROR(VLOOKUP("924-700000-100",B:AB,25+8,0),0)</f>
        <v>0</v>
      </c>
      <c r="AI401">
        <f>IFERROR(VLOOKUP("924-700000-100",B:AB,26+8,0),0)</f>
        <v>0</v>
      </c>
      <c r="AJ401">
        <f>IFERROR(VLOOKUP("924-700000-100",B:AB,27+8,0),0)</f>
        <v>0</v>
      </c>
      <c r="AK401">
        <f>IFERROR(VLOOKUP("924-700000-100",B:AB,28+8,0),0)</f>
        <v>0</v>
      </c>
      <c r="AL401">
        <f>IFERROR(VLOOKUP("924-700000-100",B:AB,29+8,0),0)</f>
        <v>0</v>
      </c>
      <c r="AM401">
        <f>IFERROR(VLOOKUP("924-700000-100",B:AB,30+8,0),0)</f>
        <v>0</v>
      </c>
      <c r="AN401">
        <f>IFERROR(VLOOKUP("924-700000-100",B:AB,31+8,0),0)</f>
        <v>0</v>
      </c>
      <c r="AO401">
        <f>SUN(INDIRECT(ADDRESS(400,8)):INDIRECT(ADDRESS(400,39)))</f>
        <v>0</v>
      </c>
    </row>
    <row r="402" spans="1:41">
      <c r="H402" t="s">
        <v>179</v>
      </c>
      <c r="J402">
        <f>INDIRECT(ADDRESS(402,9))+INDIRECT(ADDRESS(400,10))-INDIRECT(ADDRESS(401,10))</f>
        <v>0</v>
      </c>
      <c r="K402">
        <f>INDIRECT(ADDRESS(402,10))+INDIRECT(ADDRESS(400,11))-INDIRECT(ADDRESS(401,11))</f>
        <v>0</v>
      </c>
      <c r="L402">
        <f>INDIRECT(ADDRESS(402,11))+INDIRECT(ADDRESS(400,12))-INDIRECT(ADDRESS(401,12))</f>
        <v>0</v>
      </c>
      <c r="M402">
        <f>INDIRECT(ADDRESS(402,12))+INDIRECT(ADDRESS(400,13))-INDIRECT(ADDRESS(401,13))</f>
        <v>0</v>
      </c>
      <c r="N402">
        <f>INDIRECT(ADDRESS(402,13))+INDIRECT(ADDRESS(400,14))-INDIRECT(ADDRESS(401,14))</f>
        <v>0</v>
      </c>
      <c r="O402">
        <f>INDIRECT(ADDRESS(402,14))+INDIRECT(ADDRESS(400,15))-INDIRECT(ADDRESS(401,15))</f>
        <v>0</v>
      </c>
      <c r="P402">
        <f>INDIRECT(ADDRESS(402,15))+INDIRECT(ADDRESS(400,16))-INDIRECT(ADDRESS(401,16))</f>
        <v>0</v>
      </c>
      <c r="Q402">
        <f>INDIRECT(ADDRESS(402,16))+INDIRECT(ADDRESS(400,17))-INDIRECT(ADDRESS(401,17))</f>
        <v>0</v>
      </c>
      <c r="R402">
        <f>INDIRECT(ADDRESS(402,17))+INDIRECT(ADDRESS(400,18))-INDIRECT(ADDRESS(401,18))</f>
        <v>0</v>
      </c>
      <c r="S402">
        <f>INDIRECT(ADDRESS(402,18))+INDIRECT(ADDRESS(400,19))-INDIRECT(ADDRESS(401,19))</f>
        <v>0</v>
      </c>
      <c r="T402">
        <f>INDIRECT(ADDRESS(402,19))+INDIRECT(ADDRESS(400,20))-INDIRECT(ADDRESS(401,20))</f>
        <v>0</v>
      </c>
      <c r="U402">
        <f>INDIRECT(ADDRESS(402,20))+INDIRECT(ADDRESS(400,21))-INDIRECT(ADDRESS(401,21))</f>
        <v>0</v>
      </c>
      <c r="V402">
        <f>INDIRECT(ADDRESS(402,21))+INDIRECT(ADDRESS(400,22))-INDIRECT(ADDRESS(401,22))</f>
        <v>0</v>
      </c>
      <c r="W402">
        <f>INDIRECT(ADDRESS(402,22))+INDIRECT(ADDRESS(400,23))-INDIRECT(ADDRESS(401,23))</f>
        <v>0</v>
      </c>
      <c r="X402">
        <f>INDIRECT(ADDRESS(402,23))+INDIRECT(ADDRESS(400,24))-INDIRECT(ADDRESS(401,24))</f>
        <v>0</v>
      </c>
      <c r="Y402">
        <f>INDIRECT(ADDRESS(402,24))+INDIRECT(ADDRESS(400,25))-INDIRECT(ADDRESS(401,25))</f>
        <v>0</v>
      </c>
      <c r="Z402">
        <f>INDIRECT(ADDRESS(402,25))+INDIRECT(ADDRESS(400,26))-INDIRECT(ADDRESS(401,26))</f>
        <v>0</v>
      </c>
      <c r="AA402">
        <f>INDIRECT(ADDRESS(402,26))+INDIRECT(ADDRESS(400,27))-INDIRECT(ADDRESS(401,27))</f>
        <v>0</v>
      </c>
      <c r="AB402">
        <f>INDIRECT(ADDRESS(402,27))+INDIRECT(ADDRESS(400,28))-INDIRECT(ADDRESS(401,28))</f>
        <v>0</v>
      </c>
      <c r="AC402">
        <f>INDIRECT(ADDRESS(402,28))+INDIRECT(ADDRESS(400,29))-INDIRECT(ADDRESS(401,29))</f>
        <v>0</v>
      </c>
      <c r="AD402">
        <f>INDIRECT(ADDRESS(402,29))+INDIRECT(ADDRESS(400,30))-INDIRECT(ADDRESS(401,30))</f>
        <v>0</v>
      </c>
      <c r="AE402">
        <f>INDIRECT(ADDRESS(402,30))+INDIRECT(ADDRESS(400,31))-INDIRECT(ADDRESS(401,31))</f>
        <v>0</v>
      </c>
      <c r="AF402">
        <f>INDIRECT(ADDRESS(402,31))+INDIRECT(ADDRESS(400,32))-INDIRECT(ADDRESS(401,32))</f>
        <v>0</v>
      </c>
      <c r="AG402">
        <f>INDIRECT(ADDRESS(402,32))+INDIRECT(ADDRESS(400,33))-INDIRECT(ADDRESS(401,33))</f>
        <v>0</v>
      </c>
      <c r="AH402">
        <f>INDIRECT(ADDRESS(402,33))+INDIRECT(ADDRESS(400,34))-INDIRECT(ADDRESS(401,34))</f>
        <v>0</v>
      </c>
      <c r="AI402">
        <f>INDIRECT(ADDRESS(402,34))+INDIRECT(ADDRESS(400,35))-INDIRECT(ADDRESS(401,35))</f>
        <v>0</v>
      </c>
      <c r="AJ402">
        <f>INDIRECT(ADDRESS(402,35))+INDIRECT(ADDRESS(400,36))-INDIRECT(ADDRESS(401,36))</f>
        <v>0</v>
      </c>
      <c r="AK402">
        <f>INDIRECT(ADDRESS(402,36))+INDIRECT(ADDRESS(400,37))-INDIRECT(ADDRESS(401,37))</f>
        <v>0</v>
      </c>
      <c r="AL402">
        <f>INDIRECT(ADDRESS(402,37))+INDIRECT(ADDRESS(400,38))-INDIRECT(ADDRESS(401,38))</f>
        <v>0</v>
      </c>
      <c r="AM402">
        <f>INDIRECT(ADDRESS(402,38))+INDIRECT(ADDRESS(400,39))-INDIRECT(ADDRESS(401,39))</f>
        <v>0</v>
      </c>
      <c r="AN402">
        <f>INDIRECT(ADDRESS(402,39))+INDIRECT(ADDRESS(400,40))-INDIRECT(ADDRESS(401,40))</f>
        <v>0</v>
      </c>
      <c r="AO402">
        <f>SUM(INDIRECT(ADDRESS(401,8)):INDIRECT(ADDRESS(401,39)))</f>
        <v>0</v>
      </c>
    </row>
    <row r="403" spans="1:41">
      <c r="A403" t="s">
        <v>185</v>
      </c>
      <c r="B403" t="s">
        <v>330</v>
      </c>
      <c r="C403" t="s">
        <v>331</v>
      </c>
      <c r="E403">
        <v>2</v>
      </c>
      <c r="I403" t="s">
        <v>177</v>
      </c>
    </row>
    <row r="404" spans="1:41">
      <c r="I404" t="s">
        <v>178</v>
      </c>
      <c r="J404">
        <f>IFERROR(VLOOKUP("924-700000-100",B:AB,1+8,0),0)</f>
        <v>0</v>
      </c>
      <c r="K404">
        <f>IFERROR(VLOOKUP("924-700000-100",B:AB,2+8,0),0)</f>
        <v>0</v>
      </c>
      <c r="L404">
        <f>IFERROR(VLOOKUP("924-700000-100",B:AB,3+8,0),0)</f>
        <v>0</v>
      </c>
      <c r="M404">
        <f>IFERROR(VLOOKUP("924-700000-100",B:AB,4+8,0),0)</f>
        <v>0</v>
      </c>
      <c r="N404">
        <f>IFERROR(VLOOKUP("924-700000-100",B:AB,5+8,0),0)</f>
        <v>0</v>
      </c>
      <c r="O404">
        <f>IFERROR(VLOOKUP("924-700000-100",B:AB,6+8,0),0)</f>
        <v>0</v>
      </c>
      <c r="P404">
        <f>IFERROR(VLOOKUP("924-700000-100",B:AB,7+8,0),0)</f>
        <v>0</v>
      </c>
      <c r="Q404">
        <f>IFERROR(VLOOKUP("924-700000-100",B:AB,8+8,0),0)</f>
        <v>0</v>
      </c>
      <c r="R404">
        <f>IFERROR(VLOOKUP("924-700000-100",B:AB,9+8,0),0)</f>
        <v>0</v>
      </c>
      <c r="S404">
        <f>IFERROR(VLOOKUP("924-700000-100",B:AB,10+8,0),0)</f>
        <v>0</v>
      </c>
      <c r="T404">
        <f>IFERROR(VLOOKUP("924-700000-100",B:AB,11+8,0),0)</f>
        <v>0</v>
      </c>
      <c r="U404">
        <f>IFERROR(VLOOKUP("924-700000-100",B:AB,12+8,0),0)</f>
        <v>0</v>
      </c>
      <c r="V404">
        <f>IFERROR(VLOOKUP("924-700000-100",B:AB,13+8,0),0)</f>
        <v>0</v>
      </c>
      <c r="W404">
        <f>IFERROR(VLOOKUP("924-700000-100",B:AB,14+8,0),0)</f>
        <v>0</v>
      </c>
      <c r="X404">
        <f>IFERROR(VLOOKUP("924-700000-100",B:AB,15+8,0),0)</f>
        <v>0</v>
      </c>
      <c r="Y404">
        <f>IFERROR(VLOOKUP("924-700000-100",B:AB,16+8,0),0)</f>
        <v>0</v>
      </c>
      <c r="Z404">
        <f>IFERROR(VLOOKUP("924-700000-100",B:AB,17+8,0),0)</f>
        <v>0</v>
      </c>
      <c r="AA404">
        <f>IFERROR(VLOOKUP("924-700000-100",B:AB,18+8,0),0)</f>
        <v>0</v>
      </c>
      <c r="AB404">
        <f>IFERROR(VLOOKUP("924-700000-100",B:AB,19+8,0),0)</f>
        <v>0</v>
      </c>
      <c r="AC404">
        <f>IFERROR(VLOOKUP("924-700000-100",B:AB,20+8,0),0)</f>
        <v>0</v>
      </c>
      <c r="AD404">
        <f>IFERROR(VLOOKUP("924-700000-100",B:AB,21+8,0),0)</f>
        <v>0</v>
      </c>
      <c r="AE404">
        <f>IFERROR(VLOOKUP("924-700000-100",B:AB,22+8,0),0)</f>
        <v>0</v>
      </c>
      <c r="AF404">
        <f>IFERROR(VLOOKUP("924-700000-100",B:AB,23+8,0),0)</f>
        <v>0</v>
      </c>
      <c r="AG404">
        <f>IFERROR(VLOOKUP("924-700000-100",B:AB,24+8,0),0)</f>
        <v>0</v>
      </c>
      <c r="AH404">
        <f>IFERROR(VLOOKUP("924-700000-100",B:AB,25+8,0),0)</f>
        <v>0</v>
      </c>
      <c r="AI404">
        <f>IFERROR(VLOOKUP("924-700000-100",B:AB,26+8,0),0)</f>
        <v>0</v>
      </c>
      <c r="AJ404">
        <f>IFERROR(VLOOKUP("924-700000-100",B:AB,27+8,0),0)</f>
        <v>0</v>
      </c>
      <c r="AK404">
        <f>IFERROR(VLOOKUP("924-700000-100",B:AB,28+8,0),0)</f>
        <v>0</v>
      </c>
      <c r="AL404">
        <f>IFERROR(VLOOKUP("924-700000-100",B:AB,29+8,0),0)</f>
        <v>0</v>
      </c>
      <c r="AM404">
        <f>IFERROR(VLOOKUP("924-700000-100",B:AB,30+8,0),0)</f>
        <v>0</v>
      </c>
      <c r="AN404">
        <f>IFERROR(VLOOKUP("924-700000-100",B:AB,31+8,0),0)</f>
        <v>0</v>
      </c>
      <c r="AO404">
        <f>SUN(INDIRECT(ADDRESS(403,8)):INDIRECT(ADDRESS(403,39)))</f>
        <v>0</v>
      </c>
    </row>
    <row r="405" spans="1:41">
      <c r="H405" t="s">
        <v>179</v>
      </c>
      <c r="J405">
        <f>INDIRECT(ADDRESS(405,9))+INDIRECT(ADDRESS(403,10))-INDIRECT(ADDRESS(404,10))</f>
        <v>0</v>
      </c>
      <c r="K405">
        <f>INDIRECT(ADDRESS(405,10))+INDIRECT(ADDRESS(403,11))-INDIRECT(ADDRESS(404,11))</f>
        <v>0</v>
      </c>
      <c r="L405">
        <f>INDIRECT(ADDRESS(405,11))+INDIRECT(ADDRESS(403,12))-INDIRECT(ADDRESS(404,12))</f>
        <v>0</v>
      </c>
      <c r="M405">
        <f>INDIRECT(ADDRESS(405,12))+INDIRECT(ADDRESS(403,13))-INDIRECT(ADDRESS(404,13))</f>
        <v>0</v>
      </c>
      <c r="N405">
        <f>INDIRECT(ADDRESS(405,13))+INDIRECT(ADDRESS(403,14))-INDIRECT(ADDRESS(404,14))</f>
        <v>0</v>
      </c>
      <c r="O405">
        <f>INDIRECT(ADDRESS(405,14))+INDIRECT(ADDRESS(403,15))-INDIRECT(ADDRESS(404,15))</f>
        <v>0</v>
      </c>
      <c r="P405">
        <f>INDIRECT(ADDRESS(405,15))+INDIRECT(ADDRESS(403,16))-INDIRECT(ADDRESS(404,16))</f>
        <v>0</v>
      </c>
      <c r="Q405">
        <f>INDIRECT(ADDRESS(405,16))+INDIRECT(ADDRESS(403,17))-INDIRECT(ADDRESS(404,17))</f>
        <v>0</v>
      </c>
      <c r="R405">
        <f>INDIRECT(ADDRESS(405,17))+INDIRECT(ADDRESS(403,18))-INDIRECT(ADDRESS(404,18))</f>
        <v>0</v>
      </c>
      <c r="S405">
        <f>INDIRECT(ADDRESS(405,18))+INDIRECT(ADDRESS(403,19))-INDIRECT(ADDRESS(404,19))</f>
        <v>0</v>
      </c>
      <c r="T405">
        <f>INDIRECT(ADDRESS(405,19))+INDIRECT(ADDRESS(403,20))-INDIRECT(ADDRESS(404,20))</f>
        <v>0</v>
      </c>
      <c r="U405">
        <f>INDIRECT(ADDRESS(405,20))+INDIRECT(ADDRESS(403,21))-INDIRECT(ADDRESS(404,21))</f>
        <v>0</v>
      </c>
      <c r="V405">
        <f>INDIRECT(ADDRESS(405,21))+INDIRECT(ADDRESS(403,22))-INDIRECT(ADDRESS(404,22))</f>
        <v>0</v>
      </c>
      <c r="W405">
        <f>INDIRECT(ADDRESS(405,22))+INDIRECT(ADDRESS(403,23))-INDIRECT(ADDRESS(404,23))</f>
        <v>0</v>
      </c>
      <c r="X405">
        <f>INDIRECT(ADDRESS(405,23))+INDIRECT(ADDRESS(403,24))-INDIRECT(ADDRESS(404,24))</f>
        <v>0</v>
      </c>
      <c r="Y405">
        <f>INDIRECT(ADDRESS(405,24))+INDIRECT(ADDRESS(403,25))-INDIRECT(ADDRESS(404,25))</f>
        <v>0</v>
      </c>
      <c r="Z405">
        <f>INDIRECT(ADDRESS(405,25))+INDIRECT(ADDRESS(403,26))-INDIRECT(ADDRESS(404,26))</f>
        <v>0</v>
      </c>
      <c r="AA405">
        <f>INDIRECT(ADDRESS(405,26))+INDIRECT(ADDRESS(403,27))-INDIRECT(ADDRESS(404,27))</f>
        <v>0</v>
      </c>
      <c r="AB405">
        <f>INDIRECT(ADDRESS(405,27))+INDIRECT(ADDRESS(403,28))-INDIRECT(ADDRESS(404,28))</f>
        <v>0</v>
      </c>
      <c r="AC405">
        <f>INDIRECT(ADDRESS(405,28))+INDIRECT(ADDRESS(403,29))-INDIRECT(ADDRESS(404,29))</f>
        <v>0</v>
      </c>
      <c r="AD405">
        <f>INDIRECT(ADDRESS(405,29))+INDIRECT(ADDRESS(403,30))-INDIRECT(ADDRESS(404,30))</f>
        <v>0</v>
      </c>
      <c r="AE405">
        <f>INDIRECT(ADDRESS(405,30))+INDIRECT(ADDRESS(403,31))-INDIRECT(ADDRESS(404,31))</f>
        <v>0</v>
      </c>
      <c r="AF405">
        <f>INDIRECT(ADDRESS(405,31))+INDIRECT(ADDRESS(403,32))-INDIRECT(ADDRESS(404,32))</f>
        <v>0</v>
      </c>
      <c r="AG405">
        <f>INDIRECT(ADDRESS(405,32))+INDIRECT(ADDRESS(403,33))-INDIRECT(ADDRESS(404,33))</f>
        <v>0</v>
      </c>
      <c r="AH405">
        <f>INDIRECT(ADDRESS(405,33))+INDIRECT(ADDRESS(403,34))-INDIRECT(ADDRESS(404,34))</f>
        <v>0</v>
      </c>
      <c r="AI405">
        <f>INDIRECT(ADDRESS(405,34))+INDIRECT(ADDRESS(403,35))-INDIRECT(ADDRESS(404,35))</f>
        <v>0</v>
      </c>
      <c r="AJ405">
        <f>INDIRECT(ADDRESS(405,35))+INDIRECT(ADDRESS(403,36))-INDIRECT(ADDRESS(404,36))</f>
        <v>0</v>
      </c>
      <c r="AK405">
        <f>INDIRECT(ADDRESS(405,36))+INDIRECT(ADDRESS(403,37))-INDIRECT(ADDRESS(404,37))</f>
        <v>0</v>
      </c>
      <c r="AL405">
        <f>INDIRECT(ADDRESS(405,37))+INDIRECT(ADDRESS(403,38))-INDIRECT(ADDRESS(404,38))</f>
        <v>0</v>
      </c>
      <c r="AM405">
        <f>INDIRECT(ADDRESS(405,38))+INDIRECT(ADDRESS(403,39))-INDIRECT(ADDRESS(404,39))</f>
        <v>0</v>
      </c>
      <c r="AN405">
        <f>INDIRECT(ADDRESS(405,39))+INDIRECT(ADDRESS(403,40))-INDIRECT(ADDRESS(404,40))</f>
        <v>0</v>
      </c>
      <c r="AO405">
        <f>SUM(INDIRECT(ADDRESS(404,8)):INDIRECT(ADDRESS(404,39)))</f>
        <v>0</v>
      </c>
    </row>
    <row r="406" spans="1:41">
      <c r="A406" t="s">
        <v>185</v>
      </c>
      <c r="B406" t="s">
        <v>332</v>
      </c>
      <c r="C406" t="s">
        <v>333</v>
      </c>
      <c r="E406">
        <v>3</v>
      </c>
      <c r="I406" t="s">
        <v>177</v>
      </c>
    </row>
    <row r="407" spans="1:41">
      <c r="I407" t="s">
        <v>178</v>
      </c>
      <c r="J407">
        <f>IFERROR(VLOOKUP("924-700000-100",B:AB,1+8,0),0)</f>
        <v>0</v>
      </c>
      <c r="K407">
        <f>IFERROR(VLOOKUP("924-700000-100",B:AB,2+8,0),0)</f>
        <v>0</v>
      </c>
      <c r="L407">
        <f>IFERROR(VLOOKUP("924-700000-100",B:AB,3+8,0),0)</f>
        <v>0</v>
      </c>
      <c r="M407">
        <f>IFERROR(VLOOKUP("924-700000-100",B:AB,4+8,0),0)</f>
        <v>0</v>
      </c>
      <c r="N407">
        <f>IFERROR(VLOOKUP("924-700000-100",B:AB,5+8,0),0)</f>
        <v>0</v>
      </c>
      <c r="O407">
        <f>IFERROR(VLOOKUP("924-700000-100",B:AB,6+8,0),0)</f>
        <v>0</v>
      </c>
      <c r="P407">
        <f>IFERROR(VLOOKUP("924-700000-100",B:AB,7+8,0),0)</f>
        <v>0</v>
      </c>
      <c r="Q407">
        <f>IFERROR(VLOOKUP("924-700000-100",B:AB,8+8,0),0)</f>
        <v>0</v>
      </c>
      <c r="R407">
        <f>IFERROR(VLOOKUP("924-700000-100",B:AB,9+8,0),0)</f>
        <v>0</v>
      </c>
      <c r="S407">
        <f>IFERROR(VLOOKUP("924-700000-100",B:AB,10+8,0),0)</f>
        <v>0</v>
      </c>
      <c r="T407">
        <f>IFERROR(VLOOKUP("924-700000-100",B:AB,11+8,0),0)</f>
        <v>0</v>
      </c>
      <c r="U407">
        <f>IFERROR(VLOOKUP("924-700000-100",B:AB,12+8,0),0)</f>
        <v>0</v>
      </c>
      <c r="V407">
        <f>IFERROR(VLOOKUP("924-700000-100",B:AB,13+8,0),0)</f>
        <v>0</v>
      </c>
      <c r="W407">
        <f>IFERROR(VLOOKUP("924-700000-100",B:AB,14+8,0),0)</f>
        <v>0</v>
      </c>
      <c r="X407">
        <f>IFERROR(VLOOKUP("924-700000-100",B:AB,15+8,0),0)</f>
        <v>0</v>
      </c>
      <c r="Y407">
        <f>IFERROR(VLOOKUP("924-700000-100",B:AB,16+8,0),0)</f>
        <v>0</v>
      </c>
      <c r="Z407">
        <f>IFERROR(VLOOKUP("924-700000-100",B:AB,17+8,0),0)</f>
        <v>0</v>
      </c>
      <c r="AA407">
        <f>IFERROR(VLOOKUP("924-700000-100",B:AB,18+8,0),0)</f>
        <v>0</v>
      </c>
      <c r="AB407">
        <f>IFERROR(VLOOKUP("924-700000-100",B:AB,19+8,0),0)</f>
        <v>0</v>
      </c>
      <c r="AC407">
        <f>IFERROR(VLOOKUP("924-700000-100",B:AB,20+8,0),0)</f>
        <v>0</v>
      </c>
      <c r="AD407">
        <f>IFERROR(VLOOKUP("924-700000-100",B:AB,21+8,0),0)</f>
        <v>0</v>
      </c>
      <c r="AE407">
        <f>IFERROR(VLOOKUP("924-700000-100",B:AB,22+8,0),0)</f>
        <v>0</v>
      </c>
      <c r="AF407">
        <f>IFERROR(VLOOKUP("924-700000-100",B:AB,23+8,0),0)</f>
        <v>0</v>
      </c>
      <c r="AG407">
        <f>IFERROR(VLOOKUP("924-700000-100",B:AB,24+8,0),0)</f>
        <v>0</v>
      </c>
      <c r="AH407">
        <f>IFERROR(VLOOKUP("924-700000-100",B:AB,25+8,0),0)</f>
        <v>0</v>
      </c>
      <c r="AI407">
        <f>IFERROR(VLOOKUP("924-700000-100",B:AB,26+8,0),0)</f>
        <v>0</v>
      </c>
      <c r="AJ407">
        <f>IFERROR(VLOOKUP("924-700000-100",B:AB,27+8,0),0)</f>
        <v>0</v>
      </c>
      <c r="AK407">
        <f>IFERROR(VLOOKUP("924-700000-100",B:AB,28+8,0),0)</f>
        <v>0</v>
      </c>
      <c r="AL407">
        <f>IFERROR(VLOOKUP("924-700000-100",B:AB,29+8,0),0)</f>
        <v>0</v>
      </c>
      <c r="AM407">
        <f>IFERROR(VLOOKUP("924-700000-100",B:AB,30+8,0),0)</f>
        <v>0</v>
      </c>
      <c r="AN407">
        <f>IFERROR(VLOOKUP("924-700000-100",B:AB,31+8,0),0)</f>
        <v>0</v>
      </c>
      <c r="AO407">
        <f>SUN(INDIRECT(ADDRESS(406,8)):INDIRECT(ADDRESS(406,39)))</f>
        <v>0</v>
      </c>
    </row>
    <row r="408" spans="1:41">
      <c r="H408" t="s">
        <v>179</v>
      </c>
      <c r="J408">
        <f>INDIRECT(ADDRESS(408,9))+INDIRECT(ADDRESS(406,10))-INDIRECT(ADDRESS(407,10))</f>
        <v>0</v>
      </c>
      <c r="K408">
        <f>INDIRECT(ADDRESS(408,10))+INDIRECT(ADDRESS(406,11))-INDIRECT(ADDRESS(407,11))</f>
        <v>0</v>
      </c>
      <c r="L408">
        <f>INDIRECT(ADDRESS(408,11))+INDIRECT(ADDRESS(406,12))-INDIRECT(ADDRESS(407,12))</f>
        <v>0</v>
      </c>
      <c r="M408">
        <f>INDIRECT(ADDRESS(408,12))+INDIRECT(ADDRESS(406,13))-INDIRECT(ADDRESS(407,13))</f>
        <v>0</v>
      </c>
      <c r="N408">
        <f>INDIRECT(ADDRESS(408,13))+INDIRECT(ADDRESS(406,14))-INDIRECT(ADDRESS(407,14))</f>
        <v>0</v>
      </c>
      <c r="O408">
        <f>INDIRECT(ADDRESS(408,14))+INDIRECT(ADDRESS(406,15))-INDIRECT(ADDRESS(407,15))</f>
        <v>0</v>
      </c>
      <c r="P408">
        <f>INDIRECT(ADDRESS(408,15))+INDIRECT(ADDRESS(406,16))-INDIRECT(ADDRESS(407,16))</f>
        <v>0</v>
      </c>
      <c r="Q408">
        <f>INDIRECT(ADDRESS(408,16))+INDIRECT(ADDRESS(406,17))-INDIRECT(ADDRESS(407,17))</f>
        <v>0</v>
      </c>
      <c r="R408">
        <f>INDIRECT(ADDRESS(408,17))+INDIRECT(ADDRESS(406,18))-INDIRECT(ADDRESS(407,18))</f>
        <v>0</v>
      </c>
      <c r="S408">
        <f>INDIRECT(ADDRESS(408,18))+INDIRECT(ADDRESS(406,19))-INDIRECT(ADDRESS(407,19))</f>
        <v>0</v>
      </c>
      <c r="T408">
        <f>INDIRECT(ADDRESS(408,19))+INDIRECT(ADDRESS(406,20))-INDIRECT(ADDRESS(407,20))</f>
        <v>0</v>
      </c>
      <c r="U408">
        <f>INDIRECT(ADDRESS(408,20))+INDIRECT(ADDRESS(406,21))-INDIRECT(ADDRESS(407,21))</f>
        <v>0</v>
      </c>
      <c r="V408">
        <f>INDIRECT(ADDRESS(408,21))+INDIRECT(ADDRESS(406,22))-INDIRECT(ADDRESS(407,22))</f>
        <v>0</v>
      </c>
      <c r="W408">
        <f>INDIRECT(ADDRESS(408,22))+INDIRECT(ADDRESS(406,23))-INDIRECT(ADDRESS(407,23))</f>
        <v>0</v>
      </c>
      <c r="X408">
        <f>INDIRECT(ADDRESS(408,23))+INDIRECT(ADDRESS(406,24))-INDIRECT(ADDRESS(407,24))</f>
        <v>0</v>
      </c>
      <c r="Y408">
        <f>INDIRECT(ADDRESS(408,24))+INDIRECT(ADDRESS(406,25))-INDIRECT(ADDRESS(407,25))</f>
        <v>0</v>
      </c>
      <c r="Z408">
        <f>INDIRECT(ADDRESS(408,25))+INDIRECT(ADDRESS(406,26))-INDIRECT(ADDRESS(407,26))</f>
        <v>0</v>
      </c>
      <c r="AA408">
        <f>INDIRECT(ADDRESS(408,26))+INDIRECT(ADDRESS(406,27))-INDIRECT(ADDRESS(407,27))</f>
        <v>0</v>
      </c>
      <c r="AB408">
        <f>INDIRECT(ADDRESS(408,27))+INDIRECT(ADDRESS(406,28))-INDIRECT(ADDRESS(407,28))</f>
        <v>0</v>
      </c>
      <c r="AC408">
        <f>INDIRECT(ADDRESS(408,28))+INDIRECT(ADDRESS(406,29))-INDIRECT(ADDRESS(407,29))</f>
        <v>0</v>
      </c>
      <c r="AD408">
        <f>INDIRECT(ADDRESS(408,29))+INDIRECT(ADDRESS(406,30))-INDIRECT(ADDRESS(407,30))</f>
        <v>0</v>
      </c>
      <c r="AE408">
        <f>INDIRECT(ADDRESS(408,30))+INDIRECT(ADDRESS(406,31))-INDIRECT(ADDRESS(407,31))</f>
        <v>0</v>
      </c>
      <c r="AF408">
        <f>INDIRECT(ADDRESS(408,31))+INDIRECT(ADDRESS(406,32))-INDIRECT(ADDRESS(407,32))</f>
        <v>0</v>
      </c>
      <c r="AG408">
        <f>INDIRECT(ADDRESS(408,32))+INDIRECT(ADDRESS(406,33))-INDIRECT(ADDRESS(407,33))</f>
        <v>0</v>
      </c>
      <c r="AH408">
        <f>INDIRECT(ADDRESS(408,33))+INDIRECT(ADDRESS(406,34))-INDIRECT(ADDRESS(407,34))</f>
        <v>0</v>
      </c>
      <c r="AI408">
        <f>INDIRECT(ADDRESS(408,34))+INDIRECT(ADDRESS(406,35))-INDIRECT(ADDRESS(407,35))</f>
        <v>0</v>
      </c>
      <c r="AJ408">
        <f>INDIRECT(ADDRESS(408,35))+INDIRECT(ADDRESS(406,36))-INDIRECT(ADDRESS(407,36))</f>
        <v>0</v>
      </c>
      <c r="AK408">
        <f>INDIRECT(ADDRESS(408,36))+INDIRECT(ADDRESS(406,37))-INDIRECT(ADDRESS(407,37))</f>
        <v>0</v>
      </c>
      <c r="AL408">
        <f>INDIRECT(ADDRESS(408,37))+INDIRECT(ADDRESS(406,38))-INDIRECT(ADDRESS(407,38))</f>
        <v>0</v>
      </c>
      <c r="AM408">
        <f>INDIRECT(ADDRESS(408,38))+INDIRECT(ADDRESS(406,39))-INDIRECT(ADDRESS(407,39))</f>
        <v>0</v>
      </c>
      <c r="AN408">
        <f>INDIRECT(ADDRESS(408,39))+INDIRECT(ADDRESS(406,40))-INDIRECT(ADDRESS(407,40))</f>
        <v>0</v>
      </c>
      <c r="AO408">
        <f>SUM(INDIRECT(ADDRESS(407,8)):INDIRECT(ADDRESS(407,39)))</f>
        <v>0</v>
      </c>
    </row>
    <row r="409" spans="1:41">
      <c r="A409" t="s">
        <v>185</v>
      </c>
      <c r="B409" t="s">
        <v>334</v>
      </c>
      <c r="C409" t="s">
        <v>335</v>
      </c>
      <c r="E409">
        <v>1</v>
      </c>
      <c r="I409" t="s">
        <v>177</v>
      </c>
    </row>
    <row r="410" spans="1:41">
      <c r="I410" t="s">
        <v>178</v>
      </c>
      <c r="J410">
        <f>IFERROR(VLOOKUP("924-700000-100",B:AB,1+8,0),0)</f>
        <v>0</v>
      </c>
      <c r="K410">
        <f>IFERROR(VLOOKUP("924-700000-100",B:AB,2+8,0),0)</f>
        <v>0</v>
      </c>
      <c r="L410">
        <f>IFERROR(VLOOKUP("924-700000-100",B:AB,3+8,0),0)</f>
        <v>0</v>
      </c>
      <c r="M410">
        <f>IFERROR(VLOOKUP("924-700000-100",B:AB,4+8,0),0)</f>
        <v>0</v>
      </c>
      <c r="N410">
        <f>IFERROR(VLOOKUP("924-700000-100",B:AB,5+8,0),0)</f>
        <v>0</v>
      </c>
      <c r="O410">
        <f>IFERROR(VLOOKUP("924-700000-100",B:AB,6+8,0),0)</f>
        <v>0</v>
      </c>
      <c r="P410">
        <f>IFERROR(VLOOKUP("924-700000-100",B:AB,7+8,0),0)</f>
        <v>0</v>
      </c>
      <c r="Q410">
        <f>IFERROR(VLOOKUP("924-700000-100",B:AB,8+8,0),0)</f>
        <v>0</v>
      </c>
      <c r="R410">
        <f>IFERROR(VLOOKUP("924-700000-100",B:AB,9+8,0),0)</f>
        <v>0</v>
      </c>
      <c r="S410">
        <f>IFERROR(VLOOKUP("924-700000-100",B:AB,10+8,0),0)</f>
        <v>0</v>
      </c>
      <c r="T410">
        <f>IFERROR(VLOOKUP("924-700000-100",B:AB,11+8,0),0)</f>
        <v>0</v>
      </c>
      <c r="U410">
        <f>IFERROR(VLOOKUP("924-700000-100",B:AB,12+8,0),0)</f>
        <v>0</v>
      </c>
      <c r="V410">
        <f>IFERROR(VLOOKUP("924-700000-100",B:AB,13+8,0),0)</f>
        <v>0</v>
      </c>
      <c r="W410">
        <f>IFERROR(VLOOKUP("924-700000-100",B:AB,14+8,0),0)</f>
        <v>0</v>
      </c>
      <c r="X410">
        <f>IFERROR(VLOOKUP("924-700000-100",B:AB,15+8,0),0)</f>
        <v>0</v>
      </c>
      <c r="Y410">
        <f>IFERROR(VLOOKUP("924-700000-100",B:AB,16+8,0),0)</f>
        <v>0</v>
      </c>
      <c r="Z410">
        <f>IFERROR(VLOOKUP("924-700000-100",B:AB,17+8,0),0)</f>
        <v>0</v>
      </c>
      <c r="AA410">
        <f>IFERROR(VLOOKUP("924-700000-100",B:AB,18+8,0),0)</f>
        <v>0</v>
      </c>
      <c r="AB410">
        <f>IFERROR(VLOOKUP("924-700000-100",B:AB,19+8,0),0)</f>
        <v>0</v>
      </c>
      <c r="AC410">
        <f>IFERROR(VLOOKUP("924-700000-100",B:AB,20+8,0),0)</f>
        <v>0</v>
      </c>
      <c r="AD410">
        <f>IFERROR(VLOOKUP("924-700000-100",B:AB,21+8,0),0)</f>
        <v>0</v>
      </c>
      <c r="AE410">
        <f>IFERROR(VLOOKUP("924-700000-100",B:AB,22+8,0),0)</f>
        <v>0</v>
      </c>
      <c r="AF410">
        <f>IFERROR(VLOOKUP("924-700000-100",B:AB,23+8,0),0)</f>
        <v>0</v>
      </c>
      <c r="AG410">
        <f>IFERROR(VLOOKUP("924-700000-100",B:AB,24+8,0),0)</f>
        <v>0</v>
      </c>
      <c r="AH410">
        <f>IFERROR(VLOOKUP("924-700000-100",B:AB,25+8,0),0)</f>
        <v>0</v>
      </c>
      <c r="AI410">
        <f>IFERROR(VLOOKUP("924-700000-100",B:AB,26+8,0),0)</f>
        <v>0</v>
      </c>
      <c r="AJ410">
        <f>IFERROR(VLOOKUP("924-700000-100",B:AB,27+8,0),0)</f>
        <v>0</v>
      </c>
      <c r="AK410">
        <f>IFERROR(VLOOKUP("924-700000-100",B:AB,28+8,0),0)</f>
        <v>0</v>
      </c>
      <c r="AL410">
        <f>IFERROR(VLOOKUP("924-700000-100",B:AB,29+8,0),0)</f>
        <v>0</v>
      </c>
      <c r="AM410">
        <f>IFERROR(VLOOKUP("924-700000-100",B:AB,30+8,0),0)</f>
        <v>0</v>
      </c>
      <c r="AN410">
        <f>IFERROR(VLOOKUP("924-700000-100",B:AB,31+8,0),0)</f>
        <v>0</v>
      </c>
      <c r="AO410">
        <f>SUN(INDIRECT(ADDRESS(409,8)):INDIRECT(ADDRESS(409,39)))</f>
        <v>0</v>
      </c>
    </row>
    <row r="411" spans="1:41">
      <c r="H411" t="s">
        <v>179</v>
      </c>
      <c r="J411">
        <f>INDIRECT(ADDRESS(411,9))+INDIRECT(ADDRESS(409,10))-INDIRECT(ADDRESS(410,10))</f>
        <v>0</v>
      </c>
      <c r="K411">
        <f>INDIRECT(ADDRESS(411,10))+INDIRECT(ADDRESS(409,11))-INDIRECT(ADDRESS(410,11))</f>
        <v>0</v>
      </c>
      <c r="L411">
        <f>INDIRECT(ADDRESS(411,11))+INDIRECT(ADDRESS(409,12))-INDIRECT(ADDRESS(410,12))</f>
        <v>0</v>
      </c>
      <c r="M411">
        <f>INDIRECT(ADDRESS(411,12))+INDIRECT(ADDRESS(409,13))-INDIRECT(ADDRESS(410,13))</f>
        <v>0</v>
      </c>
      <c r="N411">
        <f>INDIRECT(ADDRESS(411,13))+INDIRECT(ADDRESS(409,14))-INDIRECT(ADDRESS(410,14))</f>
        <v>0</v>
      </c>
      <c r="O411">
        <f>INDIRECT(ADDRESS(411,14))+INDIRECT(ADDRESS(409,15))-INDIRECT(ADDRESS(410,15))</f>
        <v>0</v>
      </c>
      <c r="P411">
        <f>INDIRECT(ADDRESS(411,15))+INDIRECT(ADDRESS(409,16))-INDIRECT(ADDRESS(410,16))</f>
        <v>0</v>
      </c>
      <c r="Q411">
        <f>INDIRECT(ADDRESS(411,16))+INDIRECT(ADDRESS(409,17))-INDIRECT(ADDRESS(410,17))</f>
        <v>0</v>
      </c>
      <c r="R411">
        <f>INDIRECT(ADDRESS(411,17))+INDIRECT(ADDRESS(409,18))-INDIRECT(ADDRESS(410,18))</f>
        <v>0</v>
      </c>
      <c r="S411">
        <f>INDIRECT(ADDRESS(411,18))+INDIRECT(ADDRESS(409,19))-INDIRECT(ADDRESS(410,19))</f>
        <v>0</v>
      </c>
      <c r="T411">
        <f>INDIRECT(ADDRESS(411,19))+INDIRECT(ADDRESS(409,20))-INDIRECT(ADDRESS(410,20))</f>
        <v>0</v>
      </c>
      <c r="U411">
        <f>INDIRECT(ADDRESS(411,20))+INDIRECT(ADDRESS(409,21))-INDIRECT(ADDRESS(410,21))</f>
        <v>0</v>
      </c>
      <c r="V411">
        <f>INDIRECT(ADDRESS(411,21))+INDIRECT(ADDRESS(409,22))-INDIRECT(ADDRESS(410,22))</f>
        <v>0</v>
      </c>
      <c r="W411">
        <f>INDIRECT(ADDRESS(411,22))+INDIRECT(ADDRESS(409,23))-INDIRECT(ADDRESS(410,23))</f>
        <v>0</v>
      </c>
      <c r="X411">
        <f>INDIRECT(ADDRESS(411,23))+INDIRECT(ADDRESS(409,24))-INDIRECT(ADDRESS(410,24))</f>
        <v>0</v>
      </c>
      <c r="Y411">
        <f>INDIRECT(ADDRESS(411,24))+INDIRECT(ADDRESS(409,25))-INDIRECT(ADDRESS(410,25))</f>
        <v>0</v>
      </c>
      <c r="Z411">
        <f>INDIRECT(ADDRESS(411,25))+INDIRECT(ADDRESS(409,26))-INDIRECT(ADDRESS(410,26))</f>
        <v>0</v>
      </c>
      <c r="AA411">
        <f>INDIRECT(ADDRESS(411,26))+INDIRECT(ADDRESS(409,27))-INDIRECT(ADDRESS(410,27))</f>
        <v>0</v>
      </c>
      <c r="AB411">
        <f>INDIRECT(ADDRESS(411,27))+INDIRECT(ADDRESS(409,28))-INDIRECT(ADDRESS(410,28))</f>
        <v>0</v>
      </c>
      <c r="AC411">
        <f>INDIRECT(ADDRESS(411,28))+INDIRECT(ADDRESS(409,29))-INDIRECT(ADDRESS(410,29))</f>
        <v>0</v>
      </c>
      <c r="AD411">
        <f>INDIRECT(ADDRESS(411,29))+INDIRECT(ADDRESS(409,30))-INDIRECT(ADDRESS(410,30))</f>
        <v>0</v>
      </c>
      <c r="AE411">
        <f>INDIRECT(ADDRESS(411,30))+INDIRECT(ADDRESS(409,31))-INDIRECT(ADDRESS(410,31))</f>
        <v>0</v>
      </c>
      <c r="AF411">
        <f>INDIRECT(ADDRESS(411,31))+INDIRECT(ADDRESS(409,32))-INDIRECT(ADDRESS(410,32))</f>
        <v>0</v>
      </c>
      <c r="AG411">
        <f>INDIRECT(ADDRESS(411,32))+INDIRECT(ADDRESS(409,33))-INDIRECT(ADDRESS(410,33))</f>
        <v>0</v>
      </c>
      <c r="AH411">
        <f>INDIRECT(ADDRESS(411,33))+INDIRECT(ADDRESS(409,34))-INDIRECT(ADDRESS(410,34))</f>
        <v>0</v>
      </c>
      <c r="AI411">
        <f>INDIRECT(ADDRESS(411,34))+INDIRECT(ADDRESS(409,35))-INDIRECT(ADDRESS(410,35))</f>
        <v>0</v>
      </c>
      <c r="AJ411">
        <f>INDIRECT(ADDRESS(411,35))+INDIRECT(ADDRESS(409,36))-INDIRECT(ADDRESS(410,36))</f>
        <v>0</v>
      </c>
      <c r="AK411">
        <f>INDIRECT(ADDRESS(411,36))+INDIRECT(ADDRESS(409,37))-INDIRECT(ADDRESS(410,37))</f>
        <v>0</v>
      </c>
      <c r="AL411">
        <f>INDIRECT(ADDRESS(411,37))+INDIRECT(ADDRESS(409,38))-INDIRECT(ADDRESS(410,38))</f>
        <v>0</v>
      </c>
      <c r="AM411">
        <f>INDIRECT(ADDRESS(411,38))+INDIRECT(ADDRESS(409,39))-INDIRECT(ADDRESS(410,39))</f>
        <v>0</v>
      </c>
      <c r="AN411">
        <f>INDIRECT(ADDRESS(411,39))+INDIRECT(ADDRESS(409,40))-INDIRECT(ADDRESS(410,40))</f>
        <v>0</v>
      </c>
      <c r="AO411">
        <f>SUM(INDIRECT(ADDRESS(410,8)):INDIRECT(ADDRESS(410,39)))</f>
        <v>0</v>
      </c>
    </row>
    <row r="412" spans="1:41">
      <c r="A412" t="s">
        <v>185</v>
      </c>
      <c r="B412" t="s">
        <v>336</v>
      </c>
      <c r="C412" t="s">
        <v>337</v>
      </c>
      <c r="E412">
        <v>1</v>
      </c>
      <c r="I412" t="s">
        <v>177</v>
      </c>
    </row>
    <row r="413" spans="1:41">
      <c r="I413" t="s">
        <v>178</v>
      </c>
      <c r="J413">
        <f>IFERROR(VLOOKUP("924-700000-100",B:AB,1+8,0),0)</f>
        <v>0</v>
      </c>
      <c r="K413">
        <f>IFERROR(VLOOKUP("924-700000-100",B:AB,2+8,0),0)</f>
        <v>0</v>
      </c>
      <c r="L413">
        <f>IFERROR(VLOOKUP("924-700000-100",B:AB,3+8,0),0)</f>
        <v>0</v>
      </c>
      <c r="M413">
        <f>IFERROR(VLOOKUP("924-700000-100",B:AB,4+8,0),0)</f>
        <v>0</v>
      </c>
      <c r="N413">
        <f>IFERROR(VLOOKUP("924-700000-100",B:AB,5+8,0),0)</f>
        <v>0</v>
      </c>
      <c r="O413">
        <f>IFERROR(VLOOKUP("924-700000-100",B:AB,6+8,0),0)</f>
        <v>0</v>
      </c>
      <c r="P413">
        <f>IFERROR(VLOOKUP("924-700000-100",B:AB,7+8,0),0)</f>
        <v>0</v>
      </c>
      <c r="Q413">
        <f>IFERROR(VLOOKUP("924-700000-100",B:AB,8+8,0),0)</f>
        <v>0</v>
      </c>
      <c r="R413">
        <f>IFERROR(VLOOKUP("924-700000-100",B:AB,9+8,0),0)</f>
        <v>0</v>
      </c>
      <c r="S413">
        <f>IFERROR(VLOOKUP("924-700000-100",B:AB,10+8,0),0)</f>
        <v>0</v>
      </c>
      <c r="T413">
        <f>IFERROR(VLOOKUP("924-700000-100",B:AB,11+8,0),0)</f>
        <v>0</v>
      </c>
      <c r="U413">
        <f>IFERROR(VLOOKUP("924-700000-100",B:AB,12+8,0),0)</f>
        <v>0</v>
      </c>
      <c r="V413">
        <f>IFERROR(VLOOKUP("924-700000-100",B:AB,13+8,0),0)</f>
        <v>0</v>
      </c>
      <c r="W413">
        <f>IFERROR(VLOOKUP("924-700000-100",B:AB,14+8,0),0)</f>
        <v>0</v>
      </c>
      <c r="X413">
        <f>IFERROR(VLOOKUP("924-700000-100",B:AB,15+8,0),0)</f>
        <v>0</v>
      </c>
      <c r="Y413">
        <f>IFERROR(VLOOKUP("924-700000-100",B:AB,16+8,0),0)</f>
        <v>0</v>
      </c>
      <c r="Z413">
        <f>IFERROR(VLOOKUP("924-700000-100",B:AB,17+8,0),0)</f>
        <v>0</v>
      </c>
      <c r="AA413">
        <f>IFERROR(VLOOKUP("924-700000-100",B:AB,18+8,0),0)</f>
        <v>0</v>
      </c>
      <c r="AB413">
        <f>IFERROR(VLOOKUP("924-700000-100",B:AB,19+8,0),0)</f>
        <v>0</v>
      </c>
      <c r="AC413">
        <f>IFERROR(VLOOKUP("924-700000-100",B:AB,20+8,0),0)</f>
        <v>0</v>
      </c>
      <c r="AD413">
        <f>IFERROR(VLOOKUP("924-700000-100",B:AB,21+8,0),0)</f>
        <v>0</v>
      </c>
      <c r="AE413">
        <f>IFERROR(VLOOKUP("924-700000-100",B:AB,22+8,0),0)</f>
        <v>0</v>
      </c>
      <c r="AF413">
        <f>IFERROR(VLOOKUP("924-700000-100",B:AB,23+8,0),0)</f>
        <v>0</v>
      </c>
      <c r="AG413">
        <f>IFERROR(VLOOKUP("924-700000-100",B:AB,24+8,0),0)</f>
        <v>0</v>
      </c>
      <c r="AH413">
        <f>IFERROR(VLOOKUP("924-700000-100",B:AB,25+8,0),0)</f>
        <v>0</v>
      </c>
      <c r="AI413">
        <f>IFERROR(VLOOKUP("924-700000-100",B:AB,26+8,0),0)</f>
        <v>0</v>
      </c>
      <c r="AJ413">
        <f>IFERROR(VLOOKUP("924-700000-100",B:AB,27+8,0),0)</f>
        <v>0</v>
      </c>
      <c r="AK413">
        <f>IFERROR(VLOOKUP("924-700000-100",B:AB,28+8,0),0)</f>
        <v>0</v>
      </c>
      <c r="AL413">
        <f>IFERROR(VLOOKUP("924-700000-100",B:AB,29+8,0),0)</f>
        <v>0</v>
      </c>
      <c r="AM413">
        <f>IFERROR(VLOOKUP("924-700000-100",B:AB,30+8,0),0)</f>
        <v>0</v>
      </c>
      <c r="AN413">
        <f>IFERROR(VLOOKUP("924-700000-100",B:AB,31+8,0),0)</f>
        <v>0</v>
      </c>
      <c r="AO413">
        <f>SUN(INDIRECT(ADDRESS(412,8)):INDIRECT(ADDRESS(412,39)))</f>
        <v>0</v>
      </c>
    </row>
    <row r="414" spans="1:41">
      <c r="H414" t="s">
        <v>179</v>
      </c>
      <c r="J414">
        <f>INDIRECT(ADDRESS(414,9))+INDIRECT(ADDRESS(412,10))-INDIRECT(ADDRESS(413,10))</f>
        <v>0</v>
      </c>
      <c r="K414">
        <f>INDIRECT(ADDRESS(414,10))+INDIRECT(ADDRESS(412,11))-INDIRECT(ADDRESS(413,11))</f>
        <v>0</v>
      </c>
      <c r="L414">
        <f>INDIRECT(ADDRESS(414,11))+INDIRECT(ADDRESS(412,12))-INDIRECT(ADDRESS(413,12))</f>
        <v>0</v>
      </c>
      <c r="M414">
        <f>INDIRECT(ADDRESS(414,12))+INDIRECT(ADDRESS(412,13))-INDIRECT(ADDRESS(413,13))</f>
        <v>0</v>
      </c>
      <c r="N414">
        <f>INDIRECT(ADDRESS(414,13))+INDIRECT(ADDRESS(412,14))-INDIRECT(ADDRESS(413,14))</f>
        <v>0</v>
      </c>
      <c r="O414">
        <f>INDIRECT(ADDRESS(414,14))+INDIRECT(ADDRESS(412,15))-INDIRECT(ADDRESS(413,15))</f>
        <v>0</v>
      </c>
      <c r="P414">
        <f>INDIRECT(ADDRESS(414,15))+INDIRECT(ADDRESS(412,16))-INDIRECT(ADDRESS(413,16))</f>
        <v>0</v>
      </c>
      <c r="Q414">
        <f>INDIRECT(ADDRESS(414,16))+INDIRECT(ADDRESS(412,17))-INDIRECT(ADDRESS(413,17))</f>
        <v>0</v>
      </c>
      <c r="R414">
        <f>INDIRECT(ADDRESS(414,17))+INDIRECT(ADDRESS(412,18))-INDIRECT(ADDRESS(413,18))</f>
        <v>0</v>
      </c>
      <c r="S414">
        <f>INDIRECT(ADDRESS(414,18))+INDIRECT(ADDRESS(412,19))-INDIRECT(ADDRESS(413,19))</f>
        <v>0</v>
      </c>
      <c r="T414">
        <f>INDIRECT(ADDRESS(414,19))+INDIRECT(ADDRESS(412,20))-INDIRECT(ADDRESS(413,20))</f>
        <v>0</v>
      </c>
      <c r="U414">
        <f>INDIRECT(ADDRESS(414,20))+INDIRECT(ADDRESS(412,21))-INDIRECT(ADDRESS(413,21))</f>
        <v>0</v>
      </c>
      <c r="V414">
        <f>INDIRECT(ADDRESS(414,21))+INDIRECT(ADDRESS(412,22))-INDIRECT(ADDRESS(413,22))</f>
        <v>0</v>
      </c>
      <c r="W414">
        <f>INDIRECT(ADDRESS(414,22))+INDIRECT(ADDRESS(412,23))-INDIRECT(ADDRESS(413,23))</f>
        <v>0</v>
      </c>
      <c r="X414">
        <f>INDIRECT(ADDRESS(414,23))+INDIRECT(ADDRESS(412,24))-INDIRECT(ADDRESS(413,24))</f>
        <v>0</v>
      </c>
      <c r="Y414">
        <f>INDIRECT(ADDRESS(414,24))+INDIRECT(ADDRESS(412,25))-INDIRECT(ADDRESS(413,25))</f>
        <v>0</v>
      </c>
      <c r="Z414">
        <f>INDIRECT(ADDRESS(414,25))+INDIRECT(ADDRESS(412,26))-INDIRECT(ADDRESS(413,26))</f>
        <v>0</v>
      </c>
      <c r="AA414">
        <f>INDIRECT(ADDRESS(414,26))+INDIRECT(ADDRESS(412,27))-INDIRECT(ADDRESS(413,27))</f>
        <v>0</v>
      </c>
      <c r="AB414">
        <f>INDIRECT(ADDRESS(414,27))+INDIRECT(ADDRESS(412,28))-INDIRECT(ADDRESS(413,28))</f>
        <v>0</v>
      </c>
      <c r="AC414">
        <f>INDIRECT(ADDRESS(414,28))+INDIRECT(ADDRESS(412,29))-INDIRECT(ADDRESS(413,29))</f>
        <v>0</v>
      </c>
      <c r="AD414">
        <f>INDIRECT(ADDRESS(414,29))+INDIRECT(ADDRESS(412,30))-INDIRECT(ADDRESS(413,30))</f>
        <v>0</v>
      </c>
      <c r="AE414">
        <f>INDIRECT(ADDRESS(414,30))+INDIRECT(ADDRESS(412,31))-INDIRECT(ADDRESS(413,31))</f>
        <v>0</v>
      </c>
      <c r="AF414">
        <f>INDIRECT(ADDRESS(414,31))+INDIRECT(ADDRESS(412,32))-INDIRECT(ADDRESS(413,32))</f>
        <v>0</v>
      </c>
      <c r="AG414">
        <f>INDIRECT(ADDRESS(414,32))+INDIRECT(ADDRESS(412,33))-INDIRECT(ADDRESS(413,33))</f>
        <v>0</v>
      </c>
      <c r="AH414">
        <f>INDIRECT(ADDRESS(414,33))+INDIRECT(ADDRESS(412,34))-INDIRECT(ADDRESS(413,34))</f>
        <v>0</v>
      </c>
      <c r="AI414">
        <f>INDIRECT(ADDRESS(414,34))+INDIRECT(ADDRESS(412,35))-INDIRECT(ADDRESS(413,35))</f>
        <v>0</v>
      </c>
      <c r="AJ414">
        <f>INDIRECT(ADDRESS(414,35))+INDIRECT(ADDRESS(412,36))-INDIRECT(ADDRESS(413,36))</f>
        <v>0</v>
      </c>
      <c r="AK414">
        <f>INDIRECT(ADDRESS(414,36))+INDIRECT(ADDRESS(412,37))-INDIRECT(ADDRESS(413,37))</f>
        <v>0</v>
      </c>
      <c r="AL414">
        <f>INDIRECT(ADDRESS(414,37))+INDIRECT(ADDRESS(412,38))-INDIRECT(ADDRESS(413,38))</f>
        <v>0</v>
      </c>
      <c r="AM414">
        <f>INDIRECT(ADDRESS(414,38))+INDIRECT(ADDRESS(412,39))-INDIRECT(ADDRESS(413,39))</f>
        <v>0</v>
      </c>
      <c r="AN414">
        <f>INDIRECT(ADDRESS(414,39))+INDIRECT(ADDRESS(412,40))-INDIRECT(ADDRESS(413,40))</f>
        <v>0</v>
      </c>
      <c r="AO414">
        <f>SUM(INDIRECT(ADDRESS(413,8)):INDIRECT(ADDRESS(413,39)))</f>
        <v>0</v>
      </c>
    </row>
    <row r="415" spans="1:41">
      <c r="A415" t="s">
        <v>185</v>
      </c>
      <c r="B415" t="s">
        <v>338</v>
      </c>
      <c r="C415" t="s">
        <v>339</v>
      </c>
      <c r="E415">
        <v>1</v>
      </c>
      <c r="I415" t="s">
        <v>177</v>
      </c>
    </row>
    <row r="416" spans="1:41">
      <c r="I416" t="s">
        <v>178</v>
      </c>
      <c r="J416">
        <f>IFERROR(VLOOKUP("924-700000-100",B:AB,1+8,0),0)</f>
        <v>0</v>
      </c>
      <c r="K416">
        <f>IFERROR(VLOOKUP("924-700000-100",B:AB,2+8,0),0)</f>
        <v>0</v>
      </c>
      <c r="L416">
        <f>IFERROR(VLOOKUP("924-700000-100",B:AB,3+8,0),0)</f>
        <v>0</v>
      </c>
      <c r="M416">
        <f>IFERROR(VLOOKUP("924-700000-100",B:AB,4+8,0),0)</f>
        <v>0</v>
      </c>
      <c r="N416">
        <f>IFERROR(VLOOKUP("924-700000-100",B:AB,5+8,0),0)</f>
        <v>0</v>
      </c>
      <c r="O416">
        <f>IFERROR(VLOOKUP("924-700000-100",B:AB,6+8,0),0)</f>
        <v>0</v>
      </c>
      <c r="P416">
        <f>IFERROR(VLOOKUP("924-700000-100",B:AB,7+8,0),0)</f>
        <v>0</v>
      </c>
      <c r="Q416">
        <f>IFERROR(VLOOKUP("924-700000-100",B:AB,8+8,0),0)</f>
        <v>0</v>
      </c>
      <c r="R416">
        <f>IFERROR(VLOOKUP("924-700000-100",B:AB,9+8,0),0)</f>
        <v>0</v>
      </c>
      <c r="S416">
        <f>IFERROR(VLOOKUP("924-700000-100",B:AB,10+8,0),0)</f>
        <v>0</v>
      </c>
      <c r="T416">
        <f>IFERROR(VLOOKUP("924-700000-100",B:AB,11+8,0),0)</f>
        <v>0</v>
      </c>
      <c r="U416">
        <f>IFERROR(VLOOKUP("924-700000-100",B:AB,12+8,0),0)</f>
        <v>0</v>
      </c>
      <c r="V416">
        <f>IFERROR(VLOOKUP("924-700000-100",B:AB,13+8,0),0)</f>
        <v>0</v>
      </c>
      <c r="W416">
        <f>IFERROR(VLOOKUP("924-700000-100",B:AB,14+8,0),0)</f>
        <v>0</v>
      </c>
      <c r="X416">
        <f>IFERROR(VLOOKUP("924-700000-100",B:AB,15+8,0),0)</f>
        <v>0</v>
      </c>
      <c r="Y416">
        <f>IFERROR(VLOOKUP("924-700000-100",B:AB,16+8,0),0)</f>
        <v>0</v>
      </c>
      <c r="Z416">
        <f>IFERROR(VLOOKUP("924-700000-100",B:AB,17+8,0),0)</f>
        <v>0</v>
      </c>
      <c r="AA416">
        <f>IFERROR(VLOOKUP("924-700000-100",B:AB,18+8,0),0)</f>
        <v>0</v>
      </c>
      <c r="AB416">
        <f>IFERROR(VLOOKUP("924-700000-100",B:AB,19+8,0),0)</f>
        <v>0</v>
      </c>
      <c r="AC416">
        <f>IFERROR(VLOOKUP("924-700000-100",B:AB,20+8,0),0)</f>
        <v>0</v>
      </c>
      <c r="AD416">
        <f>IFERROR(VLOOKUP("924-700000-100",B:AB,21+8,0),0)</f>
        <v>0</v>
      </c>
      <c r="AE416">
        <f>IFERROR(VLOOKUP("924-700000-100",B:AB,22+8,0),0)</f>
        <v>0</v>
      </c>
      <c r="AF416">
        <f>IFERROR(VLOOKUP("924-700000-100",B:AB,23+8,0),0)</f>
        <v>0</v>
      </c>
      <c r="AG416">
        <f>IFERROR(VLOOKUP("924-700000-100",B:AB,24+8,0),0)</f>
        <v>0</v>
      </c>
      <c r="AH416">
        <f>IFERROR(VLOOKUP("924-700000-100",B:AB,25+8,0),0)</f>
        <v>0</v>
      </c>
      <c r="AI416">
        <f>IFERROR(VLOOKUP("924-700000-100",B:AB,26+8,0),0)</f>
        <v>0</v>
      </c>
      <c r="AJ416">
        <f>IFERROR(VLOOKUP("924-700000-100",B:AB,27+8,0),0)</f>
        <v>0</v>
      </c>
      <c r="AK416">
        <f>IFERROR(VLOOKUP("924-700000-100",B:AB,28+8,0),0)</f>
        <v>0</v>
      </c>
      <c r="AL416">
        <f>IFERROR(VLOOKUP("924-700000-100",B:AB,29+8,0),0)</f>
        <v>0</v>
      </c>
      <c r="AM416">
        <f>IFERROR(VLOOKUP("924-700000-100",B:AB,30+8,0),0)</f>
        <v>0</v>
      </c>
      <c r="AN416">
        <f>IFERROR(VLOOKUP("924-700000-100",B:AB,31+8,0),0)</f>
        <v>0</v>
      </c>
      <c r="AO416">
        <f>SUN(INDIRECT(ADDRESS(415,8)):INDIRECT(ADDRESS(415,39)))</f>
        <v>0</v>
      </c>
    </row>
    <row r="417" spans="1:41">
      <c r="H417" t="s">
        <v>179</v>
      </c>
      <c r="J417">
        <f>INDIRECT(ADDRESS(417,9))+INDIRECT(ADDRESS(415,10))-INDIRECT(ADDRESS(416,10))</f>
        <v>0</v>
      </c>
      <c r="K417">
        <f>INDIRECT(ADDRESS(417,10))+INDIRECT(ADDRESS(415,11))-INDIRECT(ADDRESS(416,11))</f>
        <v>0</v>
      </c>
      <c r="L417">
        <f>INDIRECT(ADDRESS(417,11))+INDIRECT(ADDRESS(415,12))-INDIRECT(ADDRESS(416,12))</f>
        <v>0</v>
      </c>
      <c r="M417">
        <f>INDIRECT(ADDRESS(417,12))+INDIRECT(ADDRESS(415,13))-INDIRECT(ADDRESS(416,13))</f>
        <v>0</v>
      </c>
      <c r="N417">
        <f>INDIRECT(ADDRESS(417,13))+INDIRECT(ADDRESS(415,14))-INDIRECT(ADDRESS(416,14))</f>
        <v>0</v>
      </c>
      <c r="O417">
        <f>INDIRECT(ADDRESS(417,14))+INDIRECT(ADDRESS(415,15))-INDIRECT(ADDRESS(416,15))</f>
        <v>0</v>
      </c>
      <c r="P417">
        <f>INDIRECT(ADDRESS(417,15))+INDIRECT(ADDRESS(415,16))-INDIRECT(ADDRESS(416,16))</f>
        <v>0</v>
      </c>
      <c r="Q417">
        <f>INDIRECT(ADDRESS(417,16))+INDIRECT(ADDRESS(415,17))-INDIRECT(ADDRESS(416,17))</f>
        <v>0</v>
      </c>
      <c r="R417">
        <f>INDIRECT(ADDRESS(417,17))+INDIRECT(ADDRESS(415,18))-INDIRECT(ADDRESS(416,18))</f>
        <v>0</v>
      </c>
      <c r="S417">
        <f>INDIRECT(ADDRESS(417,18))+INDIRECT(ADDRESS(415,19))-INDIRECT(ADDRESS(416,19))</f>
        <v>0</v>
      </c>
      <c r="T417">
        <f>INDIRECT(ADDRESS(417,19))+INDIRECT(ADDRESS(415,20))-INDIRECT(ADDRESS(416,20))</f>
        <v>0</v>
      </c>
      <c r="U417">
        <f>INDIRECT(ADDRESS(417,20))+INDIRECT(ADDRESS(415,21))-INDIRECT(ADDRESS(416,21))</f>
        <v>0</v>
      </c>
      <c r="V417">
        <f>INDIRECT(ADDRESS(417,21))+INDIRECT(ADDRESS(415,22))-INDIRECT(ADDRESS(416,22))</f>
        <v>0</v>
      </c>
      <c r="W417">
        <f>INDIRECT(ADDRESS(417,22))+INDIRECT(ADDRESS(415,23))-INDIRECT(ADDRESS(416,23))</f>
        <v>0</v>
      </c>
      <c r="X417">
        <f>INDIRECT(ADDRESS(417,23))+INDIRECT(ADDRESS(415,24))-INDIRECT(ADDRESS(416,24))</f>
        <v>0</v>
      </c>
      <c r="Y417">
        <f>INDIRECT(ADDRESS(417,24))+INDIRECT(ADDRESS(415,25))-INDIRECT(ADDRESS(416,25))</f>
        <v>0</v>
      </c>
      <c r="Z417">
        <f>INDIRECT(ADDRESS(417,25))+INDIRECT(ADDRESS(415,26))-INDIRECT(ADDRESS(416,26))</f>
        <v>0</v>
      </c>
      <c r="AA417">
        <f>INDIRECT(ADDRESS(417,26))+INDIRECT(ADDRESS(415,27))-INDIRECT(ADDRESS(416,27))</f>
        <v>0</v>
      </c>
      <c r="AB417">
        <f>INDIRECT(ADDRESS(417,27))+INDIRECT(ADDRESS(415,28))-INDIRECT(ADDRESS(416,28))</f>
        <v>0</v>
      </c>
      <c r="AC417">
        <f>INDIRECT(ADDRESS(417,28))+INDIRECT(ADDRESS(415,29))-INDIRECT(ADDRESS(416,29))</f>
        <v>0</v>
      </c>
      <c r="AD417">
        <f>INDIRECT(ADDRESS(417,29))+INDIRECT(ADDRESS(415,30))-INDIRECT(ADDRESS(416,30))</f>
        <v>0</v>
      </c>
      <c r="AE417">
        <f>INDIRECT(ADDRESS(417,30))+INDIRECT(ADDRESS(415,31))-INDIRECT(ADDRESS(416,31))</f>
        <v>0</v>
      </c>
      <c r="AF417">
        <f>INDIRECT(ADDRESS(417,31))+INDIRECT(ADDRESS(415,32))-INDIRECT(ADDRESS(416,32))</f>
        <v>0</v>
      </c>
      <c r="AG417">
        <f>INDIRECT(ADDRESS(417,32))+INDIRECT(ADDRESS(415,33))-INDIRECT(ADDRESS(416,33))</f>
        <v>0</v>
      </c>
      <c r="AH417">
        <f>INDIRECT(ADDRESS(417,33))+INDIRECT(ADDRESS(415,34))-INDIRECT(ADDRESS(416,34))</f>
        <v>0</v>
      </c>
      <c r="AI417">
        <f>INDIRECT(ADDRESS(417,34))+INDIRECT(ADDRESS(415,35))-INDIRECT(ADDRESS(416,35))</f>
        <v>0</v>
      </c>
      <c r="AJ417">
        <f>INDIRECT(ADDRESS(417,35))+INDIRECT(ADDRESS(415,36))-INDIRECT(ADDRESS(416,36))</f>
        <v>0</v>
      </c>
      <c r="AK417">
        <f>INDIRECT(ADDRESS(417,36))+INDIRECT(ADDRESS(415,37))-INDIRECT(ADDRESS(416,37))</f>
        <v>0</v>
      </c>
      <c r="AL417">
        <f>INDIRECT(ADDRESS(417,37))+INDIRECT(ADDRESS(415,38))-INDIRECT(ADDRESS(416,38))</f>
        <v>0</v>
      </c>
      <c r="AM417">
        <f>INDIRECT(ADDRESS(417,38))+INDIRECT(ADDRESS(415,39))-INDIRECT(ADDRESS(416,39))</f>
        <v>0</v>
      </c>
      <c r="AN417">
        <f>INDIRECT(ADDRESS(417,39))+INDIRECT(ADDRESS(415,40))-INDIRECT(ADDRESS(416,40))</f>
        <v>0</v>
      </c>
      <c r="AO417">
        <f>SUM(INDIRECT(ADDRESS(416,8)):INDIRECT(ADDRESS(416,39)))</f>
        <v>0</v>
      </c>
    </row>
    <row r="418" spans="1:41">
      <c r="A418" t="s">
        <v>185</v>
      </c>
      <c r="B418" t="s">
        <v>340</v>
      </c>
      <c r="C418" t="s">
        <v>341</v>
      </c>
      <c r="E418">
        <v>1</v>
      </c>
      <c r="I418" t="s">
        <v>177</v>
      </c>
    </row>
    <row r="419" spans="1:41">
      <c r="I419" t="s">
        <v>178</v>
      </c>
      <c r="J419">
        <f>IFERROR(VLOOKUP("924-700000-100",B:AB,1+8,0),0)</f>
        <v>0</v>
      </c>
      <c r="K419">
        <f>IFERROR(VLOOKUP("924-700000-100",B:AB,2+8,0),0)</f>
        <v>0</v>
      </c>
      <c r="L419">
        <f>IFERROR(VLOOKUP("924-700000-100",B:AB,3+8,0),0)</f>
        <v>0</v>
      </c>
      <c r="M419">
        <f>IFERROR(VLOOKUP("924-700000-100",B:AB,4+8,0),0)</f>
        <v>0</v>
      </c>
      <c r="N419">
        <f>IFERROR(VLOOKUP("924-700000-100",B:AB,5+8,0),0)</f>
        <v>0</v>
      </c>
      <c r="O419">
        <f>IFERROR(VLOOKUP("924-700000-100",B:AB,6+8,0),0)</f>
        <v>0</v>
      </c>
      <c r="P419">
        <f>IFERROR(VLOOKUP("924-700000-100",B:AB,7+8,0),0)</f>
        <v>0</v>
      </c>
      <c r="Q419">
        <f>IFERROR(VLOOKUP("924-700000-100",B:AB,8+8,0),0)</f>
        <v>0</v>
      </c>
      <c r="R419">
        <f>IFERROR(VLOOKUP("924-700000-100",B:AB,9+8,0),0)</f>
        <v>0</v>
      </c>
      <c r="S419">
        <f>IFERROR(VLOOKUP("924-700000-100",B:AB,10+8,0),0)</f>
        <v>0</v>
      </c>
      <c r="T419">
        <f>IFERROR(VLOOKUP("924-700000-100",B:AB,11+8,0),0)</f>
        <v>0</v>
      </c>
      <c r="U419">
        <f>IFERROR(VLOOKUP("924-700000-100",B:AB,12+8,0),0)</f>
        <v>0</v>
      </c>
      <c r="V419">
        <f>IFERROR(VLOOKUP("924-700000-100",B:AB,13+8,0),0)</f>
        <v>0</v>
      </c>
      <c r="W419">
        <f>IFERROR(VLOOKUP("924-700000-100",B:AB,14+8,0),0)</f>
        <v>0</v>
      </c>
      <c r="X419">
        <f>IFERROR(VLOOKUP("924-700000-100",B:AB,15+8,0),0)</f>
        <v>0</v>
      </c>
      <c r="Y419">
        <f>IFERROR(VLOOKUP("924-700000-100",B:AB,16+8,0),0)</f>
        <v>0</v>
      </c>
      <c r="Z419">
        <f>IFERROR(VLOOKUP("924-700000-100",B:AB,17+8,0),0)</f>
        <v>0</v>
      </c>
      <c r="AA419">
        <f>IFERROR(VLOOKUP("924-700000-100",B:AB,18+8,0),0)</f>
        <v>0</v>
      </c>
      <c r="AB419">
        <f>IFERROR(VLOOKUP("924-700000-100",B:AB,19+8,0),0)</f>
        <v>0</v>
      </c>
      <c r="AC419">
        <f>IFERROR(VLOOKUP("924-700000-100",B:AB,20+8,0),0)</f>
        <v>0</v>
      </c>
      <c r="AD419">
        <f>IFERROR(VLOOKUP("924-700000-100",B:AB,21+8,0),0)</f>
        <v>0</v>
      </c>
      <c r="AE419">
        <f>IFERROR(VLOOKUP("924-700000-100",B:AB,22+8,0),0)</f>
        <v>0</v>
      </c>
      <c r="AF419">
        <f>IFERROR(VLOOKUP("924-700000-100",B:AB,23+8,0),0)</f>
        <v>0</v>
      </c>
      <c r="AG419">
        <f>IFERROR(VLOOKUP("924-700000-100",B:AB,24+8,0),0)</f>
        <v>0</v>
      </c>
      <c r="AH419">
        <f>IFERROR(VLOOKUP("924-700000-100",B:AB,25+8,0),0)</f>
        <v>0</v>
      </c>
      <c r="AI419">
        <f>IFERROR(VLOOKUP("924-700000-100",B:AB,26+8,0),0)</f>
        <v>0</v>
      </c>
      <c r="AJ419">
        <f>IFERROR(VLOOKUP("924-700000-100",B:AB,27+8,0),0)</f>
        <v>0</v>
      </c>
      <c r="AK419">
        <f>IFERROR(VLOOKUP("924-700000-100",B:AB,28+8,0),0)</f>
        <v>0</v>
      </c>
      <c r="AL419">
        <f>IFERROR(VLOOKUP("924-700000-100",B:AB,29+8,0),0)</f>
        <v>0</v>
      </c>
      <c r="AM419">
        <f>IFERROR(VLOOKUP("924-700000-100",B:AB,30+8,0),0)</f>
        <v>0</v>
      </c>
      <c r="AN419">
        <f>IFERROR(VLOOKUP("924-700000-100",B:AB,31+8,0),0)</f>
        <v>0</v>
      </c>
      <c r="AO419">
        <f>SUN(INDIRECT(ADDRESS(418,8)):INDIRECT(ADDRESS(418,39)))</f>
        <v>0</v>
      </c>
    </row>
    <row r="420" spans="1:41">
      <c r="H420" t="s">
        <v>179</v>
      </c>
      <c r="J420">
        <f>INDIRECT(ADDRESS(420,9))+INDIRECT(ADDRESS(418,10))-INDIRECT(ADDRESS(419,10))</f>
        <v>0</v>
      </c>
      <c r="K420">
        <f>INDIRECT(ADDRESS(420,10))+INDIRECT(ADDRESS(418,11))-INDIRECT(ADDRESS(419,11))</f>
        <v>0</v>
      </c>
      <c r="L420">
        <f>INDIRECT(ADDRESS(420,11))+INDIRECT(ADDRESS(418,12))-INDIRECT(ADDRESS(419,12))</f>
        <v>0</v>
      </c>
      <c r="M420">
        <f>INDIRECT(ADDRESS(420,12))+INDIRECT(ADDRESS(418,13))-INDIRECT(ADDRESS(419,13))</f>
        <v>0</v>
      </c>
      <c r="N420">
        <f>INDIRECT(ADDRESS(420,13))+INDIRECT(ADDRESS(418,14))-INDIRECT(ADDRESS(419,14))</f>
        <v>0</v>
      </c>
      <c r="O420">
        <f>INDIRECT(ADDRESS(420,14))+INDIRECT(ADDRESS(418,15))-INDIRECT(ADDRESS(419,15))</f>
        <v>0</v>
      </c>
      <c r="P420">
        <f>INDIRECT(ADDRESS(420,15))+INDIRECT(ADDRESS(418,16))-INDIRECT(ADDRESS(419,16))</f>
        <v>0</v>
      </c>
      <c r="Q420">
        <f>INDIRECT(ADDRESS(420,16))+INDIRECT(ADDRESS(418,17))-INDIRECT(ADDRESS(419,17))</f>
        <v>0</v>
      </c>
      <c r="R420">
        <f>INDIRECT(ADDRESS(420,17))+INDIRECT(ADDRESS(418,18))-INDIRECT(ADDRESS(419,18))</f>
        <v>0</v>
      </c>
      <c r="S420">
        <f>INDIRECT(ADDRESS(420,18))+INDIRECT(ADDRESS(418,19))-INDIRECT(ADDRESS(419,19))</f>
        <v>0</v>
      </c>
      <c r="T420">
        <f>INDIRECT(ADDRESS(420,19))+INDIRECT(ADDRESS(418,20))-INDIRECT(ADDRESS(419,20))</f>
        <v>0</v>
      </c>
      <c r="U420">
        <f>INDIRECT(ADDRESS(420,20))+INDIRECT(ADDRESS(418,21))-INDIRECT(ADDRESS(419,21))</f>
        <v>0</v>
      </c>
      <c r="V420">
        <f>INDIRECT(ADDRESS(420,21))+INDIRECT(ADDRESS(418,22))-INDIRECT(ADDRESS(419,22))</f>
        <v>0</v>
      </c>
      <c r="W420">
        <f>INDIRECT(ADDRESS(420,22))+INDIRECT(ADDRESS(418,23))-INDIRECT(ADDRESS(419,23))</f>
        <v>0</v>
      </c>
      <c r="X420">
        <f>INDIRECT(ADDRESS(420,23))+INDIRECT(ADDRESS(418,24))-INDIRECT(ADDRESS(419,24))</f>
        <v>0</v>
      </c>
      <c r="Y420">
        <f>INDIRECT(ADDRESS(420,24))+INDIRECT(ADDRESS(418,25))-INDIRECT(ADDRESS(419,25))</f>
        <v>0</v>
      </c>
      <c r="Z420">
        <f>INDIRECT(ADDRESS(420,25))+INDIRECT(ADDRESS(418,26))-INDIRECT(ADDRESS(419,26))</f>
        <v>0</v>
      </c>
      <c r="AA420">
        <f>INDIRECT(ADDRESS(420,26))+INDIRECT(ADDRESS(418,27))-INDIRECT(ADDRESS(419,27))</f>
        <v>0</v>
      </c>
      <c r="AB420">
        <f>INDIRECT(ADDRESS(420,27))+INDIRECT(ADDRESS(418,28))-INDIRECT(ADDRESS(419,28))</f>
        <v>0</v>
      </c>
      <c r="AC420">
        <f>INDIRECT(ADDRESS(420,28))+INDIRECT(ADDRESS(418,29))-INDIRECT(ADDRESS(419,29))</f>
        <v>0</v>
      </c>
      <c r="AD420">
        <f>INDIRECT(ADDRESS(420,29))+INDIRECT(ADDRESS(418,30))-INDIRECT(ADDRESS(419,30))</f>
        <v>0</v>
      </c>
      <c r="AE420">
        <f>INDIRECT(ADDRESS(420,30))+INDIRECT(ADDRESS(418,31))-INDIRECT(ADDRESS(419,31))</f>
        <v>0</v>
      </c>
      <c r="AF420">
        <f>INDIRECT(ADDRESS(420,31))+INDIRECT(ADDRESS(418,32))-INDIRECT(ADDRESS(419,32))</f>
        <v>0</v>
      </c>
      <c r="AG420">
        <f>INDIRECT(ADDRESS(420,32))+INDIRECT(ADDRESS(418,33))-INDIRECT(ADDRESS(419,33))</f>
        <v>0</v>
      </c>
      <c r="AH420">
        <f>INDIRECT(ADDRESS(420,33))+INDIRECT(ADDRESS(418,34))-INDIRECT(ADDRESS(419,34))</f>
        <v>0</v>
      </c>
      <c r="AI420">
        <f>INDIRECT(ADDRESS(420,34))+INDIRECT(ADDRESS(418,35))-INDIRECT(ADDRESS(419,35))</f>
        <v>0</v>
      </c>
      <c r="AJ420">
        <f>INDIRECT(ADDRESS(420,35))+INDIRECT(ADDRESS(418,36))-INDIRECT(ADDRESS(419,36))</f>
        <v>0</v>
      </c>
      <c r="AK420">
        <f>INDIRECT(ADDRESS(420,36))+INDIRECT(ADDRESS(418,37))-INDIRECT(ADDRESS(419,37))</f>
        <v>0</v>
      </c>
      <c r="AL420">
        <f>INDIRECT(ADDRESS(420,37))+INDIRECT(ADDRESS(418,38))-INDIRECT(ADDRESS(419,38))</f>
        <v>0</v>
      </c>
      <c r="AM420">
        <f>INDIRECT(ADDRESS(420,38))+INDIRECT(ADDRESS(418,39))-INDIRECT(ADDRESS(419,39))</f>
        <v>0</v>
      </c>
      <c r="AN420">
        <f>INDIRECT(ADDRESS(420,39))+INDIRECT(ADDRESS(418,40))-INDIRECT(ADDRESS(419,40))</f>
        <v>0</v>
      </c>
      <c r="AO420">
        <f>SUM(INDIRECT(ADDRESS(419,8)):INDIRECT(ADDRESS(419,39)))</f>
        <v>0</v>
      </c>
    </row>
    <row r="421" spans="1:41">
      <c r="A421" t="s">
        <v>185</v>
      </c>
      <c r="B421" t="s">
        <v>342</v>
      </c>
      <c r="C421" t="s">
        <v>343</v>
      </c>
      <c r="E421">
        <v>1</v>
      </c>
      <c r="I421" t="s">
        <v>177</v>
      </c>
    </row>
    <row r="422" spans="1:41">
      <c r="I422" t="s">
        <v>178</v>
      </c>
      <c r="J422">
        <f>IFERROR(VLOOKUP("924-700000-100",B:AB,1+8,0),0)</f>
        <v>0</v>
      </c>
      <c r="K422">
        <f>IFERROR(VLOOKUP("924-700000-100",B:AB,2+8,0),0)</f>
        <v>0</v>
      </c>
      <c r="L422">
        <f>IFERROR(VLOOKUP("924-700000-100",B:AB,3+8,0),0)</f>
        <v>0</v>
      </c>
      <c r="M422">
        <f>IFERROR(VLOOKUP("924-700000-100",B:AB,4+8,0),0)</f>
        <v>0</v>
      </c>
      <c r="N422">
        <f>IFERROR(VLOOKUP("924-700000-100",B:AB,5+8,0),0)</f>
        <v>0</v>
      </c>
      <c r="O422">
        <f>IFERROR(VLOOKUP("924-700000-100",B:AB,6+8,0),0)</f>
        <v>0</v>
      </c>
      <c r="P422">
        <f>IFERROR(VLOOKUP("924-700000-100",B:AB,7+8,0),0)</f>
        <v>0</v>
      </c>
      <c r="Q422">
        <f>IFERROR(VLOOKUP("924-700000-100",B:AB,8+8,0),0)</f>
        <v>0</v>
      </c>
      <c r="R422">
        <f>IFERROR(VLOOKUP("924-700000-100",B:AB,9+8,0),0)</f>
        <v>0</v>
      </c>
      <c r="S422">
        <f>IFERROR(VLOOKUP("924-700000-100",B:AB,10+8,0),0)</f>
        <v>0</v>
      </c>
      <c r="T422">
        <f>IFERROR(VLOOKUP("924-700000-100",B:AB,11+8,0),0)</f>
        <v>0</v>
      </c>
      <c r="U422">
        <f>IFERROR(VLOOKUP("924-700000-100",B:AB,12+8,0),0)</f>
        <v>0</v>
      </c>
      <c r="V422">
        <f>IFERROR(VLOOKUP("924-700000-100",B:AB,13+8,0),0)</f>
        <v>0</v>
      </c>
      <c r="W422">
        <f>IFERROR(VLOOKUP("924-700000-100",B:AB,14+8,0),0)</f>
        <v>0</v>
      </c>
      <c r="X422">
        <f>IFERROR(VLOOKUP("924-700000-100",B:AB,15+8,0),0)</f>
        <v>0</v>
      </c>
      <c r="Y422">
        <f>IFERROR(VLOOKUP("924-700000-100",B:AB,16+8,0),0)</f>
        <v>0</v>
      </c>
      <c r="Z422">
        <f>IFERROR(VLOOKUP("924-700000-100",B:AB,17+8,0),0)</f>
        <v>0</v>
      </c>
      <c r="AA422">
        <f>IFERROR(VLOOKUP("924-700000-100",B:AB,18+8,0),0)</f>
        <v>0</v>
      </c>
      <c r="AB422">
        <f>IFERROR(VLOOKUP("924-700000-100",B:AB,19+8,0),0)</f>
        <v>0</v>
      </c>
      <c r="AC422">
        <f>IFERROR(VLOOKUP("924-700000-100",B:AB,20+8,0),0)</f>
        <v>0</v>
      </c>
      <c r="AD422">
        <f>IFERROR(VLOOKUP("924-700000-100",B:AB,21+8,0),0)</f>
        <v>0</v>
      </c>
      <c r="AE422">
        <f>IFERROR(VLOOKUP("924-700000-100",B:AB,22+8,0),0)</f>
        <v>0</v>
      </c>
      <c r="AF422">
        <f>IFERROR(VLOOKUP("924-700000-100",B:AB,23+8,0),0)</f>
        <v>0</v>
      </c>
      <c r="AG422">
        <f>IFERROR(VLOOKUP("924-700000-100",B:AB,24+8,0),0)</f>
        <v>0</v>
      </c>
      <c r="AH422">
        <f>IFERROR(VLOOKUP("924-700000-100",B:AB,25+8,0),0)</f>
        <v>0</v>
      </c>
      <c r="AI422">
        <f>IFERROR(VLOOKUP("924-700000-100",B:AB,26+8,0),0)</f>
        <v>0</v>
      </c>
      <c r="AJ422">
        <f>IFERROR(VLOOKUP("924-700000-100",B:AB,27+8,0),0)</f>
        <v>0</v>
      </c>
      <c r="AK422">
        <f>IFERROR(VLOOKUP("924-700000-100",B:AB,28+8,0),0)</f>
        <v>0</v>
      </c>
      <c r="AL422">
        <f>IFERROR(VLOOKUP("924-700000-100",B:AB,29+8,0),0)</f>
        <v>0</v>
      </c>
      <c r="AM422">
        <f>IFERROR(VLOOKUP("924-700000-100",B:AB,30+8,0),0)</f>
        <v>0</v>
      </c>
      <c r="AN422">
        <f>IFERROR(VLOOKUP("924-700000-100",B:AB,31+8,0),0)</f>
        <v>0</v>
      </c>
      <c r="AO422">
        <f>SUN(INDIRECT(ADDRESS(421,8)):INDIRECT(ADDRESS(421,39)))</f>
        <v>0</v>
      </c>
    </row>
    <row r="423" spans="1:41">
      <c r="H423" t="s">
        <v>179</v>
      </c>
      <c r="J423">
        <f>INDIRECT(ADDRESS(423,9))+INDIRECT(ADDRESS(421,10))-INDIRECT(ADDRESS(422,10))</f>
        <v>0</v>
      </c>
      <c r="K423">
        <f>INDIRECT(ADDRESS(423,10))+INDIRECT(ADDRESS(421,11))-INDIRECT(ADDRESS(422,11))</f>
        <v>0</v>
      </c>
      <c r="L423">
        <f>INDIRECT(ADDRESS(423,11))+INDIRECT(ADDRESS(421,12))-INDIRECT(ADDRESS(422,12))</f>
        <v>0</v>
      </c>
      <c r="M423">
        <f>INDIRECT(ADDRESS(423,12))+INDIRECT(ADDRESS(421,13))-INDIRECT(ADDRESS(422,13))</f>
        <v>0</v>
      </c>
      <c r="N423">
        <f>INDIRECT(ADDRESS(423,13))+INDIRECT(ADDRESS(421,14))-INDIRECT(ADDRESS(422,14))</f>
        <v>0</v>
      </c>
      <c r="O423">
        <f>INDIRECT(ADDRESS(423,14))+INDIRECT(ADDRESS(421,15))-INDIRECT(ADDRESS(422,15))</f>
        <v>0</v>
      </c>
      <c r="P423">
        <f>INDIRECT(ADDRESS(423,15))+INDIRECT(ADDRESS(421,16))-INDIRECT(ADDRESS(422,16))</f>
        <v>0</v>
      </c>
      <c r="Q423">
        <f>INDIRECT(ADDRESS(423,16))+INDIRECT(ADDRESS(421,17))-INDIRECT(ADDRESS(422,17))</f>
        <v>0</v>
      </c>
      <c r="R423">
        <f>INDIRECT(ADDRESS(423,17))+INDIRECT(ADDRESS(421,18))-INDIRECT(ADDRESS(422,18))</f>
        <v>0</v>
      </c>
      <c r="S423">
        <f>INDIRECT(ADDRESS(423,18))+INDIRECT(ADDRESS(421,19))-INDIRECT(ADDRESS(422,19))</f>
        <v>0</v>
      </c>
      <c r="T423">
        <f>INDIRECT(ADDRESS(423,19))+INDIRECT(ADDRESS(421,20))-INDIRECT(ADDRESS(422,20))</f>
        <v>0</v>
      </c>
      <c r="U423">
        <f>INDIRECT(ADDRESS(423,20))+INDIRECT(ADDRESS(421,21))-INDIRECT(ADDRESS(422,21))</f>
        <v>0</v>
      </c>
      <c r="V423">
        <f>INDIRECT(ADDRESS(423,21))+INDIRECT(ADDRESS(421,22))-INDIRECT(ADDRESS(422,22))</f>
        <v>0</v>
      </c>
      <c r="W423">
        <f>INDIRECT(ADDRESS(423,22))+INDIRECT(ADDRESS(421,23))-INDIRECT(ADDRESS(422,23))</f>
        <v>0</v>
      </c>
      <c r="X423">
        <f>INDIRECT(ADDRESS(423,23))+INDIRECT(ADDRESS(421,24))-INDIRECT(ADDRESS(422,24))</f>
        <v>0</v>
      </c>
      <c r="Y423">
        <f>INDIRECT(ADDRESS(423,24))+INDIRECT(ADDRESS(421,25))-INDIRECT(ADDRESS(422,25))</f>
        <v>0</v>
      </c>
      <c r="Z423">
        <f>INDIRECT(ADDRESS(423,25))+INDIRECT(ADDRESS(421,26))-INDIRECT(ADDRESS(422,26))</f>
        <v>0</v>
      </c>
      <c r="AA423">
        <f>INDIRECT(ADDRESS(423,26))+INDIRECT(ADDRESS(421,27))-INDIRECT(ADDRESS(422,27))</f>
        <v>0</v>
      </c>
      <c r="AB423">
        <f>INDIRECT(ADDRESS(423,27))+INDIRECT(ADDRESS(421,28))-INDIRECT(ADDRESS(422,28))</f>
        <v>0</v>
      </c>
      <c r="AC423">
        <f>INDIRECT(ADDRESS(423,28))+INDIRECT(ADDRESS(421,29))-INDIRECT(ADDRESS(422,29))</f>
        <v>0</v>
      </c>
      <c r="AD423">
        <f>INDIRECT(ADDRESS(423,29))+INDIRECT(ADDRESS(421,30))-INDIRECT(ADDRESS(422,30))</f>
        <v>0</v>
      </c>
      <c r="AE423">
        <f>INDIRECT(ADDRESS(423,30))+INDIRECT(ADDRESS(421,31))-INDIRECT(ADDRESS(422,31))</f>
        <v>0</v>
      </c>
      <c r="AF423">
        <f>INDIRECT(ADDRESS(423,31))+INDIRECT(ADDRESS(421,32))-INDIRECT(ADDRESS(422,32))</f>
        <v>0</v>
      </c>
      <c r="AG423">
        <f>INDIRECT(ADDRESS(423,32))+INDIRECT(ADDRESS(421,33))-INDIRECT(ADDRESS(422,33))</f>
        <v>0</v>
      </c>
      <c r="AH423">
        <f>INDIRECT(ADDRESS(423,33))+INDIRECT(ADDRESS(421,34))-INDIRECT(ADDRESS(422,34))</f>
        <v>0</v>
      </c>
      <c r="AI423">
        <f>INDIRECT(ADDRESS(423,34))+INDIRECT(ADDRESS(421,35))-INDIRECT(ADDRESS(422,35))</f>
        <v>0</v>
      </c>
      <c r="AJ423">
        <f>INDIRECT(ADDRESS(423,35))+INDIRECT(ADDRESS(421,36))-INDIRECT(ADDRESS(422,36))</f>
        <v>0</v>
      </c>
      <c r="AK423">
        <f>INDIRECT(ADDRESS(423,36))+INDIRECT(ADDRESS(421,37))-INDIRECT(ADDRESS(422,37))</f>
        <v>0</v>
      </c>
      <c r="AL423">
        <f>INDIRECT(ADDRESS(423,37))+INDIRECT(ADDRESS(421,38))-INDIRECT(ADDRESS(422,38))</f>
        <v>0</v>
      </c>
      <c r="AM423">
        <f>INDIRECT(ADDRESS(423,38))+INDIRECT(ADDRESS(421,39))-INDIRECT(ADDRESS(422,39))</f>
        <v>0</v>
      </c>
      <c r="AN423">
        <f>INDIRECT(ADDRESS(423,39))+INDIRECT(ADDRESS(421,40))-INDIRECT(ADDRESS(422,40))</f>
        <v>0</v>
      </c>
      <c r="AO423">
        <f>SUM(INDIRECT(ADDRESS(422,8)):INDIRECT(ADDRESS(422,39)))</f>
        <v>0</v>
      </c>
    </row>
    <row r="424" spans="1:41">
      <c r="A424" t="s">
        <v>185</v>
      </c>
      <c r="B424" t="s">
        <v>344</v>
      </c>
      <c r="C424" t="s">
        <v>345</v>
      </c>
      <c r="E424">
        <v>1</v>
      </c>
      <c r="I424" t="s">
        <v>177</v>
      </c>
    </row>
    <row r="425" spans="1:41">
      <c r="I425" t="s">
        <v>178</v>
      </c>
      <c r="J425">
        <f>IFERROR(VLOOKUP("924-700000-100",B:AB,1+8,0),0)</f>
        <v>0</v>
      </c>
      <c r="K425">
        <f>IFERROR(VLOOKUP("924-700000-100",B:AB,2+8,0),0)</f>
        <v>0</v>
      </c>
      <c r="L425">
        <f>IFERROR(VLOOKUP("924-700000-100",B:AB,3+8,0),0)</f>
        <v>0</v>
      </c>
      <c r="M425">
        <f>IFERROR(VLOOKUP("924-700000-100",B:AB,4+8,0),0)</f>
        <v>0</v>
      </c>
      <c r="N425">
        <f>IFERROR(VLOOKUP("924-700000-100",B:AB,5+8,0),0)</f>
        <v>0</v>
      </c>
      <c r="O425">
        <f>IFERROR(VLOOKUP("924-700000-100",B:AB,6+8,0),0)</f>
        <v>0</v>
      </c>
      <c r="P425">
        <f>IFERROR(VLOOKUP("924-700000-100",B:AB,7+8,0),0)</f>
        <v>0</v>
      </c>
      <c r="Q425">
        <f>IFERROR(VLOOKUP("924-700000-100",B:AB,8+8,0),0)</f>
        <v>0</v>
      </c>
      <c r="R425">
        <f>IFERROR(VLOOKUP("924-700000-100",B:AB,9+8,0),0)</f>
        <v>0</v>
      </c>
      <c r="S425">
        <f>IFERROR(VLOOKUP("924-700000-100",B:AB,10+8,0),0)</f>
        <v>0</v>
      </c>
      <c r="T425">
        <f>IFERROR(VLOOKUP("924-700000-100",B:AB,11+8,0),0)</f>
        <v>0</v>
      </c>
      <c r="U425">
        <f>IFERROR(VLOOKUP("924-700000-100",B:AB,12+8,0),0)</f>
        <v>0</v>
      </c>
      <c r="V425">
        <f>IFERROR(VLOOKUP("924-700000-100",B:AB,13+8,0),0)</f>
        <v>0</v>
      </c>
      <c r="W425">
        <f>IFERROR(VLOOKUP("924-700000-100",B:AB,14+8,0),0)</f>
        <v>0</v>
      </c>
      <c r="X425">
        <f>IFERROR(VLOOKUP("924-700000-100",B:AB,15+8,0),0)</f>
        <v>0</v>
      </c>
      <c r="Y425">
        <f>IFERROR(VLOOKUP("924-700000-100",B:AB,16+8,0),0)</f>
        <v>0</v>
      </c>
      <c r="Z425">
        <f>IFERROR(VLOOKUP("924-700000-100",B:AB,17+8,0),0)</f>
        <v>0</v>
      </c>
      <c r="AA425">
        <f>IFERROR(VLOOKUP("924-700000-100",B:AB,18+8,0),0)</f>
        <v>0</v>
      </c>
      <c r="AB425">
        <f>IFERROR(VLOOKUP("924-700000-100",B:AB,19+8,0),0)</f>
        <v>0</v>
      </c>
      <c r="AC425">
        <f>IFERROR(VLOOKUP("924-700000-100",B:AB,20+8,0),0)</f>
        <v>0</v>
      </c>
      <c r="AD425">
        <f>IFERROR(VLOOKUP("924-700000-100",B:AB,21+8,0),0)</f>
        <v>0</v>
      </c>
      <c r="AE425">
        <f>IFERROR(VLOOKUP("924-700000-100",B:AB,22+8,0),0)</f>
        <v>0</v>
      </c>
      <c r="AF425">
        <f>IFERROR(VLOOKUP("924-700000-100",B:AB,23+8,0),0)</f>
        <v>0</v>
      </c>
      <c r="AG425">
        <f>IFERROR(VLOOKUP("924-700000-100",B:AB,24+8,0),0)</f>
        <v>0</v>
      </c>
      <c r="AH425">
        <f>IFERROR(VLOOKUP("924-700000-100",B:AB,25+8,0),0)</f>
        <v>0</v>
      </c>
      <c r="AI425">
        <f>IFERROR(VLOOKUP("924-700000-100",B:AB,26+8,0),0)</f>
        <v>0</v>
      </c>
      <c r="AJ425">
        <f>IFERROR(VLOOKUP("924-700000-100",B:AB,27+8,0),0)</f>
        <v>0</v>
      </c>
      <c r="AK425">
        <f>IFERROR(VLOOKUP("924-700000-100",B:AB,28+8,0),0)</f>
        <v>0</v>
      </c>
      <c r="AL425">
        <f>IFERROR(VLOOKUP("924-700000-100",B:AB,29+8,0),0)</f>
        <v>0</v>
      </c>
      <c r="AM425">
        <f>IFERROR(VLOOKUP("924-700000-100",B:AB,30+8,0),0)</f>
        <v>0</v>
      </c>
      <c r="AN425">
        <f>IFERROR(VLOOKUP("924-700000-100",B:AB,31+8,0),0)</f>
        <v>0</v>
      </c>
      <c r="AO425">
        <f>SUN(INDIRECT(ADDRESS(424,8)):INDIRECT(ADDRESS(424,39)))</f>
        <v>0</v>
      </c>
    </row>
    <row r="426" spans="1:41">
      <c r="H426" t="s">
        <v>179</v>
      </c>
      <c r="J426">
        <f>INDIRECT(ADDRESS(426,9))+INDIRECT(ADDRESS(424,10))-INDIRECT(ADDRESS(425,10))</f>
        <v>0</v>
      </c>
      <c r="K426">
        <f>INDIRECT(ADDRESS(426,10))+INDIRECT(ADDRESS(424,11))-INDIRECT(ADDRESS(425,11))</f>
        <v>0</v>
      </c>
      <c r="L426">
        <f>INDIRECT(ADDRESS(426,11))+INDIRECT(ADDRESS(424,12))-INDIRECT(ADDRESS(425,12))</f>
        <v>0</v>
      </c>
      <c r="M426">
        <f>INDIRECT(ADDRESS(426,12))+INDIRECT(ADDRESS(424,13))-INDIRECT(ADDRESS(425,13))</f>
        <v>0</v>
      </c>
      <c r="N426">
        <f>INDIRECT(ADDRESS(426,13))+INDIRECT(ADDRESS(424,14))-INDIRECT(ADDRESS(425,14))</f>
        <v>0</v>
      </c>
      <c r="O426">
        <f>INDIRECT(ADDRESS(426,14))+INDIRECT(ADDRESS(424,15))-INDIRECT(ADDRESS(425,15))</f>
        <v>0</v>
      </c>
      <c r="P426">
        <f>INDIRECT(ADDRESS(426,15))+INDIRECT(ADDRESS(424,16))-INDIRECT(ADDRESS(425,16))</f>
        <v>0</v>
      </c>
      <c r="Q426">
        <f>INDIRECT(ADDRESS(426,16))+INDIRECT(ADDRESS(424,17))-INDIRECT(ADDRESS(425,17))</f>
        <v>0</v>
      </c>
      <c r="R426">
        <f>INDIRECT(ADDRESS(426,17))+INDIRECT(ADDRESS(424,18))-INDIRECT(ADDRESS(425,18))</f>
        <v>0</v>
      </c>
      <c r="S426">
        <f>INDIRECT(ADDRESS(426,18))+INDIRECT(ADDRESS(424,19))-INDIRECT(ADDRESS(425,19))</f>
        <v>0</v>
      </c>
      <c r="T426">
        <f>INDIRECT(ADDRESS(426,19))+INDIRECT(ADDRESS(424,20))-INDIRECT(ADDRESS(425,20))</f>
        <v>0</v>
      </c>
      <c r="U426">
        <f>INDIRECT(ADDRESS(426,20))+INDIRECT(ADDRESS(424,21))-INDIRECT(ADDRESS(425,21))</f>
        <v>0</v>
      </c>
      <c r="V426">
        <f>INDIRECT(ADDRESS(426,21))+INDIRECT(ADDRESS(424,22))-INDIRECT(ADDRESS(425,22))</f>
        <v>0</v>
      </c>
      <c r="W426">
        <f>INDIRECT(ADDRESS(426,22))+INDIRECT(ADDRESS(424,23))-INDIRECT(ADDRESS(425,23))</f>
        <v>0</v>
      </c>
      <c r="X426">
        <f>INDIRECT(ADDRESS(426,23))+INDIRECT(ADDRESS(424,24))-INDIRECT(ADDRESS(425,24))</f>
        <v>0</v>
      </c>
      <c r="Y426">
        <f>INDIRECT(ADDRESS(426,24))+INDIRECT(ADDRESS(424,25))-INDIRECT(ADDRESS(425,25))</f>
        <v>0</v>
      </c>
      <c r="Z426">
        <f>INDIRECT(ADDRESS(426,25))+INDIRECT(ADDRESS(424,26))-INDIRECT(ADDRESS(425,26))</f>
        <v>0</v>
      </c>
      <c r="AA426">
        <f>INDIRECT(ADDRESS(426,26))+INDIRECT(ADDRESS(424,27))-INDIRECT(ADDRESS(425,27))</f>
        <v>0</v>
      </c>
      <c r="AB426">
        <f>INDIRECT(ADDRESS(426,27))+INDIRECT(ADDRESS(424,28))-INDIRECT(ADDRESS(425,28))</f>
        <v>0</v>
      </c>
      <c r="AC426">
        <f>INDIRECT(ADDRESS(426,28))+INDIRECT(ADDRESS(424,29))-INDIRECT(ADDRESS(425,29))</f>
        <v>0</v>
      </c>
      <c r="AD426">
        <f>INDIRECT(ADDRESS(426,29))+INDIRECT(ADDRESS(424,30))-INDIRECT(ADDRESS(425,30))</f>
        <v>0</v>
      </c>
      <c r="AE426">
        <f>INDIRECT(ADDRESS(426,30))+INDIRECT(ADDRESS(424,31))-INDIRECT(ADDRESS(425,31))</f>
        <v>0</v>
      </c>
      <c r="AF426">
        <f>INDIRECT(ADDRESS(426,31))+INDIRECT(ADDRESS(424,32))-INDIRECT(ADDRESS(425,32))</f>
        <v>0</v>
      </c>
      <c r="AG426">
        <f>INDIRECT(ADDRESS(426,32))+INDIRECT(ADDRESS(424,33))-INDIRECT(ADDRESS(425,33))</f>
        <v>0</v>
      </c>
      <c r="AH426">
        <f>INDIRECT(ADDRESS(426,33))+INDIRECT(ADDRESS(424,34))-INDIRECT(ADDRESS(425,34))</f>
        <v>0</v>
      </c>
      <c r="AI426">
        <f>INDIRECT(ADDRESS(426,34))+INDIRECT(ADDRESS(424,35))-INDIRECT(ADDRESS(425,35))</f>
        <v>0</v>
      </c>
      <c r="AJ426">
        <f>INDIRECT(ADDRESS(426,35))+INDIRECT(ADDRESS(424,36))-INDIRECT(ADDRESS(425,36))</f>
        <v>0</v>
      </c>
      <c r="AK426">
        <f>INDIRECT(ADDRESS(426,36))+INDIRECT(ADDRESS(424,37))-INDIRECT(ADDRESS(425,37))</f>
        <v>0</v>
      </c>
      <c r="AL426">
        <f>INDIRECT(ADDRESS(426,37))+INDIRECT(ADDRESS(424,38))-INDIRECT(ADDRESS(425,38))</f>
        <v>0</v>
      </c>
      <c r="AM426">
        <f>INDIRECT(ADDRESS(426,38))+INDIRECT(ADDRESS(424,39))-INDIRECT(ADDRESS(425,39))</f>
        <v>0</v>
      </c>
      <c r="AN426">
        <f>INDIRECT(ADDRESS(426,39))+INDIRECT(ADDRESS(424,40))-INDIRECT(ADDRESS(425,40))</f>
        <v>0</v>
      </c>
      <c r="AO426">
        <f>SUM(INDIRECT(ADDRESS(425,8)):INDIRECT(ADDRESS(425,39)))</f>
        <v>0</v>
      </c>
    </row>
    <row r="427" spans="1:41">
      <c r="A427" t="s">
        <v>8</v>
      </c>
      <c r="B427" t="s">
        <v>38</v>
      </c>
      <c r="C427" t="s">
        <v>39</v>
      </c>
      <c r="E427">
        <v>1</v>
      </c>
      <c r="I427" t="s">
        <v>177</v>
      </c>
    </row>
    <row r="428" spans="1:41">
      <c r="I428" t="s">
        <v>178</v>
      </c>
      <c r="J428">
        <f>IFERROR(VLOOKUP("924-700000-200",Out!B:AB,1+8,0),0)</f>
        <v>0</v>
      </c>
      <c r="K428">
        <f>IFERROR(VLOOKUP("924-700000-200",Out!B:AB,2+8,0),0)</f>
        <v>0</v>
      </c>
      <c r="L428">
        <f>IFERROR(VLOOKUP("924-700000-200",Out!B:AB,3+8,0),0)</f>
        <v>0</v>
      </c>
      <c r="M428">
        <f>IFERROR(VLOOKUP("924-700000-200",Out!B:AB,4+8,0),0)</f>
        <v>0</v>
      </c>
      <c r="N428">
        <f>IFERROR(VLOOKUP("924-700000-200",Out!B:AB,5+8,0),0)</f>
        <v>0</v>
      </c>
      <c r="O428">
        <f>IFERROR(VLOOKUP("924-700000-200",Out!B:AB,6+8,0),0)</f>
        <v>0</v>
      </c>
      <c r="P428">
        <f>IFERROR(VLOOKUP("924-700000-200",Out!B:AB,7+8,0),0)</f>
        <v>0</v>
      </c>
      <c r="Q428">
        <f>IFERROR(VLOOKUP("924-700000-200",Out!B:AB,8+8,0),0)</f>
        <v>0</v>
      </c>
      <c r="R428">
        <f>IFERROR(VLOOKUP("924-700000-200",Out!B:AB,9+8,0),0)</f>
        <v>0</v>
      </c>
      <c r="S428">
        <f>IFERROR(VLOOKUP("924-700000-200",Out!B:AB,10+8,0),0)</f>
        <v>0</v>
      </c>
      <c r="T428">
        <f>IFERROR(VLOOKUP("924-700000-200",Out!B:AB,11+8,0),0)</f>
        <v>0</v>
      </c>
      <c r="U428">
        <f>IFERROR(VLOOKUP("924-700000-200",Out!B:AB,12+8,0),0)</f>
        <v>0</v>
      </c>
      <c r="V428">
        <f>IFERROR(VLOOKUP("924-700000-200",Out!B:AB,13+8,0),0)</f>
        <v>0</v>
      </c>
      <c r="W428">
        <f>IFERROR(VLOOKUP("924-700000-200",Out!B:AB,14+8,0),0)</f>
        <v>0</v>
      </c>
      <c r="X428">
        <f>IFERROR(VLOOKUP("924-700000-200",Out!B:AB,15+8,0),0)</f>
        <v>0</v>
      </c>
      <c r="Y428">
        <f>IFERROR(VLOOKUP("924-700000-200",Out!B:AB,16+8,0),0)</f>
        <v>0</v>
      </c>
      <c r="Z428">
        <f>IFERROR(VLOOKUP("924-700000-200",Out!B:AB,17+8,0),0)</f>
        <v>0</v>
      </c>
      <c r="AA428">
        <f>IFERROR(VLOOKUP("924-700000-200",Out!B:AB,18+8,0),0)</f>
        <v>0</v>
      </c>
      <c r="AB428">
        <f>IFERROR(VLOOKUP("924-700000-200",Out!B:AB,19+8,0),0)</f>
        <v>0</v>
      </c>
      <c r="AC428">
        <f>IFERROR(VLOOKUP("924-700000-200",Out!B:AB,20+8,0),0)</f>
        <v>0</v>
      </c>
      <c r="AD428">
        <f>IFERROR(VLOOKUP("924-700000-200",Out!B:AB,21+8,0),0)</f>
        <v>0</v>
      </c>
      <c r="AE428">
        <f>IFERROR(VLOOKUP("924-700000-200",Out!B:AB,22+8,0),0)</f>
        <v>0</v>
      </c>
      <c r="AF428">
        <f>IFERROR(VLOOKUP("924-700000-200",Out!B:AB,23+8,0),0)</f>
        <v>0</v>
      </c>
      <c r="AG428">
        <f>IFERROR(VLOOKUP("924-700000-200",Out!B:AB,24+8,0),0)</f>
        <v>0</v>
      </c>
      <c r="AH428">
        <f>IFERROR(VLOOKUP("924-700000-200",Out!B:AB,25+8,0),0)</f>
        <v>0</v>
      </c>
      <c r="AI428">
        <f>IFERROR(VLOOKUP("924-700000-200",Out!B:AB,26+8,0),0)</f>
        <v>0</v>
      </c>
      <c r="AJ428">
        <f>IFERROR(VLOOKUP("924-700000-200",Out!B:AB,27+8,0),0)</f>
        <v>0</v>
      </c>
      <c r="AK428">
        <f>IFERROR(VLOOKUP("924-700000-200",Out!B:AB,28+8,0),0)</f>
        <v>0</v>
      </c>
      <c r="AL428">
        <f>IFERROR(VLOOKUP("924-700000-200",Out!B:AB,29+8,0),0)</f>
        <v>0</v>
      </c>
      <c r="AM428">
        <f>IFERROR(VLOOKUP("924-700000-200",Out!B:AB,30+8,0),0)</f>
        <v>0</v>
      </c>
      <c r="AN428">
        <f>IFERROR(VLOOKUP("924-700000-200",Out!B:AB,31+8,0),0)</f>
        <v>0</v>
      </c>
      <c r="AO428">
        <f>SUN(INDIRECT(ADDRESS(427,8)):INDIRECT(ADDRESS(427,39)))</f>
        <v>0</v>
      </c>
    </row>
    <row r="429" spans="1:41">
      <c r="H429" t="s">
        <v>179</v>
      </c>
      <c r="J429">
        <f>INDIRECT(ADDRESS(429,9))+INDIRECT(ADDRESS(427,10))-INDIRECT(ADDRESS(428,10))</f>
        <v>0</v>
      </c>
      <c r="K429">
        <f>INDIRECT(ADDRESS(429,10))+INDIRECT(ADDRESS(427,11))-INDIRECT(ADDRESS(428,11))</f>
        <v>0</v>
      </c>
      <c r="L429">
        <f>INDIRECT(ADDRESS(429,11))+INDIRECT(ADDRESS(427,12))-INDIRECT(ADDRESS(428,12))</f>
        <v>0</v>
      </c>
      <c r="M429">
        <f>INDIRECT(ADDRESS(429,12))+INDIRECT(ADDRESS(427,13))-INDIRECT(ADDRESS(428,13))</f>
        <v>0</v>
      </c>
      <c r="N429">
        <f>INDIRECT(ADDRESS(429,13))+INDIRECT(ADDRESS(427,14))-INDIRECT(ADDRESS(428,14))</f>
        <v>0</v>
      </c>
      <c r="O429">
        <f>INDIRECT(ADDRESS(429,14))+INDIRECT(ADDRESS(427,15))-INDIRECT(ADDRESS(428,15))</f>
        <v>0</v>
      </c>
      <c r="P429">
        <f>INDIRECT(ADDRESS(429,15))+INDIRECT(ADDRESS(427,16))-INDIRECT(ADDRESS(428,16))</f>
        <v>0</v>
      </c>
      <c r="Q429">
        <f>INDIRECT(ADDRESS(429,16))+INDIRECT(ADDRESS(427,17))-INDIRECT(ADDRESS(428,17))</f>
        <v>0</v>
      </c>
      <c r="R429">
        <f>INDIRECT(ADDRESS(429,17))+INDIRECT(ADDRESS(427,18))-INDIRECT(ADDRESS(428,18))</f>
        <v>0</v>
      </c>
      <c r="S429">
        <f>INDIRECT(ADDRESS(429,18))+INDIRECT(ADDRESS(427,19))-INDIRECT(ADDRESS(428,19))</f>
        <v>0</v>
      </c>
      <c r="T429">
        <f>INDIRECT(ADDRESS(429,19))+INDIRECT(ADDRESS(427,20))-INDIRECT(ADDRESS(428,20))</f>
        <v>0</v>
      </c>
      <c r="U429">
        <f>INDIRECT(ADDRESS(429,20))+INDIRECT(ADDRESS(427,21))-INDIRECT(ADDRESS(428,21))</f>
        <v>0</v>
      </c>
      <c r="V429">
        <f>INDIRECT(ADDRESS(429,21))+INDIRECT(ADDRESS(427,22))-INDIRECT(ADDRESS(428,22))</f>
        <v>0</v>
      </c>
      <c r="W429">
        <f>INDIRECT(ADDRESS(429,22))+INDIRECT(ADDRESS(427,23))-INDIRECT(ADDRESS(428,23))</f>
        <v>0</v>
      </c>
      <c r="X429">
        <f>INDIRECT(ADDRESS(429,23))+INDIRECT(ADDRESS(427,24))-INDIRECT(ADDRESS(428,24))</f>
        <v>0</v>
      </c>
      <c r="Y429">
        <f>INDIRECT(ADDRESS(429,24))+INDIRECT(ADDRESS(427,25))-INDIRECT(ADDRESS(428,25))</f>
        <v>0</v>
      </c>
      <c r="Z429">
        <f>INDIRECT(ADDRESS(429,25))+INDIRECT(ADDRESS(427,26))-INDIRECT(ADDRESS(428,26))</f>
        <v>0</v>
      </c>
      <c r="AA429">
        <f>INDIRECT(ADDRESS(429,26))+INDIRECT(ADDRESS(427,27))-INDIRECT(ADDRESS(428,27))</f>
        <v>0</v>
      </c>
      <c r="AB429">
        <f>INDIRECT(ADDRESS(429,27))+INDIRECT(ADDRESS(427,28))-INDIRECT(ADDRESS(428,28))</f>
        <v>0</v>
      </c>
      <c r="AC429">
        <f>INDIRECT(ADDRESS(429,28))+INDIRECT(ADDRESS(427,29))-INDIRECT(ADDRESS(428,29))</f>
        <v>0</v>
      </c>
      <c r="AD429">
        <f>INDIRECT(ADDRESS(429,29))+INDIRECT(ADDRESS(427,30))-INDIRECT(ADDRESS(428,30))</f>
        <v>0</v>
      </c>
      <c r="AE429">
        <f>INDIRECT(ADDRESS(429,30))+INDIRECT(ADDRESS(427,31))-INDIRECT(ADDRESS(428,31))</f>
        <v>0</v>
      </c>
      <c r="AF429">
        <f>INDIRECT(ADDRESS(429,31))+INDIRECT(ADDRESS(427,32))-INDIRECT(ADDRESS(428,32))</f>
        <v>0</v>
      </c>
      <c r="AG429">
        <f>INDIRECT(ADDRESS(429,32))+INDIRECT(ADDRESS(427,33))-INDIRECT(ADDRESS(428,33))</f>
        <v>0</v>
      </c>
      <c r="AH429">
        <f>INDIRECT(ADDRESS(429,33))+INDIRECT(ADDRESS(427,34))-INDIRECT(ADDRESS(428,34))</f>
        <v>0</v>
      </c>
      <c r="AI429">
        <f>INDIRECT(ADDRESS(429,34))+INDIRECT(ADDRESS(427,35))-INDIRECT(ADDRESS(428,35))</f>
        <v>0</v>
      </c>
      <c r="AJ429">
        <f>INDIRECT(ADDRESS(429,35))+INDIRECT(ADDRESS(427,36))-INDIRECT(ADDRESS(428,36))</f>
        <v>0</v>
      </c>
      <c r="AK429">
        <f>INDIRECT(ADDRESS(429,36))+INDIRECT(ADDRESS(427,37))-INDIRECT(ADDRESS(428,37))</f>
        <v>0</v>
      </c>
      <c r="AL429">
        <f>INDIRECT(ADDRESS(429,37))+INDIRECT(ADDRESS(427,38))-INDIRECT(ADDRESS(428,38))</f>
        <v>0</v>
      </c>
      <c r="AM429">
        <f>INDIRECT(ADDRESS(429,38))+INDIRECT(ADDRESS(427,39))-INDIRECT(ADDRESS(428,39))</f>
        <v>0</v>
      </c>
      <c r="AN429">
        <f>INDIRECT(ADDRESS(429,39))+INDIRECT(ADDRESS(427,40))-INDIRECT(ADDRESS(428,40))</f>
        <v>0</v>
      </c>
      <c r="AO429">
        <f>SUM(INDIRECT(ADDRESS(428,8)):INDIRECT(ADDRESS(428,39)))</f>
        <v>0</v>
      </c>
    </row>
    <row r="430" spans="1:41">
      <c r="A430" t="s">
        <v>180</v>
      </c>
      <c r="B430" t="s">
        <v>326</v>
      </c>
      <c r="C430" t="s">
        <v>346</v>
      </c>
      <c r="E430">
        <v>1</v>
      </c>
      <c r="I430" t="s">
        <v>177</v>
      </c>
    </row>
    <row r="431" spans="1:41">
      <c r="I431" t="s">
        <v>178</v>
      </c>
      <c r="J431">
        <f>IFERROR(VLOOKUP("924-700000-200",B:AB,1+8,0),0)</f>
        <v>0</v>
      </c>
      <c r="K431">
        <f>IFERROR(VLOOKUP("924-700000-200",B:AB,2+8,0),0)</f>
        <v>0</v>
      </c>
      <c r="L431">
        <f>IFERROR(VLOOKUP("924-700000-200",B:AB,3+8,0),0)</f>
        <v>0</v>
      </c>
      <c r="M431">
        <f>IFERROR(VLOOKUP("924-700000-200",B:AB,4+8,0),0)</f>
        <v>0</v>
      </c>
      <c r="N431">
        <f>IFERROR(VLOOKUP("924-700000-200",B:AB,5+8,0),0)</f>
        <v>0</v>
      </c>
      <c r="O431">
        <f>IFERROR(VLOOKUP("924-700000-200",B:AB,6+8,0),0)</f>
        <v>0</v>
      </c>
      <c r="P431">
        <f>IFERROR(VLOOKUP("924-700000-200",B:AB,7+8,0),0)</f>
        <v>0</v>
      </c>
      <c r="Q431">
        <f>IFERROR(VLOOKUP("924-700000-200",B:AB,8+8,0),0)</f>
        <v>0</v>
      </c>
      <c r="R431">
        <f>IFERROR(VLOOKUP("924-700000-200",B:AB,9+8,0),0)</f>
        <v>0</v>
      </c>
      <c r="S431">
        <f>IFERROR(VLOOKUP("924-700000-200",B:AB,10+8,0),0)</f>
        <v>0</v>
      </c>
      <c r="T431">
        <f>IFERROR(VLOOKUP("924-700000-200",B:AB,11+8,0),0)</f>
        <v>0</v>
      </c>
      <c r="U431">
        <f>IFERROR(VLOOKUP("924-700000-200",B:AB,12+8,0),0)</f>
        <v>0</v>
      </c>
      <c r="V431">
        <f>IFERROR(VLOOKUP("924-700000-200",B:AB,13+8,0),0)</f>
        <v>0</v>
      </c>
      <c r="W431">
        <f>IFERROR(VLOOKUP("924-700000-200",B:AB,14+8,0),0)</f>
        <v>0</v>
      </c>
      <c r="X431">
        <f>IFERROR(VLOOKUP("924-700000-200",B:AB,15+8,0),0)</f>
        <v>0</v>
      </c>
      <c r="Y431">
        <f>IFERROR(VLOOKUP("924-700000-200",B:AB,16+8,0),0)</f>
        <v>0</v>
      </c>
      <c r="Z431">
        <f>IFERROR(VLOOKUP("924-700000-200",B:AB,17+8,0),0)</f>
        <v>0</v>
      </c>
      <c r="AA431">
        <f>IFERROR(VLOOKUP("924-700000-200",B:AB,18+8,0),0)</f>
        <v>0</v>
      </c>
      <c r="AB431">
        <f>IFERROR(VLOOKUP("924-700000-200",B:AB,19+8,0),0)</f>
        <v>0</v>
      </c>
      <c r="AC431">
        <f>IFERROR(VLOOKUP("924-700000-200",B:AB,20+8,0),0)</f>
        <v>0</v>
      </c>
      <c r="AD431">
        <f>IFERROR(VLOOKUP("924-700000-200",B:AB,21+8,0),0)</f>
        <v>0</v>
      </c>
      <c r="AE431">
        <f>IFERROR(VLOOKUP("924-700000-200",B:AB,22+8,0),0)</f>
        <v>0</v>
      </c>
      <c r="AF431">
        <f>IFERROR(VLOOKUP("924-700000-200",B:AB,23+8,0),0)</f>
        <v>0</v>
      </c>
      <c r="AG431">
        <f>IFERROR(VLOOKUP("924-700000-200",B:AB,24+8,0),0)</f>
        <v>0</v>
      </c>
      <c r="AH431">
        <f>IFERROR(VLOOKUP("924-700000-200",B:AB,25+8,0),0)</f>
        <v>0</v>
      </c>
      <c r="AI431">
        <f>IFERROR(VLOOKUP("924-700000-200",B:AB,26+8,0),0)</f>
        <v>0</v>
      </c>
      <c r="AJ431">
        <f>IFERROR(VLOOKUP("924-700000-200",B:AB,27+8,0),0)</f>
        <v>0</v>
      </c>
      <c r="AK431">
        <f>IFERROR(VLOOKUP("924-700000-200",B:AB,28+8,0),0)</f>
        <v>0</v>
      </c>
      <c r="AL431">
        <f>IFERROR(VLOOKUP("924-700000-200",B:AB,29+8,0),0)</f>
        <v>0</v>
      </c>
      <c r="AM431">
        <f>IFERROR(VLOOKUP("924-700000-200",B:AB,30+8,0),0)</f>
        <v>0</v>
      </c>
      <c r="AN431">
        <f>IFERROR(VLOOKUP("924-700000-200",B:AB,31+8,0),0)</f>
        <v>0</v>
      </c>
      <c r="AO431">
        <f>SUN(INDIRECT(ADDRESS(430,8)):INDIRECT(ADDRESS(430,39)))</f>
        <v>0</v>
      </c>
    </row>
    <row r="432" spans="1:41">
      <c r="H432" t="s">
        <v>179</v>
      </c>
      <c r="J432">
        <f>INDIRECT(ADDRESS(432,9))+INDIRECT(ADDRESS(430,10))-INDIRECT(ADDRESS(431,10))</f>
        <v>0</v>
      </c>
      <c r="K432">
        <f>INDIRECT(ADDRESS(432,10))+INDIRECT(ADDRESS(430,11))-INDIRECT(ADDRESS(431,11))</f>
        <v>0</v>
      </c>
      <c r="L432">
        <f>INDIRECT(ADDRESS(432,11))+INDIRECT(ADDRESS(430,12))-INDIRECT(ADDRESS(431,12))</f>
        <v>0</v>
      </c>
      <c r="M432">
        <f>INDIRECT(ADDRESS(432,12))+INDIRECT(ADDRESS(430,13))-INDIRECT(ADDRESS(431,13))</f>
        <v>0</v>
      </c>
      <c r="N432">
        <f>INDIRECT(ADDRESS(432,13))+INDIRECT(ADDRESS(430,14))-INDIRECT(ADDRESS(431,14))</f>
        <v>0</v>
      </c>
      <c r="O432">
        <f>INDIRECT(ADDRESS(432,14))+INDIRECT(ADDRESS(430,15))-INDIRECT(ADDRESS(431,15))</f>
        <v>0</v>
      </c>
      <c r="P432">
        <f>INDIRECT(ADDRESS(432,15))+INDIRECT(ADDRESS(430,16))-INDIRECT(ADDRESS(431,16))</f>
        <v>0</v>
      </c>
      <c r="Q432">
        <f>INDIRECT(ADDRESS(432,16))+INDIRECT(ADDRESS(430,17))-INDIRECT(ADDRESS(431,17))</f>
        <v>0</v>
      </c>
      <c r="R432">
        <f>INDIRECT(ADDRESS(432,17))+INDIRECT(ADDRESS(430,18))-INDIRECT(ADDRESS(431,18))</f>
        <v>0</v>
      </c>
      <c r="S432">
        <f>INDIRECT(ADDRESS(432,18))+INDIRECT(ADDRESS(430,19))-INDIRECT(ADDRESS(431,19))</f>
        <v>0</v>
      </c>
      <c r="T432">
        <f>INDIRECT(ADDRESS(432,19))+INDIRECT(ADDRESS(430,20))-INDIRECT(ADDRESS(431,20))</f>
        <v>0</v>
      </c>
      <c r="U432">
        <f>INDIRECT(ADDRESS(432,20))+INDIRECT(ADDRESS(430,21))-INDIRECT(ADDRESS(431,21))</f>
        <v>0</v>
      </c>
      <c r="V432">
        <f>INDIRECT(ADDRESS(432,21))+INDIRECT(ADDRESS(430,22))-INDIRECT(ADDRESS(431,22))</f>
        <v>0</v>
      </c>
      <c r="W432">
        <f>INDIRECT(ADDRESS(432,22))+INDIRECT(ADDRESS(430,23))-INDIRECT(ADDRESS(431,23))</f>
        <v>0</v>
      </c>
      <c r="X432">
        <f>INDIRECT(ADDRESS(432,23))+INDIRECT(ADDRESS(430,24))-INDIRECT(ADDRESS(431,24))</f>
        <v>0</v>
      </c>
      <c r="Y432">
        <f>INDIRECT(ADDRESS(432,24))+INDIRECT(ADDRESS(430,25))-INDIRECT(ADDRESS(431,25))</f>
        <v>0</v>
      </c>
      <c r="Z432">
        <f>INDIRECT(ADDRESS(432,25))+INDIRECT(ADDRESS(430,26))-INDIRECT(ADDRESS(431,26))</f>
        <v>0</v>
      </c>
      <c r="AA432">
        <f>INDIRECT(ADDRESS(432,26))+INDIRECT(ADDRESS(430,27))-INDIRECT(ADDRESS(431,27))</f>
        <v>0</v>
      </c>
      <c r="AB432">
        <f>INDIRECT(ADDRESS(432,27))+INDIRECT(ADDRESS(430,28))-INDIRECT(ADDRESS(431,28))</f>
        <v>0</v>
      </c>
      <c r="AC432">
        <f>INDIRECT(ADDRESS(432,28))+INDIRECT(ADDRESS(430,29))-INDIRECT(ADDRESS(431,29))</f>
        <v>0</v>
      </c>
      <c r="AD432">
        <f>INDIRECT(ADDRESS(432,29))+INDIRECT(ADDRESS(430,30))-INDIRECT(ADDRESS(431,30))</f>
        <v>0</v>
      </c>
      <c r="AE432">
        <f>INDIRECT(ADDRESS(432,30))+INDIRECT(ADDRESS(430,31))-INDIRECT(ADDRESS(431,31))</f>
        <v>0</v>
      </c>
      <c r="AF432">
        <f>INDIRECT(ADDRESS(432,31))+INDIRECT(ADDRESS(430,32))-INDIRECT(ADDRESS(431,32))</f>
        <v>0</v>
      </c>
      <c r="AG432">
        <f>INDIRECT(ADDRESS(432,32))+INDIRECT(ADDRESS(430,33))-INDIRECT(ADDRESS(431,33))</f>
        <v>0</v>
      </c>
      <c r="AH432">
        <f>INDIRECT(ADDRESS(432,33))+INDIRECT(ADDRESS(430,34))-INDIRECT(ADDRESS(431,34))</f>
        <v>0</v>
      </c>
      <c r="AI432">
        <f>INDIRECT(ADDRESS(432,34))+INDIRECT(ADDRESS(430,35))-INDIRECT(ADDRESS(431,35))</f>
        <v>0</v>
      </c>
      <c r="AJ432">
        <f>INDIRECT(ADDRESS(432,35))+INDIRECT(ADDRESS(430,36))-INDIRECT(ADDRESS(431,36))</f>
        <v>0</v>
      </c>
      <c r="AK432">
        <f>INDIRECT(ADDRESS(432,36))+INDIRECT(ADDRESS(430,37))-INDIRECT(ADDRESS(431,37))</f>
        <v>0</v>
      </c>
      <c r="AL432">
        <f>INDIRECT(ADDRESS(432,37))+INDIRECT(ADDRESS(430,38))-INDIRECT(ADDRESS(431,38))</f>
        <v>0</v>
      </c>
      <c r="AM432">
        <f>INDIRECT(ADDRESS(432,38))+INDIRECT(ADDRESS(430,39))-INDIRECT(ADDRESS(431,39))</f>
        <v>0</v>
      </c>
      <c r="AN432">
        <f>INDIRECT(ADDRESS(432,39))+INDIRECT(ADDRESS(430,40))-INDIRECT(ADDRESS(431,40))</f>
        <v>0</v>
      </c>
      <c r="AO432">
        <f>SUM(INDIRECT(ADDRESS(431,8)):INDIRECT(ADDRESS(431,39)))</f>
        <v>0</v>
      </c>
    </row>
    <row r="433" spans="1:41">
      <c r="A433" t="s">
        <v>180</v>
      </c>
      <c r="B433" t="s">
        <v>328</v>
      </c>
      <c r="C433" t="s">
        <v>347</v>
      </c>
      <c r="E433">
        <v>1</v>
      </c>
      <c r="I433" t="s">
        <v>177</v>
      </c>
    </row>
    <row r="434" spans="1:41">
      <c r="I434" t="s">
        <v>178</v>
      </c>
      <c r="J434">
        <f>IFERROR(VLOOKUP("924-700000-200",B:AB,1+8,0),0)</f>
        <v>0</v>
      </c>
      <c r="K434">
        <f>IFERROR(VLOOKUP("924-700000-200",B:AB,2+8,0),0)</f>
        <v>0</v>
      </c>
      <c r="L434">
        <f>IFERROR(VLOOKUP("924-700000-200",B:AB,3+8,0),0)</f>
        <v>0</v>
      </c>
      <c r="M434">
        <f>IFERROR(VLOOKUP("924-700000-200",B:AB,4+8,0),0)</f>
        <v>0</v>
      </c>
      <c r="N434">
        <f>IFERROR(VLOOKUP("924-700000-200",B:AB,5+8,0),0)</f>
        <v>0</v>
      </c>
      <c r="O434">
        <f>IFERROR(VLOOKUP("924-700000-200",B:AB,6+8,0),0)</f>
        <v>0</v>
      </c>
      <c r="P434">
        <f>IFERROR(VLOOKUP("924-700000-200",B:AB,7+8,0),0)</f>
        <v>0</v>
      </c>
      <c r="Q434">
        <f>IFERROR(VLOOKUP("924-700000-200",B:AB,8+8,0),0)</f>
        <v>0</v>
      </c>
      <c r="R434">
        <f>IFERROR(VLOOKUP("924-700000-200",B:AB,9+8,0),0)</f>
        <v>0</v>
      </c>
      <c r="S434">
        <f>IFERROR(VLOOKUP("924-700000-200",B:AB,10+8,0),0)</f>
        <v>0</v>
      </c>
      <c r="T434">
        <f>IFERROR(VLOOKUP("924-700000-200",B:AB,11+8,0),0)</f>
        <v>0</v>
      </c>
      <c r="U434">
        <f>IFERROR(VLOOKUP("924-700000-200",B:AB,12+8,0),0)</f>
        <v>0</v>
      </c>
      <c r="V434">
        <f>IFERROR(VLOOKUP("924-700000-200",B:AB,13+8,0),0)</f>
        <v>0</v>
      </c>
      <c r="W434">
        <f>IFERROR(VLOOKUP("924-700000-200",B:AB,14+8,0),0)</f>
        <v>0</v>
      </c>
      <c r="X434">
        <f>IFERROR(VLOOKUP("924-700000-200",B:AB,15+8,0),0)</f>
        <v>0</v>
      </c>
      <c r="Y434">
        <f>IFERROR(VLOOKUP("924-700000-200",B:AB,16+8,0),0)</f>
        <v>0</v>
      </c>
      <c r="Z434">
        <f>IFERROR(VLOOKUP("924-700000-200",B:AB,17+8,0),0)</f>
        <v>0</v>
      </c>
      <c r="AA434">
        <f>IFERROR(VLOOKUP("924-700000-200",B:AB,18+8,0),0)</f>
        <v>0</v>
      </c>
      <c r="AB434">
        <f>IFERROR(VLOOKUP("924-700000-200",B:AB,19+8,0),0)</f>
        <v>0</v>
      </c>
      <c r="AC434">
        <f>IFERROR(VLOOKUP("924-700000-200",B:AB,20+8,0),0)</f>
        <v>0</v>
      </c>
      <c r="AD434">
        <f>IFERROR(VLOOKUP("924-700000-200",B:AB,21+8,0),0)</f>
        <v>0</v>
      </c>
      <c r="AE434">
        <f>IFERROR(VLOOKUP("924-700000-200",B:AB,22+8,0),0)</f>
        <v>0</v>
      </c>
      <c r="AF434">
        <f>IFERROR(VLOOKUP("924-700000-200",B:AB,23+8,0),0)</f>
        <v>0</v>
      </c>
      <c r="AG434">
        <f>IFERROR(VLOOKUP("924-700000-200",B:AB,24+8,0),0)</f>
        <v>0</v>
      </c>
      <c r="AH434">
        <f>IFERROR(VLOOKUP("924-700000-200",B:AB,25+8,0),0)</f>
        <v>0</v>
      </c>
      <c r="AI434">
        <f>IFERROR(VLOOKUP("924-700000-200",B:AB,26+8,0),0)</f>
        <v>0</v>
      </c>
      <c r="AJ434">
        <f>IFERROR(VLOOKUP("924-700000-200",B:AB,27+8,0),0)</f>
        <v>0</v>
      </c>
      <c r="AK434">
        <f>IFERROR(VLOOKUP("924-700000-200",B:AB,28+8,0),0)</f>
        <v>0</v>
      </c>
      <c r="AL434">
        <f>IFERROR(VLOOKUP("924-700000-200",B:AB,29+8,0),0)</f>
        <v>0</v>
      </c>
      <c r="AM434">
        <f>IFERROR(VLOOKUP("924-700000-200",B:AB,30+8,0),0)</f>
        <v>0</v>
      </c>
      <c r="AN434">
        <f>IFERROR(VLOOKUP("924-700000-200",B:AB,31+8,0),0)</f>
        <v>0</v>
      </c>
      <c r="AO434">
        <f>SUN(INDIRECT(ADDRESS(433,8)):INDIRECT(ADDRESS(433,39)))</f>
        <v>0</v>
      </c>
    </row>
    <row r="435" spans="1:41">
      <c r="H435" t="s">
        <v>179</v>
      </c>
      <c r="J435">
        <f>INDIRECT(ADDRESS(435,9))+INDIRECT(ADDRESS(433,10))-INDIRECT(ADDRESS(434,10))</f>
        <v>0</v>
      </c>
      <c r="K435">
        <f>INDIRECT(ADDRESS(435,10))+INDIRECT(ADDRESS(433,11))-INDIRECT(ADDRESS(434,11))</f>
        <v>0</v>
      </c>
      <c r="L435">
        <f>INDIRECT(ADDRESS(435,11))+INDIRECT(ADDRESS(433,12))-INDIRECT(ADDRESS(434,12))</f>
        <v>0</v>
      </c>
      <c r="M435">
        <f>INDIRECT(ADDRESS(435,12))+INDIRECT(ADDRESS(433,13))-INDIRECT(ADDRESS(434,13))</f>
        <v>0</v>
      </c>
      <c r="N435">
        <f>INDIRECT(ADDRESS(435,13))+INDIRECT(ADDRESS(433,14))-INDIRECT(ADDRESS(434,14))</f>
        <v>0</v>
      </c>
      <c r="O435">
        <f>INDIRECT(ADDRESS(435,14))+INDIRECT(ADDRESS(433,15))-INDIRECT(ADDRESS(434,15))</f>
        <v>0</v>
      </c>
      <c r="P435">
        <f>INDIRECT(ADDRESS(435,15))+INDIRECT(ADDRESS(433,16))-INDIRECT(ADDRESS(434,16))</f>
        <v>0</v>
      </c>
      <c r="Q435">
        <f>INDIRECT(ADDRESS(435,16))+INDIRECT(ADDRESS(433,17))-INDIRECT(ADDRESS(434,17))</f>
        <v>0</v>
      </c>
      <c r="R435">
        <f>INDIRECT(ADDRESS(435,17))+INDIRECT(ADDRESS(433,18))-INDIRECT(ADDRESS(434,18))</f>
        <v>0</v>
      </c>
      <c r="S435">
        <f>INDIRECT(ADDRESS(435,18))+INDIRECT(ADDRESS(433,19))-INDIRECT(ADDRESS(434,19))</f>
        <v>0</v>
      </c>
      <c r="T435">
        <f>INDIRECT(ADDRESS(435,19))+INDIRECT(ADDRESS(433,20))-INDIRECT(ADDRESS(434,20))</f>
        <v>0</v>
      </c>
      <c r="U435">
        <f>INDIRECT(ADDRESS(435,20))+INDIRECT(ADDRESS(433,21))-INDIRECT(ADDRESS(434,21))</f>
        <v>0</v>
      </c>
      <c r="V435">
        <f>INDIRECT(ADDRESS(435,21))+INDIRECT(ADDRESS(433,22))-INDIRECT(ADDRESS(434,22))</f>
        <v>0</v>
      </c>
      <c r="W435">
        <f>INDIRECT(ADDRESS(435,22))+INDIRECT(ADDRESS(433,23))-INDIRECT(ADDRESS(434,23))</f>
        <v>0</v>
      </c>
      <c r="X435">
        <f>INDIRECT(ADDRESS(435,23))+INDIRECT(ADDRESS(433,24))-INDIRECT(ADDRESS(434,24))</f>
        <v>0</v>
      </c>
      <c r="Y435">
        <f>INDIRECT(ADDRESS(435,24))+INDIRECT(ADDRESS(433,25))-INDIRECT(ADDRESS(434,25))</f>
        <v>0</v>
      </c>
      <c r="Z435">
        <f>INDIRECT(ADDRESS(435,25))+INDIRECT(ADDRESS(433,26))-INDIRECT(ADDRESS(434,26))</f>
        <v>0</v>
      </c>
      <c r="AA435">
        <f>INDIRECT(ADDRESS(435,26))+INDIRECT(ADDRESS(433,27))-INDIRECT(ADDRESS(434,27))</f>
        <v>0</v>
      </c>
      <c r="AB435">
        <f>INDIRECT(ADDRESS(435,27))+INDIRECT(ADDRESS(433,28))-INDIRECT(ADDRESS(434,28))</f>
        <v>0</v>
      </c>
      <c r="AC435">
        <f>INDIRECT(ADDRESS(435,28))+INDIRECT(ADDRESS(433,29))-INDIRECT(ADDRESS(434,29))</f>
        <v>0</v>
      </c>
      <c r="AD435">
        <f>INDIRECT(ADDRESS(435,29))+INDIRECT(ADDRESS(433,30))-INDIRECT(ADDRESS(434,30))</f>
        <v>0</v>
      </c>
      <c r="AE435">
        <f>INDIRECT(ADDRESS(435,30))+INDIRECT(ADDRESS(433,31))-INDIRECT(ADDRESS(434,31))</f>
        <v>0</v>
      </c>
      <c r="AF435">
        <f>INDIRECT(ADDRESS(435,31))+INDIRECT(ADDRESS(433,32))-INDIRECT(ADDRESS(434,32))</f>
        <v>0</v>
      </c>
      <c r="AG435">
        <f>INDIRECT(ADDRESS(435,32))+INDIRECT(ADDRESS(433,33))-INDIRECT(ADDRESS(434,33))</f>
        <v>0</v>
      </c>
      <c r="AH435">
        <f>INDIRECT(ADDRESS(435,33))+INDIRECT(ADDRESS(433,34))-INDIRECT(ADDRESS(434,34))</f>
        <v>0</v>
      </c>
      <c r="AI435">
        <f>INDIRECT(ADDRESS(435,34))+INDIRECT(ADDRESS(433,35))-INDIRECT(ADDRESS(434,35))</f>
        <v>0</v>
      </c>
      <c r="AJ435">
        <f>INDIRECT(ADDRESS(435,35))+INDIRECT(ADDRESS(433,36))-INDIRECT(ADDRESS(434,36))</f>
        <v>0</v>
      </c>
      <c r="AK435">
        <f>INDIRECT(ADDRESS(435,36))+INDIRECT(ADDRESS(433,37))-INDIRECT(ADDRESS(434,37))</f>
        <v>0</v>
      </c>
      <c r="AL435">
        <f>INDIRECT(ADDRESS(435,37))+INDIRECT(ADDRESS(433,38))-INDIRECT(ADDRESS(434,38))</f>
        <v>0</v>
      </c>
      <c r="AM435">
        <f>INDIRECT(ADDRESS(435,38))+INDIRECT(ADDRESS(433,39))-INDIRECT(ADDRESS(434,39))</f>
        <v>0</v>
      </c>
      <c r="AN435">
        <f>INDIRECT(ADDRESS(435,39))+INDIRECT(ADDRESS(433,40))-INDIRECT(ADDRESS(434,40))</f>
        <v>0</v>
      </c>
      <c r="AO435">
        <f>SUM(INDIRECT(ADDRESS(434,8)):INDIRECT(ADDRESS(434,39)))</f>
        <v>0</v>
      </c>
    </row>
    <row r="436" spans="1:41">
      <c r="A436" t="s">
        <v>185</v>
      </c>
      <c r="B436" t="s">
        <v>330</v>
      </c>
      <c r="C436" t="s">
        <v>331</v>
      </c>
      <c r="E436">
        <v>2</v>
      </c>
      <c r="I436" t="s">
        <v>177</v>
      </c>
    </row>
    <row r="437" spans="1:41">
      <c r="I437" t="s">
        <v>178</v>
      </c>
      <c r="J437">
        <f>IFERROR(VLOOKUP("924-700000-200",B:AB,1+8,0),0)</f>
        <v>0</v>
      </c>
      <c r="K437">
        <f>IFERROR(VLOOKUP("924-700000-200",B:AB,2+8,0),0)</f>
        <v>0</v>
      </c>
      <c r="L437">
        <f>IFERROR(VLOOKUP("924-700000-200",B:AB,3+8,0),0)</f>
        <v>0</v>
      </c>
      <c r="M437">
        <f>IFERROR(VLOOKUP("924-700000-200",B:AB,4+8,0),0)</f>
        <v>0</v>
      </c>
      <c r="N437">
        <f>IFERROR(VLOOKUP("924-700000-200",B:AB,5+8,0),0)</f>
        <v>0</v>
      </c>
      <c r="O437">
        <f>IFERROR(VLOOKUP("924-700000-200",B:AB,6+8,0),0)</f>
        <v>0</v>
      </c>
      <c r="P437">
        <f>IFERROR(VLOOKUP("924-700000-200",B:AB,7+8,0),0)</f>
        <v>0</v>
      </c>
      <c r="Q437">
        <f>IFERROR(VLOOKUP("924-700000-200",B:AB,8+8,0),0)</f>
        <v>0</v>
      </c>
      <c r="R437">
        <f>IFERROR(VLOOKUP("924-700000-200",B:AB,9+8,0),0)</f>
        <v>0</v>
      </c>
      <c r="S437">
        <f>IFERROR(VLOOKUP("924-700000-200",B:AB,10+8,0),0)</f>
        <v>0</v>
      </c>
      <c r="T437">
        <f>IFERROR(VLOOKUP("924-700000-200",B:AB,11+8,0),0)</f>
        <v>0</v>
      </c>
      <c r="U437">
        <f>IFERROR(VLOOKUP("924-700000-200",B:AB,12+8,0),0)</f>
        <v>0</v>
      </c>
      <c r="V437">
        <f>IFERROR(VLOOKUP("924-700000-200",B:AB,13+8,0),0)</f>
        <v>0</v>
      </c>
      <c r="W437">
        <f>IFERROR(VLOOKUP("924-700000-200",B:AB,14+8,0),0)</f>
        <v>0</v>
      </c>
      <c r="X437">
        <f>IFERROR(VLOOKUP("924-700000-200",B:AB,15+8,0),0)</f>
        <v>0</v>
      </c>
      <c r="Y437">
        <f>IFERROR(VLOOKUP("924-700000-200",B:AB,16+8,0),0)</f>
        <v>0</v>
      </c>
      <c r="Z437">
        <f>IFERROR(VLOOKUP("924-700000-200",B:AB,17+8,0),0)</f>
        <v>0</v>
      </c>
      <c r="AA437">
        <f>IFERROR(VLOOKUP("924-700000-200",B:AB,18+8,0),0)</f>
        <v>0</v>
      </c>
      <c r="AB437">
        <f>IFERROR(VLOOKUP("924-700000-200",B:AB,19+8,0),0)</f>
        <v>0</v>
      </c>
      <c r="AC437">
        <f>IFERROR(VLOOKUP("924-700000-200",B:AB,20+8,0),0)</f>
        <v>0</v>
      </c>
      <c r="AD437">
        <f>IFERROR(VLOOKUP("924-700000-200",B:AB,21+8,0),0)</f>
        <v>0</v>
      </c>
      <c r="AE437">
        <f>IFERROR(VLOOKUP("924-700000-200",B:AB,22+8,0),0)</f>
        <v>0</v>
      </c>
      <c r="AF437">
        <f>IFERROR(VLOOKUP("924-700000-200",B:AB,23+8,0),0)</f>
        <v>0</v>
      </c>
      <c r="AG437">
        <f>IFERROR(VLOOKUP("924-700000-200",B:AB,24+8,0),0)</f>
        <v>0</v>
      </c>
      <c r="AH437">
        <f>IFERROR(VLOOKUP("924-700000-200",B:AB,25+8,0),0)</f>
        <v>0</v>
      </c>
      <c r="AI437">
        <f>IFERROR(VLOOKUP("924-700000-200",B:AB,26+8,0),0)</f>
        <v>0</v>
      </c>
      <c r="AJ437">
        <f>IFERROR(VLOOKUP("924-700000-200",B:AB,27+8,0),0)</f>
        <v>0</v>
      </c>
      <c r="AK437">
        <f>IFERROR(VLOOKUP("924-700000-200",B:AB,28+8,0),0)</f>
        <v>0</v>
      </c>
      <c r="AL437">
        <f>IFERROR(VLOOKUP("924-700000-200",B:AB,29+8,0),0)</f>
        <v>0</v>
      </c>
      <c r="AM437">
        <f>IFERROR(VLOOKUP("924-700000-200",B:AB,30+8,0),0)</f>
        <v>0</v>
      </c>
      <c r="AN437">
        <f>IFERROR(VLOOKUP("924-700000-200",B:AB,31+8,0),0)</f>
        <v>0</v>
      </c>
      <c r="AO437">
        <f>SUN(INDIRECT(ADDRESS(436,8)):INDIRECT(ADDRESS(436,39)))</f>
        <v>0</v>
      </c>
    </row>
    <row r="438" spans="1:41">
      <c r="H438" t="s">
        <v>179</v>
      </c>
      <c r="J438">
        <f>INDIRECT(ADDRESS(438,9))+INDIRECT(ADDRESS(436,10))-INDIRECT(ADDRESS(437,10))</f>
        <v>0</v>
      </c>
      <c r="K438">
        <f>INDIRECT(ADDRESS(438,10))+INDIRECT(ADDRESS(436,11))-INDIRECT(ADDRESS(437,11))</f>
        <v>0</v>
      </c>
      <c r="L438">
        <f>INDIRECT(ADDRESS(438,11))+INDIRECT(ADDRESS(436,12))-INDIRECT(ADDRESS(437,12))</f>
        <v>0</v>
      </c>
      <c r="M438">
        <f>INDIRECT(ADDRESS(438,12))+INDIRECT(ADDRESS(436,13))-INDIRECT(ADDRESS(437,13))</f>
        <v>0</v>
      </c>
      <c r="N438">
        <f>INDIRECT(ADDRESS(438,13))+INDIRECT(ADDRESS(436,14))-INDIRECT(ADDRESS(437,14))</f>
        <v>0</v>
      </c>
      <c r="O438">
        <f>INDIRECT(ADDRESS(438,14))+INDIRECT(ADDRESS(436,15))-INDIRECT(ADDRESS(437,15))</f>
        <v>0</v>
      </c>
      <c r="P438">
        <f>INDIRECT(ADDRESS(438,15))+INDIRECT(ADDRESS(436,16))-INDIRECT(ADDRESS(437,16))</f>
        <v>0</v>
      </c>
      <c r="Q438">
        <f>INDIRECT(ADDRESS(438,16))+INDIRECT(ADDRESS(436,17))-INDIRECT(ADDRESS(437,17))</f>
        <v>0</v>
      </c>
      <c r="R438">
        <f>INDIRECT(ADDRESS(438,17))+INDIRECT(ADDRESS(436,18))-INDIRECT(ADDRESS(437,18))</f>
        <v>0</v>
      </c>
      <c r="S438">
        <f>INDIRECT(ADDRESS(438,18))+INDIRECT(ADDRESS(436,19))-INDIRECT(ADDRESS(437,19))</f>
        <v>0</v>
      </c>
      <c r="T438">
        <f>INDIRECT(ADDRESS(438,19))+INDIRECT(ADDRESS(436,20))-INDIRECT(ADDRESS(437,20))</f>
        <v>0</v>
      </c>
      <c r="U438">
        <f>INDIRECT(ADDRESS(438,20))+INDIRECT(ADDRESS(436,21))-INDIRECT(ADDRESS(437,21))</f>
        <v>0</v>
      </c>
      <c r="V438">
        <f>INDIRECT(ADDRESS(438,21))+INDIRECT(ADDRESS(436,22))-INDIRECT(ADDRESS(437,22))</f>
        <v>0</v>
      </c>
      <c r="W438">
        <f>INDIRECT(ADDRESS(438,22))+INDIRECT(ADDRESS(436,23))-INDIRECT(ADDRESS(437,23))</f>
        <v>0</v>
      </c>
      <c r="X438">
        <f>INDIRECT(ADDRESS(438,23))+INDIRECT(ADDRESS(436,24))-INDIRECT(ADDRESS(437,24))</f>
        <v>0</v>
      </c>
      <c r="Y438">
        <f>INDIRECT(ADDRESS(438,24))+INDIRECT(ADDRESS(436,25))-INDIRECT(ADDRESS(437,25))</f>
        <v>0</v>
      </c>
      <c r="Z438">
        <f>INDIRECT(ADDRESS(438,25))+INDIRECT(ADDRESS(436,26))-INDIRECT(ADDRESS(437,26))</f>
        <v>0</v>
      </c>
      <c r="AA438">
        <f>INDIRECT(ADDRESS(438,26))+INDIRECT(ADDRESS(436,27))-INDIRECT(ADDRESS(437,27))</f>
        <v>0</v>
      </c>
      <c r="AB438">
        <f>INDIRECT(ADDRESS(438,27))+INDIRECT(ADDRESS(436,28))-INDIRECT(ADDRESS(437,28))</f>
        <v>0</v>
      </c>
      <c r="AC438">
        <f>INDIRECT(ADDRESS(438,28))+INDIRECT(ADDRESS(436,29))-INDIRECT(ADDRESS(437,29))</f>
        <v>0</v>
      </c>
      <c r="AD438">
        <f>INDIRECT(ADDRESS(438,29))+INDIRECT(ADDRESS(436,30))-INDIRECT(ADDRESS(437,30))</f>
        <v>0</v>
      </c>
      <c r="AE438">
        <f>INDIRECT(ADDRESS(438,30))+INDIRECT(ADDRESS(436,31))-INDIRECT(ADDRESS(437,31))</f>
        <v>0</v>
      </c>
      <c r="AF438">
        <f>INDIRECT(ADDRESS(438,31))+INDIRECT(ADDRESS(436,32))-INDIRECT(ADDRESS(437,32))</f>
        <v>0</v>
      </c>
      <c r="AG438">
        <f>INDIRECT(ADDRESS(438,32))+INDIRECT(ADDRESS(436,33))-INDIRECT(ADDRESS(437,33))</f>
        <v>0</v>
      </c>
      <c r="AH438">
        <f>INDIRECT(ADDRESS(438,33))+INDIRECT(ADDRESS(436,34))-INDIRECT(ADDRESS(437,34))</f>
        <v>0</v>
      </c>
      <c r="AI438">
        <f>INDIRECT(ADDRESS(438,34))+INDIRECT(ADDRESS(436,35))-INDIRECT(ADDRESS(437,35))</f>
        <v>0</v>
      </c>
      <c r="AJ438">
        <f>INDIRECT(ADDRESS(438,35))+INDIRECT(ADDRESS(436,36))-INDIRECT(ADDRESS(437,36))</f>
        <v>0</v>
      </c>
      <c r="AK438">
        <f>INDIRECT(ADDRESS(438,36))+INDIRECT(ADDRESS(436,37))-INDIRECT(ADDRESS(437,37))</f>
        <v>0</v>
      </c>
      <c r="AL438">
        <f>INDIRECT(ADDRESS(438,37))+INDIRECT(ADDRESS(436,38))-INDIRECT(ADDRESS(437,38))</f>
        <v>0</v>
      </c>
      <c r="AM438">
        <f>INDIRECT(ADDRESS(438,38))+INDIRECT(ADDRESS(436,39))-INDIRECT(ADDRESS(437,39))</f>
        <v>0</v>
      </c>
      <c r="AN438">
        <f>INDIRECT(ADDRESS(438,39))+INDIRECT(ADDRESS(436,40))-INDIRECT(ADDRESS(437,40))</f>
        <v>0</v>
      </c>
      <c r="AO438">
        <f>SUM(INDIRECT(ADDRESS(437,8)):INDIRECT(ADDRESS(437,39)))</f>
        <v>0</v>
      </c>
    </row>
    <row r="439" spans="1:41">
      <c r="A439" t="s">
        <v>185</v>
      </c>
      <c r="B439" t="s">
        <v>332</v>
      </c>
      <c r="C439" t="s">
        <v>333</v>
      </c>
      <c r="E439">
        <v>3</v>
      </c>
      <c r="I439" t="s">
        <v>177</v>
      </c>
    </row>
    <row r="440" spans="1:41">
      <c r="I440" t="s">
        <v>178</v>
      </c>
      <c r="J440">
        <f>IFERROR(VLOOKUP("924-700000-200",B:AB,1+8,0),0)</f>
        <v>0</v>
      </c>
      <c r="K440">
        <f>IFERROR(VLOOKUP("924-700000-200",B:AB,2+8,0),0)</f>
        <v>0</v>
      </c>
      <c r="L440">
        <f>IFERROR(VLOOKUP("924-700000-200",B:AB,3+8,0),0)</f>
        <v>0</v>
      </c>
      <c r="M440">
        <f>IFERROR(VLOOKUP("924-700000-200",B:AB,4+8,0),0)</f>
        <v>0</v>
      </c>
      <c r="N440">
        <f>IFERROR(VLOOKUP("924-700000-200",B:AB,5+8,0),0)</f>
        <v>0</v>
      </c>
      <c r="O440">
        <f>IFERROR(VLOOKUP("924-700000-200",B:AB,6+8,0),0)</f>
        <v>0</v>
      </c>
      <c r="P440">
        <f>IFERROR(VLOOKUP("924-700000-200",B:AB,7+8,0),0)</f>
        <v>0</v>
      </c>
      <c r="Q440">
        <f>IFERROR(VLOOKUP("924-700000-200",B:AB,8+8,0),0)</f>
        <v>0</v>
      </c>
      <c r="R440">
        <f>IFERROR(VLOOKUP("924-700000-200",B:AB,9+8,0),0)</f>
        <v>0</v>
      </c>
      <c r="S440">
        <f>IFERROR(VLOOKUP("924-700000-200",B:AB,10+8,0),0)</f>
        <v>0</v>
      </c>
      <c r="T440">
        <f>IFERROR(VLOOKUP("924-700000-200",B:AB,11+8,0),0)</f>
        <v>0</v>
      </c>
      <c r="U440">
        <f>IFERROR(VLOOKUP("924-700000-200",B:AB,12+8,0),0)</f>
        <v>0</v>
      </c>
      <c r="V440">
        <f>IFERROR(VLOOKUP("924-700000-200",B:AB,13+8,0),0)</f>
        <v>0</v>
      </c>
      <c r="W440">
        <f>IFERROR(VLOOKUP("924-700000-200",B:AB,14+8,0),0)</f>
        <v>0</v>
      </c>
      <c r="X440">
        <f>IFERROR(VLOOKUP("924-700000-200",B:AB,15+8,0),0)</f>
        <v>0</v>
      </c>
      <c r="Y440">
        <f>IFERROR(VLOOKUP("924-700000-200",B:AB,16+8,0),0)</f>
        <v>0</v>
      </c>
      <c r="Z440">
        <f>IFERROR(VLOOKUP("924-700000-200",B:AB,17+8,0),0)</f>
        <v>0</v>
      </c>
      <c r="AA440">
        <f>IFERROR(VLOOKUP("924-700000-200",B:AB,18+8,0),0)</f>
        <v>0</v>
      </c>
      <c r="AB440">
        <f>IFERROR(VLOOKUP("924-700000-200",B:AB,19+8,0),0)</f>
        <v>0</v>
      </c>
      <c r="AC440">
        <f>IFERROR(VLOOKUP("924-700000-200",B:AB,20+8,0),0)</f>
        <v>0</v>
      </c>
      <c r="AD440">
        <f>IFERROR(VLOOKUP("924-700000-200",B:AB,21+8,0),0)</f>
        <v>0</v>
      </c>
      <c r="AE440">
        <f>IFERROR(VLOOKUP("924-700000-200",B:AB,22+8,0),0)</f>
        <v>0</v>
      </c>
      <c r="AF440">
        <f>IFERROR(VLOOKUP("924-700000-200",B:AB,23+8,0),0)</f>
        <v>0</v>
      </c>
      <c r="AG440">
        <f>IFERROR(VLOOKUP("924-700000-200",B:AB,24+8,0),0)</f>
        <v>0</v>
      </c>
      <c r="AH440">
        <f>IFERROR(VLOOKUP("924-700000-200",B:AB,25+8,0),0)</f>
        <v>0</v>
      </c>
      <c r="AI440">
        <f>IFERROR(VLOOKUP("924-700000-200",B:AB,26+8,0),0)</f>
        <v>0</v>
      </c>
      <c r="AJ440">
        <f>IFERROR(VLOOKUP("924-700000-200",B:AB,27+8,0),0)</f>
        <v>0</v>
      </c>
      <c r="AK440">
        <f>IFERROR(VLOOKUP("924-700000-200",B:AB,28+8,0),0)</f>
        <v>0</v>
      </c>
      <c r="AL440">
        <f>IFERROR(VLOOKUP("924-700000-200",B:AB,29+8,0),0)</f>
        <v>0</v>
      </c>
      <c r="AM440">
        <f>IFERROR(VLOOKUP("924-700000-200",B:AB,30+8,0),0)</f>
        <v>0</v>
      </c>
      <c r="AN440">
        <f>IFERROR(VLOOKUP("924-700000-200",B:AB,31+8,0),0)</f>
        <v>0</v>
      </c>
      <c r="AO440">
        <f>SUN(INDIRECT(ADDRESS(439,8)):INDIRECT(ADDRESS(439,39)))</f>
        <v>0</v>
      </c>
    </row>
    <row r="441" spans="1:41">
      <c r="H441" t="s">
        <v>179</v>
      </c>
      <c r="J441">
        <f>INDIRECT(ADDRESS(441,9))+INDIRECT(ADDRESS(439,10))-INDIRECT(ADDRESS(440,10))</f>
        <v>0</v>
      </c>
      <c r="K441">
        <f>INDIRECT(ADDRESS(441,10))+INDIRECT(ADDRESS(439,11))-INDIRECT(ADDRESS(440,11))</f>
        <v>0</v>
      </c>
      <c r="L441">
        <f>INDIRECT(ADDRESS(441,11))+INDIRECT(ADDRESS(439,12))-INDIRECT(ADDRESS(440,12))</f>
        <v>0</v>
      </c>
      <c r="M441">
        <f>INDIRECT(ADDRESS(441,12))+INDIRECT(ADDRESS(439,13))-INDIRECT(ADDRESS(440,13))</f>
        <v>0</v>
      </c>
      <c r="N441">
        <f>INDIRECT(ADDRESS(441,13))+INDIRECT(ADDRESS(439,14))-INDIRECT(ADDRESS(440,14))</f>
        <v>0</v>
      </c>
      <c r="O441">
        <f>INDIRECT(ADDRESS(441,14))+INDIRECT(ADDRESS(439,15))-INDIRECT(ADDRESS(440,15))</f>
        <v>0</v>
      </c>
      <c r="P441">
        <f>INDIRECT(ADDRESS(441,15))+INDIRECT(ADDRESS(439,16))-INDIRECT(ADDRESS(440,16))</f>
        <v>0</v>
      </c>
      <c r="Q441">
        <f>INDIRECT(ADDRESS(441,16))+INDIRECT(ADDRESS(439,17))-INDIRECT(ADDRESS(440,17))</f>
        <v>0</v>
      </c>
      <c r="R441">
        <f>INDIRECT(ADDRESS(441,17))+INDIRECT(ADDRESS(439,18))-INDIRECT(ADDRESS(440,18))</f>
        <v>0</v>
      </c>
      <c r="S441">
        <f>INDIRECT(ADDRESS(441,18))+INDIRECT(ADDRESS(439,19))-INDIRECT(ADDRESS(440,19))</f>
        <v>0</v>
      </c>
      <c r="T441">
        <f>INDIRECT(ADDRESS(441,19))+INDIRECT(ADDRESS(439,20))-INDIRECT(ADDRESS(440,20))</f>
        <v>0</v>
      </c>
      <c r="U441">
        <f>INDIRECT(ADDRESS(441,20))+INDIRECT(ADDRESS(439,21))-INDIRECT(ADDRESS(440,21))</f>
        <v>0</v>
      </c>
      <c r="V441">
        <f>INDIRECT(ADDRESS(441,21))+INDIRECT(ADDRESS(439,22))-INDIRECT(ADDRESS(440,22))</f>
        <v>0</v>
      </c>
      <c r="W441">
        <f>INDIRECT(ADDRESS(441,22))+INDIRECT(ADDRESS(439,23))-INDIRECT(ADDRESS(440,23))</f>
        <v>0</v>
      </c>
      <c r="X441">
        <f>INDIRECT(ADDRESS(441,23))+INDIRECT(ADDRESS(439,24))-INDIRECT(ADDRESS(440,24))</f>
        <v>0</v>
      </c>
      <c r="Y441">
        <f>INDIRECT(ADDRESS(441,24))+INDIRECT(ADDRESS(439,25))-INDIRECT(ADDRESS(440,25))</f>
        <v>0</v>
      </c>
      <c r="Z441">
        <f>INDIRECT(ADDRESS(441,25))+INDIRECT(ADDRESS(439,26))-INDIRECT(ADDRESS(440,26))</f>
        <v>0</v>
      </c>
      <c r="AA441">
        <f>INDIRECT(ADDRESS(441,26))+INDIRECT(ADDRESS(439,27))-INDIRECT(ADDRESS(440,27))</f>
        <v>0</v>
      </c>
      <c r="AB441">
        <f>INDIRECT(ADDRESS(441,27))+INDIRECT(ADDRESS(439,28))-INDIRECT(ADDRESS(440,28))</f>
        <v>0</v>
      </c>
      <c r="AC441">
        <f>INDIRECT(ADDRESS(441,28))+INDIRECT(ADDRESS(439,29))-INDIRECT(ADDRESS(440,29))</f>
        <v>0</v>
      </c>
      <c r="AD441">
        <f>INDIRECT(ADDRESS(441,29))+INDIRECT(ADDRESS(439,30))-INDIRECT(ADDRESS(440,30))</f>
        <v>0</v>
      </c>
      <c r="AE441">
        <f>INDIRECT(ADDRESS(441,30))+INDIRECT(ADDRESS(439,31))-INDIRECT(ADDRESS(440,31))</f>
        <v>0</v>
      </c>
      <c r="AF441">
        <f>INDIRECT(ADDRESS(441,31))+INDIRECT(ADDRESS(439,32))-INDIRECT(ADDRESS(440,32))</f>
        <v>0</v>
      </c>
      <c r="AG441">
        <f>INDIRECT(ADDRESS(441,32))+INDIRECT(ADDRESS(439,33))-INDIRECT(ADDRESS(440,33))</f>
        <v>0</v>
      </c>
      <c r="AH441">
        <f>INDIRECT(ADDRESS(441,33))+INDIRECT(ADDRESS(439,34))-INDIRECT(ADDRESS(440,34))</f>
        <v>0</v>
      </c>
      <c r="AI441">
        <f>INDIRECT(ADDRESS(441,34))+INDIRECT(ADDRESS(439,35))-INDIRECT(ADDRESS(440,35))</f>
        <v>0</v>
      </c>
      <c r="AJ441">
        <f>INDIRECT(ADDRESS(441,35))+INDIRECT(ADDRESS(439,36))-INDIRECT(ADDRESS(440,36))</f>
        <v>0</v>
      </c>
      <c r="AK441">
        <f>INDIRECT(ADDRESS(441,36))+INDIRECT(ADDRESS(439,37))-INDIRECT(ADDRESS(440,37))</f>
        <v>0</v>
      </c>
      <c r="AL441">
        <f>INDIRECT(ADDRESS(441,37))+INDIRECT(ADDRESS(439,38))-INDIRECT(ADDRESS(440,38))</f>
        <v>0</v>
      </c>
      <c r="AM441">
        <f>INDIRECT(ADDRESS(441,38))+INDIRECT(ADDRESS(439,39))-INDIRECT(ADDRESS(440,39))</f>
        <v>0</v>
      </c>
      <c r="AN441">
        <f>INDIRECT(ADDRESS(441,39))+INDIRECT(ADDRESS(439,40))-INDIRECT(ADDRESS(440,40))</f>
        <v>0</v>
      </c>
      <c r="AO441">
        <f>SUM(INDIRECT(ADDRESS(440,8)):INDIRECT(ADDRESS(440,39)))</f>
        <v>0</v>
      </c>
    </row>
    <row r="442" spans="1:41">
      <c r="A442" t="s">
        <v>185</v>
      </c>
      <c r="B442" t="s">
        <v>334</v>
      </c>
      <c r="C442" t="s">
        <v>335</v>
      </c>
      <c r="E442">
        <v>1</v>
      </c>
      <c r="I442" t="s">
        <v>177</v>
      </c>
    </row>
    <row r="443" spans="1:41">
      <c r="I443" t="s">
        <v>178</v>
      </c>
      <c r="J443">
        <f>IFERROR(VLOOKUP("924-700000-200",B:AB,1+8,0),0)</f>
        <v>0</v>
      </c>
      <c r="K443">
        <f>IFERROR(VLOOKUP("924-700000-200",B:AB,2+8,0),0)</f>
        <v>0</v>
      </c>
      <c r="L443">
        <f>IFERROR(VLOOKUP("924-700000-200",B:AB,3+8,0),0)</f>
        <v>0</v>
      </c>
      <c r="M443">
        <f>IFERROR(VLOOKUP("924-700000-200",B:AB,4+8,0),0)</f>
        <v>0</v>
      </c>
      <c r="N443">
        <f>IFERROR(VLOOKUP("924-700000-200",B:AB,5+8,0),0)</f>
        <v>0</v>
      </c>
      <c r="O443">
        <f>IFERROR(VLOOKUP("924-700000-200",B:AB,6+8,0),0)</f>
        <v>0</v>
      </c>
      <c r="P443">
        <f>IFERROR(VLOOKUP("924-700000-200",B:AB,7+8,0),0)</f>
        <v>0</v>
      </c>
      <c r="Q443">
        <f>IFERROR(VLOOKUP("924-700000-200",B:AB,8+8,0),0)</f>
        <v>0</v>
      </c>
      <c r="R443">
        <f>IFERROR(VLOOKUP("924-700000-200",B:AB,9+8,0),0)</f>
        <v>0</v>
      </c>
      <c r="S443">
        <f>IFERROR(VLOOKUP("924-700000-200",B:AB,10+8,0),0)</f>
        <v>0</v>
      </c>
      <c r="T443">
        <f>IFERROR(VLOOKUP("924-700000-200",B:AB,11+8,0),0)</f>
        <v>0</v>
      </c>
      <c r="U443">
        <f>IFERROR(VLOOKUP("924-700000-200",B:AB,12+8,0),0)</f>
        <v>0</v>
      </c>
      <c r="V443">
        <f>IFERROR(VLOOKUP("924-700000-200",B:AB,13+8,0),0)</f>
        <v>0</v>
      </c>
      <c r="W443">
        <f>IFERROR(VLOOKUP("924-700000-200",B:AB,14+8,0),0)</f>
        <v>0</v>
      </c>
      <c r="X443">
        <f>IFERROR(VLOOKUP("924-700000-200",B:AB,15+8,0),0)</f>
        <v>0</v>
      </c>
      <c r="Y443">
        <f>IFERROR(VLOOKUP("924-700000-200",B:AB,16+8,0),0)</f>
        <v>0</v>
      </c>
      <c r="Z443">
        <f>IFERROR(VLOOKUP("924-700000-200",B:AB,17+8,0),0)</f>
        <v>0</v>
      </c>
      <c r="AA443">
        <f>IFERROR(VLOOKUP("924-700000-200",B:AB,18+8,0),0)</f>
        <v>0</v>
      </c>
      <c r="AB443">
        <f>IFERROR(VLOOKUP("924-700000-200",B:AB,19+8,0),0)</f>
        <v>0</v>
      </c>
      <c r="AC443">
        <f>IFERROR(VLOOKUP("924-700000-200",B:AB,20+8,0),0)</f>
        <v>0</v>
      </c>
      <c r="AD443">
        <f>IFERROR(VLOOKUP("924-700000-200",B:AB,21+8,0),0)</f>
        <v>0</v>
      </c>
      <c r="AE443">
        <f>IFERROR(VLOOKUP("924-700000-200",B:AB,22+8,0),0)</f>
        <v>0</v>
      </c>
      <c r="AF443">
        <f>IFERROR(VLOOKUP("924-700000-200",B:AB,23+8,0),0)</f>
        <v>0</v>
      </c>
      <c r="AG443">
        <f>IFERROR(VLOOKUP("924-700000-200",B:AB,24+8,0),0)</f>
        <v>0</v>
      </c>
      <c r="AH443">
        <f>IFERROR(VLOOKUP("924-700000-200",B:AB,25+8,0),0)</f>
        <v>0</v>
      </c>
      <c r="AI443">
        <f>IFERROR(VLOOKUP("924-700000-200",B:AB,26+8,0),0)</f>
        <v>0</v>
      </c>
      <c r="AJ443">
        <f>IFERROR(VLOOKUP("924-700000-200",B:AB,27+8,0),0)</f>
        <v>0</v>
      </c>
      <c r="AK443">
        <f>IFERROR(VLOOKUP("924-700000-200",B:AB,28+8,0),0)</f>
        <v>0</v>
      </c>
      <c r="AL443">
        <f>IFERROR(VLOOKUP("924-700000-200",B:AB,29+8,0),0)</f>
        <v>0</v>
      </c>
      <c r="AM443">
        <f>IFERROR(VLOOKUP("924-700000-200",B:AB,30+8,0),0)</f>
        <v>0</v>
      </c>
      <c r="AN443">
        <f>IFERROR(VLOOKUP("924-700000-200",B:AB,31+8,0),0)</f>
        <v>0</v>
      </c>
      <c r="AO443">
        <f>SUN(INDIRECT(ADDRESS(442,8)):INDIRECT(ADDRESS(442,39)))</f>
        <v>0</v>
      </c>
    </row>
    <row r="444" spans="1:41">
      <c r="H444" t="s">
        <v>179</v>
      </c>
      <c r="J444">
        <f>INDIRECT(ADDRESS(444,9))+INDIRECT(ADDRESS(442,10))-INDIRECT(ADDRESS(443,10))</f>
        <v>0</v>
      </c>
      <c r="K444">
        <f>INDIRECT(ADDRESS(444,10))+INDIRECT(ADDRESS(442,11))-INDIRECT(ADDRESS(443,11))</f>
        <v>0</v>
      </c>
      <c r="L444">
        <f>INDIRECT(ADDRESS(444,11))+INDIRECT(ADDRESS(442,12))-INDIRECT(ADDRESS(443,12))</f>
        <v>0</v>
      </c>
      <c r="M444">
        <f>INDIRECT(ADDRESS(444,12))+INDIRECT(ADDRESS(442,13))-INDIRECT(ADDRESS(443,13))</f>
        <v>0</v>
      </c>
      <c r="N444">
        <f>INDIRECT(ADDRESS(444,13))+INDIRECT(ADDRESS(442,14))-INDIRECT(ADDRESS(443,14))</f>
        <v>0</v>
      </c>
      <c r="O444">
        <f>INDIRECT(ADDRESS(444,14))+INDIRECT(ADDRESS(442,15))-INDIRECT(ADDRESS(443,15))</f>
        <v>0</v>
      </c>
      <c r="P444">
        <f>INDIRECT(ADDRESS(444,15))+INDIRECT(ADDRESS(442,16))-INDIRECT(ADDRESS(443,16))</f>
        <v>0</v>
      </c>
      <c r="Q444">
        <f>INDIRECT(ADDRESS(444,16))+INDIRECT(ADDRESS(442,17))-INDIRECT(ADDRESS(443,17))</f>
        <v>0</v>
      </c>
      <c r="R444">
        <f>INDIRECT(ADDRESS(444,17))+INDIRECT(ADDRESS(442,18))-INDIRECT(ADDRESS(443,18))</f>
        <v>0</v>
      </c>
      <c r="S444">
        <f>INDIRECT(ADDRESS(444,18))+INDIRECT(ADDRESS(442,19))-INDIRECT(ADDRESS(443,19))</f>
        <v>0</v>
      </c>
      <c r="T444">
        <f>INDIRECT(ADDRESS(444,19))+INDIRECT(ADDRESS(442,20))-INDIRECT(ADDRESS(443,20))</f>
        <v>0</v>
      </c>
      <c r="U444">
        <f>INDIRECT(ADDRESS(444,20))+INDIRECT(ADDRESS(442,21))-INDIRECT(ADDRESS(443,21))</f>
        <v>0</v>
      </c>
      <c r="V444">
        <f>INDIRECT(ADDRESS(444,21))+INDIRECT(ADDRESS(442,22))-INDIRECT(ADDRESS(443,22))</f>
        <v>0</v>
      </c>
      <c r="W444">
        <f>INDIRECT(ADDRESS(444,22))+INDIRECT(ADDRESS(442,23))-INDIRECT(ADDRESS(443,23))</f>
        <v>0</v>
      </c>
      <c r="X444">
        <f>INDIRECT(ADDRESS(444,23))+INDIRECT(ADDRESS(442,24))-INDIRECT(ADDRESS(443,24))</f>
        <v>0</v>
      </c>
      <c r="Y444">
        <f>INDIRECT(ADDRESS(444,24))+INDIRECT(ADDRESS(442,25))-INDIRECT(ADDRESS(443,25))</f>
        <v>0</v>
      </c>
      <c r="Z444">
        <f>INDIRECT(ADDRESS(444,25))+INDIRECT(ADDRESS(442,26))-INDIRECT(ADDRESS(443,26))</f>
        <v>0</v>
      </c>
      <c r="AA444">
        <f>INDIRECT(ADDRESS(444,26))+INDIRECT(ADDRESS(442,27))-INDIRECT(ADDRESS(443,27))</f>
        <v>0</v>
      </c>
      <c r="AB444">
        <f>INDIRECT(ADDRESS(444,27))+INDIRECT(ADDRESS(442,28))-INDIRECT(ADDRESS(443,28))</f>
        <v>0</v>
      </c>
      <c r="AC444">
        <f>INDIRECT(ADDRESS(444,28))+INDIRECT(ADDRESS(442,29))-INDIRECT(ADDRESS(443,29))</f>
        <v>0</v>
      </c>
      <c r="AD444">
        <f>INDIRECT(ADDRESS(444,29))+INDIRECT(ADDRESS(442,30))-INDIRECT(ADDRESS(443,30))</f>
        <v>0</v>
      </c>
      <c r="AE444">
        <f>INDIRECT(ADDRESS(444,30))+INDIRECT(ADDRESS(442,31))-INDIRECT(ADDRESS(443,31))</f>
        <v>0</v>
      </c>
      <c r="AF444">
        <f>INDIRECT(ADDRESS(444,31))+INDIRECT(ADDRESS(442,32))-INDIRECT(ADDRESS(443,32))</f>
        <v>0</v>
      </c>
      <c r="AG444">
        <f>INDIRECT(ADDRESS(444,32))+INDIRECT(ADDRESS(442,33))-INDIRECT(ADDRESS(443,33))</f>
        <v>0</v>
      </c>
      <c r="AH444">
        <f>INDIRECT(ADDRESS(444,33))+INDIRECT(ADDRESS(442,34))-INDIRECT(ADDRESS(443,34))</f>
        <v>0</v>
      </c>
      <c r="AI444">
        <f>INDIRECT(ADDRESS(444,34))+INDIRECT(ADDRESS(442,35))-INDIRECT(ADDRESS(443,35))</f>
        <v>0</v>
      </c>
      <c r="AJ444">
        <f>INDIRECT(ADDRESS(444,35))+INDIRECT(ADDRESS(442,36))-INDIRECT(ADDRESS(443,36))</f>
        <v>0</v>
      </c>
      <c r="AK444">
        <f>INDIRECT(ADDRESS(444,36))+INDIRECT(ADDRESS(442,37))-INDIRECT(ADDRESS(443,37))</f>
        <v>0</v>
      </c>
      <c r="AL444">
        <f>INDIRECT(ADDRESS(444,37))+INDIRECT(ADDRESS(442,38))-INDIRECT(ADDRESS(443,38))</f>
        <v>0</v>
      </c>
      <c r="AM444">
        <f>INDIRECT(ADDRESS(444,38))+INDIRECT(ADDRESS(442,39))-INDIRECT(ADDRESS(443,39))</f>
        <v>0</v>
      </c>
      <c r="AN444">
        <f>INDIRECT(ADDRESS(444,39))+INDIRECT(ADDRESS(442,40))-INDIRECT(ADDRESS(443,40))</f>
        <v>0</v>
      </c>
      <c r="AO444">
        <f>SUM(INDIRECT(ADDRESS(443,8)):INDIRECT(ADDRESS(443,39)))</f>
        <v>0</v>
      </c>
    </row>
    <row r="445" spans="1:41">
      <c r="A445" t="s">
        <v>185</v>
      </c>
      <c r="B445" t="s">
        <v>336</v>
      </c>
      <c r="C445" t="s">
        <v>337</v>
      </c>
      <c r="E445">
        <v>1</v>
      </c>
      <c r="I445" t="s">
        <v>177</v>
      </c>
    </row>
    <row r="446" spans="1:41">
      <c r="I446" t="s">
        <v>178</v>
      </c>
      <c r="J446">
        <f>IFERROR(VLOOKUP("924-700000-200",B:AB,1+8,0),0)</f>
        <v>0</v>
      </c>
      <c r="K446">
        <f>IFERROR(VLOOKUP("924-700000-200",B:AB,2+8,0),0)</f>
        <v>0</v>
      </c>
      <c r="L446">
        <f>IFERROR(VLOOKUP("924-700000-200",B:AB,3+8,0),0)</f>
        <v>0</v>
      </c>
      <c r="M446">
        <f>IFERROR(VLOOKUP("924-700000-200",B:AB,4+8,0),0)</f>
        <v>0</v>
      </c>
      <c r="N446">
        <f>IFERROR(VLOOKUP("924-700000-200",B:AB,5+8,0),0)</f>
        <v>0</v>
      </c>
      <c r="O446">
        <f>IFERROR(VLOOKUP("924-700000-200",B:AB,6+8,0),0)</f>
        <v>0</v>
      </c>
      <c r="P446">
        <f>IFERROR(VLOOKUP("924-700000-200",B:AB,7+8,0),0)</f>
        <v>0</v>
      </c>
      <c r="Q446">
        <f>IFERROR(VLOOKUP("924-700000-200",B:AB,8+8,0),0)</f>
        <v>0</v>
      </c>
      <c r="R446">
        <f>IFERROR(VLOOKUP("924-700000-200",B:AB,9+8,0),0)</f>
        <v>0</v>
      </c>
      <c r="S446">
        <f>IFERROR(VLOOKUP("924-700000-200",B:AB,10+8,0),0)</f>
        <v>0</v>
      </c>
      <c r="T446">
        <f>IFERROR(VLOOKUP("924-700000-200",B:AB,11+8,0),0)</f>
        <v>0</v>
      </c>
      <c r="U446">
        <f>IFERROR(VLOOKUP("924-700000-200",B:AB,12+8,0),0)</f>
        <v>0</v>
      </c>
      <c r="V446">
        <f>IFERROR(VLOOKUP("924-700000-200",B:AB,13+8,0),0)</f>
        <v>0</v>
      </c>
      <c r="W446">
        <f>IFERROR(VLOOKUP("924-700000-200",B:AB,14+8,0),0)</f>
        <v>0</v>
      </c>
      <c r="X446">
        <f>IFERROR(VLOOKUP("924-700000-200",B:AB,15+8,0),0)</f>
        <v>0</v>
      </c>
      <c r="Y446">
        <f>IFERROR(VLOOKUP("924-700000-200",B:AB,16+8,0),0)</f>
        <v>0</v>
      </c>
      <c r="Z446">
        <f>IFERROR(VLOOKUP("924-700000-200",B:AB,17+8,0),0)</f>
        <v>0</v>
      </c>
      <c r="AA446">
        <f>IFERROR(VLOOKUP("924-700000-200",B:AB,18+8,0),0)</f>
        <v>0</v>
      </c>
      <c r="AB446">
        <f>IFERROR(VLOOKUP("924-700000-200",B:AB,19+8,0),0)</f>
        <v>0</v>
      </c>
      <c r="AC446">
        <f>IFERROR(VLOOKUP("924-700000-200",B:AB,20+8,0),0)</f>
        <v>0</v>
      </c>
      <c r="AD446">
        <f>IFERROR(VLOOKUP("924-700000-200",B:AB,21+8,0),0)</f>
        <v>0</v>
      </c>
      <c r="AE446">
        <f>IFERROR(VLOOKUP("924-700000-200",B:AB,22+8,0),0)</f>
        <v>0</v>
      </c>
      <c r="AF446">
        <f>IFERROR(VLOOKUP("924-700000-200",B:AB,23+8,0),0)</f>
        <v>0</v>
      </c>
      <c r="AG446">
        <f>IFERROR(VLOOKUP("924-700000-200",B:AB,24+8,0),0)</f>
        <v>0</v>
      </c>
      <c r="AH446">
        <f>IFERROR(VLOOKUP("924-700000-200",B:AB,25+8,0),0)</f>
        <v>0</v>
      </c>
      <c r="AI446">
        <f>IFERROR(VLOOKUP("924-700000-200",B:AB,26+8,0),0)</f>
        <v>0</v>
      </c>
      <c r="AJ446">
        <f>IFERROR(VLOOKUP("924-700000-200",B:AB,27+8,0),0)</f>
        <v>0</v>
      </c>
      <c r="AK446">
        <f>IFERROR(VLOOKUP("924-700000-200",B:AB,28+8,0),0)</f>
        <v>0</v>
      </c>
      <c r="AL446">
        <f>IFERROR(VLOOKUP("924-700000-200",B:AB,29+8,0),0)</f>
        <v>0</v>
      </c>
      <c r="AM446">
        <f>IFERROR(VLOOKUP("924-700000-200",B:AB,30+8,0),0)</f>
        <v>0</v>
      </c>
      <c r="AN446">
        <f>IFERROR(VLOOKUP("924-700000-200",B:AB,31+8,0),0)</f>
        <v>0</v>
      </c>
      <c r="AO446">
        <f>SUN(INDIRECT(ADDRESS(445,8)):INDIRECT(ADDRESS(445,39)))</f>
        <v>0</v>
      </c>
    </row>
    <row r="447" spans="1:41">
      <c r="H447" t="s">
        <v>179</v>
      </c>
      <c r="J447">
        <f>INDIRECT(ADDRESS(447,9))+INDIRECT(ADDRESS(445,10))-INDIRECT(ADDRESS(446,10))</f>
        <v>0</v>
      </c>
      <c r="K447">
        <f>INDIRECT(ADDRESS(447,10))+INDIRECT(ADDRESS(445,11))-INDIRECT(ADDRESS(446,11))</f>
        <v>0</v>
      </c>
      <c r="L447">
        <f>INDIRECT(ADDRESS(447,11))+INDIRECT(ADDRESS(445,12))-INDIRECT(ADDRESS(446,12))</f>
        <v>0</v>
      </c>
      <c r="M447">
        <f>INDIRECT(ADDRESS(447,12))+INDIRECT(ADDRESS(445,13))-INDIRECT(ADDRESS(446,13))</f>
        <v>0</v>
      </c>
      <c r="N447">
        <f>INDIRECT(ADDRESS(447,13))+INDIRECT(ADDRESS(445,14))-INDIRECT(ADDRESS(446,14))</f>
        <v>0</v>
      </c>
      <c r="O447">
        <f>INDIRECT(ADDRESS(447,14))+INDIRECT(ADDRESS(445,15))-INDIRECT(ADDRESS(446,15))</f>
        <v>0</v>
      </c>
      <c r="P447">
        <f>INDIRECT(ADDRESS(447,15))+INDIRECT(ADDRESS(445,16))-INDIRECT(ADDRESS(446,16))</f>
        <v>0</v>
      </c>
      <c r="Q447">
        <f>INDIRECT(ADDRESS(447,16))+INDIRECT(ADDRESS(445,17))-INDIRECT(ADDRESS(446,17))</f>
        <v>0</v>
      </c>
      <c r="R447">
        <f>INDIRECT(ADDRESS(447,17))+INDIRECT(ADDRESS(445,18))-INDIRECT(ADDRESS(446,18))</f>
        <v>0</v>
      </c>
      <c r="S447">
        <f>INDIRECT(ADDRESS(447,18))+INDIRECT(ADDRESS(445,19))-INDIRECT(ADDRESS(446,19))</f>
        <v>0</v>
      </c>
      <c r="T447">
        <f>INDIRECT(ADDRESS(447,19))+INDIRECT(ADDRESS(445,20))-INDIRECT(ADDRESS(446,20))</f>
        <v>0</v>
      </c>
      <c r="U447">
        <f>INDIRECT(ADDRESS(447,20))+INDIRECT(ADDRESS(445,21))-INDIRECT(ADDRESS(446,21))</f>
        <v>0</v>
      </c>
      <c r="V447">
        <f>INDIRECT(ADDRESS(447,21))+INDIRECT(ADDRESS(445,22))-INDIRECT(ADDRESS(446,22))</f>
        <v>0</v>
      </c>
      <c r="W447">
        <f>INDIRECT(ADDRESS(447,22))+INDIRECT(ADDRESS(445,23))-INDIRECT(ADDRESS(446,23))</f>
        <v>0</v>
      </c>
      <c r="X447">
        <f>INDIRECT(ADDRESS(447,23))+INDIRECT(ADDRESS(445,24))-INDIRECT(ADDRESS(446,24))</f>
        <v>0</v>
      </c>
      <c r="Y447">
        <f>INDIRECT(ADDRESS(447,24))+INDIRECT(ADDRESS(445,25))-INDIRECT(ADDRESS(446,25))</f>
        <v>0</v>
      </c>
      <c r="Z447">
        <f>INDIRECT(ADDRESS(447,25))+INDIRECT(ADDRESS(445,26))-INDIRECT(ADDRESS(446,26))</f>
        <v>0</v>
      </c>
      <c r="AA447">
        <f>INDIRECT(ADDRESS(447,26))+INDIRECT(ADDRESS(445,27))-INDIRECT(ADDRESS(446,27))</f>
        <v>0</v>
      </c>
      <c r="AB447">
        <f>INDIRECT(ADDRESS(447,27))+INDIRECT(ADDRESS(445,28))-INDIRECT(ADDRESS(446,28))</f>
        <v>0</v>
      </c>
      <c r="AC447">
        <f>INDIRECT(ADDRESS(447,28))+INDIRECT(ADDRESS(445,29))-INDIRECT(ADDRESS(446,29))</f>
        <v>0</v>
      </c>
      <c r="AD447">
        <f>INDIRECT(ADDRESS(447,29))+INDIRECT(ADDRESS(445,30))-INDIRECT(ADDRESS(446,30))</f>
        <v>0</v>
      </c>
      <c r="AE447">
        <f>INDIRECT(ADDRESS(447,30))+INDIRECT(ADDRESS(445,31))-INDIRECT(ADDRESS(446,31))</f>
        <v>0</v>
      </c>
      <c r="AF447">
        <f>INDIRECT(ADDRESS(447,31))+INDIRECT(ADDRESS(445,32))-INDIRECT(ADDRESS(446,32))</f>
        <v>0</v>
      </c>
      <c r="AG447">
        <f>INDIRECT(ADDRESS(447,32))+INDIRECT(ADDRESS(445,33))-INDIRECT(ADDRESS(446,33))</f>
        <v>0</v>
      </c>
      <c r="AH447">
        <f>INDIRECT(ADDRESS(447,33))+INDIRECT(ADDRESS(445,34))-INDIRECT(ADDRESS(446,34))</f>
        <v>0</v>
      </c>
      <c r="AI447">
        <f>INDIRECT(ADDRESS(447,34))+INDIRECT(ADDRESS(445,35))-INDIRECT(ADDRESS(446,35))</f>
        <v>0</v>
      </c>
      <c r="AJ447">
        <f>INDIRECT(ADDRESS(447,35))+INDIRECT(ADDRESS(445,36))-INDIRECT(ADDRESS(446,36))</f>
        <v>0</v>
      </c>
      <c r="AK447">
        <f>INDIRECT(ADDRESS(447,36))+INDIRECT(ADDRESS(445,37))-INDIRECT(ADDRESS(446,37))</f>
        <v>0</v>
      </c>
      <c r="AL447">
        <f>INDIRECT(ADDRESS(447,37))+INDIRECT(ADDRESS(445,38))-INDIRECT(ADDRESS(446,38))</f>
        <v>0</v>
      </c>
      <c r="AM447">
        <f>INDIRECT(ADDRESS(447,38))+INDIRECT(ADDRESS(445,39))-INDIRECT(ADDRESS(446,39))</f>
        <v>0</v>
      </c>
      <c r="AN447">
        <f>INDIRECT(ADDRESS(447,39))+INDIRECT(ADDRESS(445,40))-INDIRECT(ADDRESS(446,40))</f>
        <v>0</v>
      </c>
      <c r="AO447">
        <f>SUM(INDIRECT(ADDRESS(446,8)):INDIRECT(ADDRESS(446,39)))</f>
        <v>0</v>
      </c>
    </row>
    <row r="448" spans="1:41">
      <c r="A448" t="s">
        <v>185</v>
      </c>
      <c r="B448" t="s">
        <v>338</v>
      </c>
      <c r="C448" t="s">
        <v>339</v>
      </c>
      <c r="E448">
        <v>1</v>
      </c>
      <c r="I448" t="s">
        <v>177</v>
      </c>
    </row>
    <row r="449" spans="1:41">
      <c r="I449" t="s">
        <v>178</v>
      </c>
      <c r="J449">
        <f>IFERROR(VLOOKUP("924-700000-200",B:AB,1+8,0),0)</f>
        <v>0</v>
      </c>
      <c r="K449">
        <f>IFERROR(VLOOKUP("924-700000-200",B:AB,2+8,0),0)</f>
        <v>0</v>
      </c>
      <c r="L449">
        <f>IFERROR(VLOOKUP("924-700000-200",B:AB,3+8,0),0)</f>
        <v>0</v>
      </c>
      <c r="M449">
        <f>IFERROR(VLOOKUP("924-700000-200",B:AB,4+8,0),0)</f>
        <v>0</v>
      </c>
      <c r="N449">
        <f>IFERROR(VLOOKUP("924-700000-200",B:AB,5+8,0),0)</f>
        <v>0</v>
      </c>
      <c r="O449">
        <f>IFERROR(VLOOKUP("924-700000-200",B:AB,6+8,0),0)</f>
        <v>0</v>
      </c>
      <c r="P449">
        <f>IFERROR(VLOOKUP("924-700000-200",B:AB,7+8,0),0)</f>
        <v>0</v>
      </c>
      <c r="Q449">
        <f>IFERROR(VLOOKUP("924-700000-200",B:AB,8+8,0),0)</f>
        <v>0</v>
      </c>
      <c r="R449">
        <f>IFERROR(VLOOKUP("924-700000-200",B:AB,9+8,0),0)</f>
        <v>0</v>
      </c>
      <c r="S449">
        <f>IFERROR(VLOOKUP("924-700000-200",B:AB,10+8,0),0)</f>
        <v>0</v>
      </c>
      <c r="T449">
        <f>IFERROR(VLOOKUP("924-700000-200",B:AB,11+8,0),0)</f>
        <v>0</v>
      </c>
      <c r="U449">
        <f>IFERROR(VLOOKUP("924-700000-200",B:AB,12+8,0),0)</f>
        <v>0</v>
      </c>
      <c r="V449">
        <f>IFERROR(VLOOKUP("924-700000-200",B:AB,13+8,0),0)</f>
        <v>0</v>
      </c>
      <c r="W449">
        <f>IFERROR(VLOOKUP("924-700000-200",B:AB,14+8,0),0)</f>
        <v>0</v>
      </c>
      <c r="X449">
        <f>IFERROR(VLOOKUP("924-700000-200",B:AB,15+8,0),0)</f>
        <v>0</v>
      </c>
      <c r="Y449">
        <f>IFERROR(VLOOKUP("924-700000-200",B:AB,16+8,0),0)</f>
        <v>0</v>
      </c>
      <c r="Z449">
        <f>IFERROR(VLOOKUP("924-700000-200",B:AB,17+8,0),0)</f>
        <v>0</v>
      </c>
      <c r="AA449">
        <f>IFERROR(VLOOKUP("924-700000-200",B:AB,18+8,0),0)</f>
        <v>0</v>
      </c>
      <c r="AB449">
        <f>IFERROR(VLOOKUP("924-700000-200",B:AB,19+8,0),0)</f>
        <v>0</v>
      </c>
      <c r="AC449">
        <f>IFERROR(VLOOKUP("924-700000-200",B:AB,20+8,0),0)</f>
        <v>0</v>
      </c>
      <c r="AD449">
        <f>IFERROR(VLOOKUP("924-700000-200",B:AB,21+8,0),0)</f>
        <v>0</v>
      </c>
      <c r="AE449">
        <f>IFERROR(VLOOKUP("924-700000-200",B:AB,22+8,0),0)</f>
        <v>0</v>
      </c>
      <c r="AF449">
        <f>IFERROR(VLOOKUP("924-700000-200",B:AB,23+8,0),0)</f>
        <v>0</v>
      </c>
      <c r="AG449">
        <f>IFERROR(VLOOKUP("924-700000-200",B:AB,24+8,0),0)</f>
        <v>0</v>
      </c>
      <c r="AH449">
        <f>IFERROR(VLOOKUP("924-700000-200",B:AB,25+8,0),0)</f>
        <v>0</v>
      </c>
      <c r="AI449">
        <f>IFERROR(VLOOKUP("924-700000-200",B:AB,26+8,0),0)</f>
        <v>0</v>
      </c>
      <c r="AJ449">
        <f>IFERROR(VLOOKUP("924-700000-200",B:AB,27+8,0),0)</f>
        <v>0</v>
      </c>
      <c r="AK449">
        <f>IFERROR(VLOOKUP("924-700000-200",B:AB,28+8,0),0)</f>
        <v>0</v>
      </c>
      <c r="AL449">
        <f>IFERROR(VLOOKUP("924-700000-200",B:AB,29+8,0),0)</f>
        <v>0</v>
      </c>
      <c r="AM449">
        <f>IFERROR(VLOOKUP("924-700000-200",B:AB,30+8,0),0)</f>
        <v>0</v>
      </c>
      <c r="AN449">
        <f>IFERROR(VLOOKUP("924-700000-200",B:AB,31+8,0),0)</f>
        <v>0</v>
      </c>
      <c r="AO449">
        <f>SUN(INDIRECT(ADDRESS(448,8)):INDIRECT(ADDRESS(448,39)))</f>
        <v>0</v>
      </c>
    </row>
    <row r="450" spans="1:41">
      <c r="H450" t="s">
        <v>179</v>
      </c>
      <c r="J450">
        <f>INDIRECT(ADDRESS(450,9))+INDIRECT(ADDRESS(448,10))-INDIRECT(ADDRESS(449,10))</f>
        <v>0</v>
      </c>
      <c r="K450">
        <f>INDIRECT(ADDRESS(450,10))+INDIRECT(ADDRESS(448,11))-INDIRECT(ADDRESS(449,11))</f>
        <v>0</v>
      </c>
      <c r="L450">
        <f>INDIRECT(ADDRESS(450,11))+INDIRECT(ADDRESS(448,12))-INDIRECT(ADDRESS(449,12))</f>
        <v>0</v>
      </c>
      <c r="M450">
        <f>INDIRECT(ADDRESS(450,12))+INDIRECT(ADDRESS(448,13))-INDIRECT(ADDRESS(449,13))</f>
        <v>0</v>
      </c>
      <c r="N450">
        <f>INDIRECT(ADDRESS(450,13))+INDIRECT(ADDRESS(448,14))-INDIRECT(ADDRESS(449,14))</f>
        <v>0</v>
      </c>
      <c r="O450">
        <f>INDIRECT(ADDRESS(450,14))+INDIRECT(ADDRESS(448,15))-INDIRECT(ADDRESS(449,15))</f>
        <v>0</v>
      </c>
      <c r="P450">
        <f>INDIRECT(ADDRESS(450,15))+INDIRECT(ADDRESS(448,16))-INDIRECT(ADDRESS(449,16))</f>
        <v>0</v>
      </c>
      <c r="Q450">
        <f>INDIRECT(ADDRESS(450,16))+INDIRECT(ADDRESS(448,17))-INDIRECT(ADDRESS(449,17))</f>
        <v>0</v>
      </c>
      <c r="R450">
        <f>INDIRECT(ADDRESS(450,17))+INDIRECT(ADDRESS(448,18))-INDIRECT(ADDRESS(449,18))</f>
        <v>0</v>
      </c>
      <c r="S450">
        <f>INDIRECT(ADDRESS(450,18))+INDIRECT(ADDRESS(448,19))-INDIRECT(ADDRESS(449,19))</f>
        <v>0</v>
      </c>
      <c r="T450">
        <f>INDIRECT(ADDRESS(450,19))+INDIRECT(ADDRESS(448,20))-INDIRECT(ADDRESS(449,20))</f>
        <v>0</v>
      </c>
      <c r="U450">
        <f>INDIRECT(ADDRESS(450,20))+INDIRECT(ADDRESS(448,21))-INDIRECT(ADDRESS(449,21))</f>
        <v>0</v>
      </c>
      <c r="V450">
        <f>INDIRECT(ADDRESS(450,21))+INDIRECT(ADDRESS(448,22))-INDIRECT(ADDRESS(449,22))</f>
        <v>0</v>
      </c>
      <c r="W450">
        <f>INDIRECT(ADDRESS(450,22))+INDIRECT(ADDRESS(448,23))-INDIRECT(ADDRESS(449,23))</f>
        <v>0</v>
      </c>
      <c r="X450">
        <f>INDIRECT(ADDRESS(450,23))+INDIRECT(ADDRESS(448,24))-INDIRECT(ADDRESS(449,24))</f>
        <v>0</v>
      </c>
      <c r="Y450">
        <f>INDIRECT(ADDRESS(450,24))+INDIRECT(ADDRESS(448,25))-INDIRECT(ADDRESS(449,25))</f>
        <v>0</v>
      </c>
      <c r="Z450">
        <f>INDIRECT(ADDRESS(450,25))+INDIRECT(ADDRESS(448,26))-INDIRECT(ADDRESS(449,26))</f>
        <v>0</v>
      </c>
      <c r="AA450">
        <f>INDIRECT(ADDRESS(450,26))+INDIRECT(ADDRESS(448,27))-INDIRECT(ADDRESS(449,27))</f>
        <v>0</v>
      </c>
      <c r="AB450">
        <f>INDIRECT(ADDRESS(450,27))+INDIRECT(ADDRESS(448,28))-INDIRECT(ADDRESS(449,28))</f>
        <v>0</v>
      </c>
      <c r="AC450">
        <f>INDIRECT(ADDRESS(450,28))+INDIRECT(ADDRESS(448,29))-INDIRECT(ADDRESS(449,29))</f>
        <v>0</v>
      </c>
      <c r="AD450">
        <f>INDIRECT(ADDRESS(450,29))+INDIRECT(ADDRESS(448,30))-INDIRECT(ADDRESS(449,30))</f>
        <v>0</v>
      </c>
      <c r="AE450">
        <f>INDIRECT(ADDRESS(450,30))+INDIRECT(ADDRESS(448,31))-INDIRECT(ADDRESS(449,31))</f>
        <v>0</v>
      </c>
      <c r="AF450">
        <f>INDIRECT(ADDRESS(450,31))+INDIRECT(ADDRESS(448,32))-INDIRECT(ADDRESS(449,32))</f>
        <v>0</v>
      </c>
      <c r="AG450">
        <f>INDIRECT(ADDRESS(450,32))+INDIRECT(ADDRESS(448,33))-INDIRECT(ADDRESS(449,33))</f>
        <v>0</v>
      </c>
      <c r="AH450">
        <f>INDIRECT(ADDRESS(450,33))+INDIRECT(ADDRESS(448,34))-INDIRECT(ADDRESS(449,34))</f>
        <v>0</v>
      </c>
      <c r="AI450">
        <f>INDIRECT(ADDRESS(450,34))+INDIRECT(ADDRESS(448,35))-INDIRECT(ADDRESS(449,35))</f>
        <v>0</v>
      </c>
      <c r="AJ450">
        <f>INDIRECT(ADDRESS(450,35))+INDIRECT(ADDRESS(448,36))-INDIRECT(ADDRESS(449,36))</f>
        <v>0</v>
      </c>
      <c r="AK450">
        <f>INDIRECT(ADDRESS(450,36))+INDIRECT(ADDRESS(448,37))-INDIRECT(ADDRESS(449,37))</f>
        <v>0</v>
      </c>
      <c r="AL450">
        <f>INDIRECT(ADDRESS(450,37))+INDIRECT(ADDRESS(448,38))-INDIRECT(ADDRESS(449,38))</f>
        <v>0</v>
      </c>
      <c r="AM450">
        <f>INDIRECT(ADDRESS(450,38))+INDIRECT(ADDRESS(448,39))-INDIRECT(ADDRESS(449,39))</f>
        <v>0</v>
      </c>
      <c r="AN450">
        <f>INDIRECT(ADDRESS(450,39))+INDIRECT(ADDRESS(448,40))-INDIRECT(ADDRESS(449,40))</f>
        <v>0</v>
      </c>
      <c r="AO450">
        <f>SUM(INDIRECT(ADDRESS(449,8)):INDIRECT(ADDRESS(449,39)))</f>
        <v>0</v>
      </c>
    </row>
    <row r="451" spans="1:41">
      <c r="A451" t="s">
        <v>185</v>
      </c>
      <c r="B451" t="s">
        <v>340</v>
      </c>
      <c r="C451" t="s">
        <v>341</v>
      </c>
      <c r="E451">
        <v>1</v>
      </c>
      <c r="I451" t="s">
        <v>177</v>
      </c>
    </row>
    <row r="452" spans="1:41">
      <c r="I452" t="s">
        <v>178</v>
      </c>
      <c r="J452">
        <f>IFERROR(VLOOKUP("924-700000-200",B:AB,1+8,0),0)</f>
        <v>0</v>
      </c>
      <c r="K452">
        <f>IFERROR(VLOOKUP("924-700000-200",B:AB,2+8,0),0)</f>
        <v>0</v>
      </c>
      <c r="L452">
        <f>IFERROR(VLOOKUP("924-700000-200",B:AB,3+8,0),0)</f>
        <v>0</v>
      </c>
      <c r="M452">
        <f>IFERROR(VLOOKUP("924-700000-200",B:AB,4+8,0),0)</f>
        <v>0</v>
      </c>
      <c r="N452">
        <f>IFERROR(VLOOKUP("924-700000-200",B:AB,5+8,0),0)</f>
        <v>0</v>
      </c>
      <c r="O452">
        <f>IFERROR(VLOOKUP("924-700000-200",B:AB,6+8,0),0)</f>
        <v>0</v>
      </c>
      <c r="P452">
        <f>IFERROR(VLOOKUP("924-700000-200",B:AB,7+8,0),0)</f>
        <v>0</v>
      </c>
      <c r="Q452">
        <f>IFERROR(VLOOKUP("924-700000-200",B:AB,8+8,0),0)</f>
        <v>0</v>
      </c>
      <c r="R452">
        <f>IFERROR(VLOOKUP("924-700000-200",B:AB,9+8,0),0)</f>
        <v>0</v>
      </c>
      <c r="S452">
        <f>IFERROR(VLOOKUP("924-700000-200",B:AB,10+8,0),0)</f>
        <v>0</v>
      </c>
      <c r="T452">
        <f>IFERROR(VLOOKUP("924-700000-200",B:AB,11+8,0),0)</f>
        <v>0</v>
      </c>
      <c r="U452">
        <f>IFERROR(VLOOKUP("924-700000-200",B:AB,12+8,0),0)</f>
        <v>0</v>
      </c>
      <c r="V452">
        <f>IFERROR(VLOOKUP("924-700000-200",B:AB,13+8,0),0)</f>
        <v>0</v>
      </c>
      <c r="W452">
        <f>IFERROR(VLOOKUP("924-700000-200",B:AB,14+8,0),0)</f>
        <v>0</v>
      </c>
      <c r="X452">
        <f>IFERROR(VLOOKUP("924-700000-200",B:AB,15+8,0),0)</f>
        <v>0</v>
      </c>
      <c r="Y452">
        <f>IFERROR(VLOOKUP("924-700000-200",B:AB,16+8,0),0)</f>
        <v>0</v>
      </c>
      <c r="Z452">
        <f>IFERROR(VLOOKUP("924-700000-200",B:AB,17+8,0),0)</f>
        <v>0</v>
      </c>
      <c r="AA452">
        <f>IFERROR(VLOOKUP("924-700000-200",B:AB,18+8,0),0)</f>
        <v>0</v>
      </c>
      <c r="AB452">
        <f>IFERROR(VLOOKUP("924-700000-200",B:AB,19+8,0),0)</f>
        <v>0</v>
      </c>
      <c r="AC452">
        <f>IFERROR(VLOOKUP("924-700000-200",B:AB,20+8,0),0)</f>
        <v>0</v>
      </c>
      <c r="AD452">
        <f>IFERROR(VLOOKUP("924-700000-200",B:AB,21+8,0),0)</f>
        <v>0</v>
      </c>
      <c r="AE452">
        <f>IFERROR(VLOOKUP("924-700000-200",B:AB,22+8,0),0)</f>
        <v>0</v>
      </c>
      <c r="AF452">
        <f>IFERROR(VLOOKUP("924-700000-200",B:AB,23+8,0),0)</f>
        <v>0</v>
      </c>
      <c r="AG452">
        <f>IFERROR(VLOOKUP("924-700000-200",B:AB,24+8,0),0)</f>
        <v>0</v>
      </c>
      <c r="AH452">
        <f>IFERROR(VLOOKUP("924-700000-200",B:AB,25+8,0),0)</f>
        <v>0</v>
      </c>
      <c r="AI452">
        <f>IFERROR(VLOOKUP("924-700000-200",B:AB,26+8,0),0)</f>
        <v>0</v>
      </c>
      <c r="AJ452">
        <f>IFERROR(VLOOKUP("924-700000-200",B:AB,27+8,0),0)</f>
        <v>0</v>
      </c>
      <c r="AK452">
        <f>IFERROR(VLOOKUP("924-700000-200",B:AB,28+8,0),0)</f>
        <v>0</v>
      </c>
      <c r="AL452">
        <f>IFERROR(VLOOKUP("924-700000-200",B:AB,29+8,0),0)</f>
        <v>0</v>
      </c>
      <c r="AM452">
        <f>IFERROR(VLOOKUP("924-700000-200",B:AB,30+8,0),0)</f>
        <v>0</v>
      </c>
      <c r="AN452">
        <f>IFERROR(VLOOKUP("924-700000-200",B:AB,31+8,0),0)</f>
        <v>0</v>
      </c>
      <c r="AO452">
        <f>SUN(INDIRECT(ADDRESS(451,8)):INDIRECT(ADDRESS(451,39)))</f>
        <v>0</v>
      </c>
    </row>
    <row r="453" spans="1:41">
      <c r="H453" t="s">
        <v>179</v>
      </c>
      <c r="J453">
        <f>INDIRECT(ADDRESS(453,9))+INDIRECT(ADDRESS(451,10))-INDIRECT(ADDRESS(452,10))</f>
        <v>0</v>
      </c>
      <c r="K453">
        <f>INDIRECT(ADDRESS(453,10))+INDIRECT(ADDRESS(451,11))-INDIRECT(ADDRESS(452,11))</f>
        <v>0</v>
      </c>
      <c r="L453">
        <f>INDIRECT(ADDRESS(453,11))+INDIRECT(ADDRESS(451,12))-INDIRECT(ADDRESS(452,12))</f>
        <v>0</v>
      </c>
      <c r="M453">
        <f>INDIRECT(ADDRESS(453,12))+INDIRECT(ADDRESS(451,13))-INDIRECT(ADDRESS(452,13))</f>
        <v>0</v>
      </c>
      <c r="N453">
        <f>INDIRECT(ADDRESS(453,13))+INDIRECT(ADDRESS(451,14))-INDIRECT(ADDRESS(452,14))</f>
        <v>0</v>
      </c>
      <c r="O453">
        <f>INDIRECT(ADDRESS(453,14))+INDIRECT(ADDRESS(451,15))-INDIRECT(ADDRESS(452,15))</f>
        <v>0</v>
      </c>
      <c r="P453">
        <f>INDIRECT(ADDRESS(453,15))+INDIRECT(ADDRESS(451,16))-INDIRECT(ADDRESS(452,16))</f>
        <v>0</v>
      </c>
      <c r="Q453">
        <f>INDIRECT(ADDRESS(453,16))+INDIRECT(ADDRESS(451,17))-INDIRECT(ADDRESS(452,17))</f>
        <v>0</v>
      </c>
      <c r="R453">
        <f>INDIRECT(ADDRESS(453,17))+INDIRECT(ADDRESS(451,18))-INDIRECT(ADDRESS(452,18))</f>
        <v>0</v>
      </c>
      <c r="S453">
        <f>INDIRECT(ADDRESS(453,18))+INDIRECT(ADDRESS(451,19))-INDIRECT(ADDRESS(452,19))</f>
        <v>0</v>
      </c>
      <c r="T453">
        <f>INDIRECT(ADDRESS(453,19))+INDIRECT(ADDRESS(451,20))-INDIRECT(ADDRESS(452,20))</f>
        <v>0</v>
      </c>
      <c r="U453">
        <f>INDIRECT(ADDRESS(453,20))+INDIRECT(ADDRESS(451,21))-INDIRECT(ADDRESS(452,21))</f>
        <v>0</v>
      </c>
      <c r="V453">
        <f>INDIRECT(ADDRESS(453,21))+INDIRECT(ADDRESS(451,22))-INDIRECT(ADDRESS(452,22))</f>
        <v>0</v>
      </c>
      <c r="W453">
        <f>INDIRECT(ADDRESS(453,22))+INDIRECT(ADDRESS(451,23))-INDIRECT(ADDRESS(452,23))</f>
        <v>0</v>
      </c>
      <c r="X453">
        <f>INDIRECT(ADDRESS(453,23))+INDIRECT(ADDRESS(451,24))-INDIRECT(ADDRESS(452,24))</f>
        <v>0</v>
      </c>
      <c r="Y453">
        <f>INDIRECT(ADDRESS(453,24))+INDIRECT(ADDRESS(451,25))-INDIRECT(ADDRESS(452,25))</f>
        <v>0</v>
      </c>
      <c r="Z453">
        <f>INDIRECT(ADDRESS(453,25))+INDIRECT(ADDRESS(451,26))-INDIRECT(ADDRESS(452,26))</f>
        <v>0</v>
      </c>
      <c r="AA453">
        <f>INDIRECT(ADDRESS(453,26))+INDIRECT(ADDRESS(451,27))-INDIRECT(ADDRESS(452,27))</f>
        <v>0</v>
      </c>
      <c r="AB453">
        <f>INDIRECT(ADDRESS(453,27))+INDIRECT(ADDRESS(451,28))-INDIRECT(ADDRESS(452,28))</f>
        <v>0</v>
      </c>
      <c r="AC453">
        <f>INDIRECT(ADDRESS(453,28))+INDIRECT(ADDRESS(451,29))-INDIRECT(ADDRESS(452,29))</f>
        <v>0</v>
      </c>
      <c r="AD453">
        <f>INDIRECT(ADDRESS(453,29))+INDIRECT(ADDRESS(451,30))-INDIRECT(ADDRESS(452,30))</f>
        <v>0</v>
      </c>
      <c r="AE453">
        <f>INDIRECT(ADDRESS(453,30))+INDIRECT(ADDRESS(451,31))-INDIRECT(ADDRESS(452,31))</f>
        <v>0</v>
      </c>
      <c r="AF453">
        <f>INDIRECT(ADDRESS(453,31))+INDIRECT(ADDRESS(451,32))-INDIRECT(ADDRESS(452,32))</f>
        <v>0</v>
      </c>
      <c r="AG453">
        <f>INDIRECT(ADDRESS(453,32))+INDIRECT(ADDRESS(451,33))-INDIRECT(ADDRESS(452,33))</f>
        <v>0</v>
      </c>
      <c r="AH453">
        <f>INDIRECT(ADDRESS(453,33))+INDIRECT(ADDRESS(451,34))-INDIRECT(ADDRESS(452,34))</f>
        <v>0</v>
      </c>
      <c r="AI453">
        <f>INDIRECT(ADDRESS(453,34))+INDIRECT(ADDRESS(451,35))-INDIRECT(ADDRESS(452,35))</f>
        <v>0</v>
      </c>
      <c r="AJ453">
        <f>INDIRECT(ADDRESS(453,35))+INDIRECT(ADDRESS(451,36))-INDIRECT(ADDRESS(452,36))</f>
        <v>0</v>
      </c>
      <c r="AK453">
        <f>INDIRECT(ADDRESS(453,36))+INDIRECT(ADDRESS(451,37))-INDIRECT(ADDRESS(452,37))</f>
        <v>0</v>
      </c>
      <c r="AL453">
        <f>INDIRECT(ADDRESS(453,37))+INDIRECT(ADDRESS(451,38))-INDIRECT(ADDRESS(452,38))</f>
        <v>0</v>
      </c>
      <c r="AM453">
        <f>INDIRECT(ADDRESS(453,38))+INDIRECT(ADDRESS(451,39))-INDIRECT(ADDRESS(452,39))</f>
        <v>0</v>
      </c>
      <c r="AN453">
        <f>INDIRECT(ADDRESS(453,39))+INDIRECT(ADDRESS(451,40))-INDIRECT(ADDRESS(452,40))</f>
        <v>0</v>
      </c>
      <c r="AO453">
        <f>SUM(INDIRECT(ADDRESS(452,8)):INDIRECT(ADDRESS(452,39)))</f>
        <v>0</v>
      </c>
    </row>
    <row r="454" spans="1:41">
      <c r="A454" t="s">
        <v>185</v>
      </c>
      <c r="B454" t="s">
        <v>342</v>
      </c>
      <c r="C454" t="s">
        <v>343</v>
      </c>
      <c r="E454">
        <v>1</v>
      </c>
      <c r="I454" t="s">
        <v>177</v>
      </c>
    </row>
    <row r="455" spans="1:41">
      <c r="I455" t="s">
        <v>178</v>
      </c>
      <c r="J455">
        <f>IFERROR(VLOOKUP("924-700000-200",B:AB,1+8,0),0)</f>
        <v>0</v>
      </c>
      <c r="K455">
        <f>IFERROR(VLOOKUP("924-700000-200",B:AB,2+8,0),0)</f>
        <v>0</v>
      </c>
      <c r="L455">
        <f>IFERROR(VLOOKUP("924-700000-200",B:AB,3+8,0),0)</f>
        <v>0</v>
      </c>
      <c r="M455">
        <f>IFERROR(VLOOKUP("924-700000-200",B:AB,4+8,0),0)</f>
        <v>0</v>
      </c>
      <c r="N455">
        <f>IFERROR(VLOOKUP("924-700000-200",B:AB,5+8,0),0)</f>
        <v>0</v>
      </c>
      <c r="O455">
        <f>IFERROR(VLOOKUP("924-700000-200",B:AB,6+8,0),0)</f>
        <v>0</v>
      </c>
      <c r="P455">
        <f>IFERROR(VLOOKUP("924-700000-200",B:AB,7+8,0),0)</f>
        <v>0</v>
      </c>
      <c r="Q455">
        <f>IFERROR(VLOOKUP("924-700000-200",B:AB,8+8,0),0)</f>
        <v>0</v>
      </c>
      <c r="R455">
        <f>IFERROR(VLOOKUP("924-700000-200",B:AB,9+8,0),0)</f>
        <v>0</v>
      </c>
      <c r="S455">
        <f>IFERROR(VLOOKUP("924-700000-200",B:AB,10+8,0),0)</f>
        <v>0</v>
      </c>
      <c r="T455">
        <f>IFERROR(VLOOKUP("924-700000-200",B:AB,11+8,0),0)</f>
        <v>0</v>
      </c>
      <c r="U455">
        <f>IFERROR(VLOOKUP("924-700000-200",B:AB,12+8,0),0)</f>
        <v>0</v>
      </c>
      <c r="V455">
        <f>IFERROR(VLOOKUP("924-700000-200",B:AB,13+8,0),0)</f>
        <v>0</v>
      </c>
      <c r="W455">
        <f>IFERROR(VLOOKUP("924-700000-200",B:AB,14+8,0),0)</f>
        <v>0</v>
      </c>
      <c r="X455">
        <f>IFERROR(VLOOKUP("924-700000-200",B:AB,15+8,0),0)</f>
        <v>0</v>
      </c>
      <c r="Y455">
        <f>IFERROR(VLOOKUP("924-700000-200",B:AB,16+8,0),0)</f>
        <v>0</v>
      </c>
      <c r="Z455">
        <f>IFERROR(VLOOKUP("924-700000-200",B:AB,17+8,0),0)</f>
        <v>0</v>
      </c>
      <c r="AA455">
        <f>IFERROR(VLOOKUP("924-700000-200",B:AB,18+8,0),0)</f>
        <v>0</v>
      </c>
      <c r="AB455">
        <f>IFERROR(VLOOKUP("924-700000-200",B:AB,19+8,0),0)</f>
        <v>0</v>
      </c>
      <c r="AC455">
        <f>IFERROR(VLOOKUP("924-700000-200",B:AB,20+8,0),0)</f>
        <v>0</v>
      </c>
      <c r="AD455">
        <f>IFERROR(VLOOKUP("924-700000-200",B:AB,21+8,0),0)</f>
        <v>0</v>
      </c>
      <c r="AE455">
        <f>IFERROR(VLOOKUP("924-700000-200",B:AB,22+8,0),0)</f>
        <v>0</v>
      </c>
      <c r="AF455">
        <f>IFERROR(VLOOKUP("924-700000-200",B:AB,23+8,0),0)</f>
        <v>0</v>
      </c>
      <c r="AG455">
        <f>IFERROR(VLOOKUP("924-700000-200",B:AB,24+8,0),0)</f>
        <v>0</v>
      </c>
      <c r="AH455">
        <f>IFERROR(VLOOKUP("924-700000-200",B:AB,25+8,0),0)</f>
        <v>0</v>
      </c>
      <c r="AI455">
        <f>IFERROR(VLOOKUP("924-700000-200",B:AB,26+8,0),0)</f>
        <v>0</v>
      </c>
      <c r="AJ455">
        <f>IFERROR(VLOOKUP("924-700000-200",B:AB,27+8,0),0)</f>
        <v>0</v>
      </c>
      <c r="AK455">
        <f>IFERROR(VLOOKUP("924-700000-200",B:AB,28+8,0),0)</f>
        <v>0</v>
      </c>
      <c r="AL455">
        <f>IFERROR(VLOOKUP("924-700000-200",B:AB,29+8,0),0)</f>
        <v>0</v>
      </c>
      <c r="AM455">
        <f>IFERROR(VLOOKUP("924-700000-200",B:AB,30+8,0),0)</f>
        <v>0</v>
      </c>
      <c r="AN455">
        <f>IFERROR(VLOOKUP("924-700000-200",B:AB,31+8,0),0)</f>
        <v>0</v>
      </c>
      <c r="AO455">
        <f>SUN(INDIRECT(ADDRESS(454,8)):INDIRECT(ADDRESS(454,39)))</f>
        <v>0</v>
      </c>
    </row>
    <row r="456" spans="1:41">
      <c r="H456" t="s">
        <v>179</v>
      </c>
      <c r="J456">
        <f>INDIRECT(ADDRESS(456,9))+INDIRECT(ADDRESS(454,10))-INDIRECT(ADDRESS(455,10))</f>
        <v>0</v>
      </c>
      <c r="K456">
        <f>INDIRECT(ADDRESS(456,10))+INDIRECT(ADDRESS(454,11))-INDIRECT(ADDRESS(455,11))</f>
        <v>0</v>
      </c>
      <c r="L456">
        <f>INDIRECT(ADDRESS(456,11))+INDIRECT(ADDRESS(454,12))-INDIRECT(ADDRESS(455,12))</f>
        <v>0</v>
      </c>
      <c r="M456">
        <f>INDIRECT(ADDRESS(456,12))+INDIRECT(ADDRESS(454,13))-INDIRECT(ADDRESS(455,13))</f>
        <v>0</v>
      </c>
      <c r="N456">
        <f>INDIRECT(ADDRESS(456,13))+INDIRECT(ADDRESS(454,14))-INDIRECT(ADDRESS(455,14))</f>
        <v>0</v>
      </c>
      <c r="O456">
        <f>INDIRECT(ADDRESS(456,14))+INDIRECT(ADDRESS(454,15))-INDIRECT(ADDRESS(455,15))</f>
        <v>0</v>
      </c>
      <c r="P456">
        <f>INDIRECT(ADDRESS(456,15))+INDIRECT(ADDRESS(454,16))-INDIRECT(ADDRESS(455,16))</f>
        <v>0</v>
      </c>
      <c r="Q456">
        <f>INDIRECT(ADDRESS(456,16))+INDIRECT(ADDRESS(454,17))-INDIRECT(ADDRESS(455,17))</f>
        <v>0</v>
      </c>
      <c r="R456">
        <f>INDIRECT(ADDRESS(456,17))+INDIRECT(ADDRESS(454,18))-INDIRECT(ADDRESS(455,18))</f>
        <v>0</v>
      </c>
      <c r="S456">
        <f>INDIRECT(ADDRESS(456,18))+INDIRECT(ADDRESS(454,19))-INDIRECT(ADDRESS(455,19))</f>
        <v>0</v>
      </c>
      <c r="T456">
        <f>INDIRECT(ADDRESS(456,19))+INDIRECT(ADDRESS(454,20))-INDIRECT(ADDRESS(455,20))</f>
        <v>0</v>
      </c>
      <c r="U456">
        <f>INDIRECT(ADDRESS(456,20))+INDIRECT(ADDRESS(454,21))-INDIRECT(ADDRESS(455,21))</f>
        <v>0</v>
      </c>
      <c r="V456">
        <f>INDIRECT(ADDRESS(456,21))+INDIRECT(ADDRESS(454,22))-INDIRECT(ADDRESS(455,22))</f>
        <v>0</v>
      </c>
      <c r="W456">
        <f>INDIRECT(ADDRESS(456,22))+INDIRECT(ADDRESS(454,23))-INDIRECT(ADDRESS(455,23))</f>
        <v>0</v>
      </c>
      <c r="X456">
        <f>INDIRECT(ADDRESS(456,23))+INDIRECT(ADDRESS(454,24))-INDIRECT(ADDRESS(455,24))</f>
        <v>0</v>
      </c>
      <c r="Y456">
        <f>INDIRECT(ADDRESS(456,24))+INDIRECT(ADDRESS(454,25))-INDIRECT(ADDRESS(455,25))</f>
        <v>0</v>
      </c>
      <c r="Z456">
        <f>INDIRECT(ADDRESS(456,25))+INDIRECT(ADDRESS(454,26))-INDIRECT(ADDRESS(455,26))</f>
        <v>0</v>
      </c>
      <c r="AA456">
        <f>INDIRECT(ADDRESS(456,26))+INDIRECT(ADDRESS(454,27))-INDIRECT(ADDRESS(455,27))</f>
        <v>0</v>
      </c>
      <c r="AB456">
        <f>INDIRECT(ADDRESS(456,27))+INDIRECT(ADDRESS(454,28))-INDIRECT(ADDRESS(455,28))</f>
        <v>0</v>
      </c>
      <c r="AC456">
        <f>INDIRECT(ADDRESS(456,28))+INDIRECT(ADDRESS(454,29))-INDIRECT(ADDRESS(455,29))</f>
        <v>0</v>
      </c>
      <c r="AD456">
        <f>INDIRECT(ADDRESS(456,29))+INDIRECT(ADDRESS(454,30))-INDIRECT(ADDRESS(455,30))</f>
        <v>0</v>
      </c>
      <c r="AE456">
        <f>INDIRECT(ADDRESS(456,30))+INDIRECT(ADDRESS(454,31))-INDIRECT(ADDRESS(455,31))</f>
        <v>0</v>
      </c>
      <c r="AF456">
        <f>INDIRECT(ADDRESS(456,31))+INDIRECT(ADDRESS(454,32))-INDIRECT(ADDRESS(455,32))</f>
        <v>0</v>
      </c>
      <c r="AG456">
        <f>INDIRECT(ADDRESS(456,32))+INDIRECT(ADDRESS(454,33))-INDIRECT(ADDRESS(455,33))</f>
        <v>0</v>
      </c>
      <c r="AH456">
        <f>INDIRECT(ADDRESS(456,33))+INDIRECT(ADDRESS(454,34))-INDIRECT(ADDRESS(455,34))</f>
        <v>0</v>
      </c>
      <c r="AI456">
        <f>INDIRECT(ADDRESS(456,34))+INDIRECT(ADDRESS(454,35))-INDIRECT(ADDRESS(455,35))</f>
        <v>0</v>
      </c>
      <c r="AJ456">
        <f>INDIRECT(ADDRESS(456,35))+INDIRECT(ADDRESS(454,36))-INDIRECT(ADDRESS(455,36))</f>
        <v>0</v>
      </c>
      <c r="AK456">
        <f>INDIRECT(ADDRESS(456,36))+INDIRECT(ADDRESS(454,37))-INDIRECT(ADDRESS(455,37))</f>
        <v>0</v>
      </c>
      <c r="AL456">
        <f>INDIRECT(ADDRESS(456,37))+INDIRECT(ADDRESS(454,38))-INDIRECT(ADDRESS(455,38))</f>
        <v>0</v>
      </c>
      <c r="AM456">
        <f>INDIRECT(ADDRESS(456,38))+INDIRECT(ADDRESS(454,39))-INDIRECT(ADDRESS(455,39))</f>
        <v>0</v>
      </c>
      <c r="AN456">
        <f>INDIRECT(ADDRESS(456,39))+INDIRECT(ADDRESS(454,40))-INDIRECT(ADDRESS(455,40))</f>
        <v>0</v>
      </c>
      <c r="AO456">
        <f>SUM(INDIRECT(ADDRESS(455,8)):INDIRECT(ADDRESS(455,39)))</f>
        <v>0</v>
      </c>
    </row>
    <row r="457" spans="1:41">
      <c r="A457" t="s">
        <v>185</v>
      </c>
      <c r="B457" t="s">
        <v>344</v>
      </c>
      <c r="C457" t="s">
        <v>345</v>
      </c>
      <c r="E457">
        <v>1</v>
      </c>
      <c r="I457" t="s">
        <v>177</v>
      </c>
    </row>
    <row r="458" spans="1:41">
      <c r="I458" t="s">
        <v>178</v>
      </c>
      <c r="J458">
        <f>IFERROR(VLOOKUP("924-700000-200",B:AB,1+8,0),0)</f>
        <v>0</v>
      </c>
      <c r="K458">
        <f>IFERROR(VLOOKUP("924-700000-200",B:AB,2+8,0),0)</f>
        <v>0</v>
      </c>
      <c r="L458">
        <f>IFERROR(VLOOKUP("924-700000-200",B:AB,3+8,0),0)</f>
        <v>0</v>
      </c>
      <c r="M458">
        <f>IFERROR(VLOOKUP("924-700000-200",B:AB,4+8,0),0)</f>
        <v>0</v>
      </c>
      <c r="N458">
        <f>IFERROR(VLOOKUP("924-700000-200",B:AB,5+8,0),0)</f>
        <v>0</v>
      </c>
      <c r="O458">
        <f>IFERROR(VLOOKUP("924-700000-200",B:AB,6+8,0),0)</f>
        <v>0</v>
      </c>
      <c r="P458">
        <f>IFERROR(VLOOKUP("924-700000-200",B:AB,7+8,0),0)</f>
        <v>0</v>
      </c>
      <c r="Q458">
        <f>IFERROR(VLOOKUP("924-700000-200",B:AB,8+8,0),0)</f>
        <v>0</v>
      </c>
      <c r="R458">
        <f>IFERROR(VLOOKUP("924-700000-200",B:AB,9+8,0),0)</f>
        <v>0</v>
      </c>
      <c r="S458">
        <f>IFERROR(VLOOKUP("924-700000-200",B:AB,10+8,0),0)</f>
        <v>0</v>
      </c>
      <c r="T458">
        <f>IFERROR(VLOOKUP("924-700000-200",B:AB,11+8,0),0)</f>
        <v>0</v>
      </c>
      <c r="U458">
        <f>IFERROR(VLOOKUP("924-700000-200",B:AB,12+8,0),0)</f>
        <v>0</v>
      </c>
      <c r="V458">
        <f>IFERROR(VLOOKUP("924-700000-200",B:AB,13+8,0),0)</f>
        <v>0</v>
      </c>
      <c r="W458">
        <f>IFERROR(VLOOKUP("924-700000-200",B:AB,14+8,0),0)</f>
        <v>0</v>
      </c>
      <c r="X458">
        <f>IFERROR(VLOOKUP("924-700000-200",B:AB,15+8,0),0)</f>
        <v>0</v>
      </c>
      <c r="Y458">
        <f>IFERROR(VLOOKUP("924-700000-200",B:AB,16+8,0),0)</f>
        <v>0</v>
      </c>
      <c r="Z458">
        <f>IFERROR(VLOOKUP("924-700000-200",B:AB,17+8,0),0)</f>
        <v>0</v>
      </c>
      <c r="AA458">
        <f>IFERROR(VLOOKUP("924-700000-200",B:AB,18+8,0),0)</f>
        <v>0</v>
      </c>
      <c r="AB458">
        <f>IFERROR(VLOOKUP("924-700000-200",B:AB,19+8,0),0)</f>
        <v>0</v>
      </c>
      <c r="AC458">
        <f>IFERROR(VLOOKUP("924-700000-200",B:AB,20+8,0),0)</f>
        <v>0</v>
      </c>
      <c r="AD458">
        <f>IFERROR(VLOOKUP("924-700000-200",B:AB,21+8,0),0)</f>
        <v>0</v>
      </c>
      <c r="AE458">
        <f>IFERROR(VLOOKUP("924-700000-200",B:AB,22+8,0),0)</f>
        <v>0</v>
      </c>
      <c r="AF458">
        <f>IFERROR(VLOOKUP("924-700000-200",B:AB,23+8,0),0)</f>
        <v>0</v>
      </c>
      <c r="AG458">
        <f>IFERROR(VLOOKUP("924-700000-200",B:AB,24+8,0),0)</f>
        <v>0</v>
      </c>
      <c r="AH458">
        <f>IFERROR(VLOOKUP("924-700000-200",B:AB,25+8,0),0)</f>
        <v>0</v>
      </c>
      <c r="AI458">
        <f>IFERROR(VLOOKUP("924-700000-200",B:AB,26+8,0),0)</f>
        <v>0</v>
      </c>
      <c r="AJ458">
        <f>IFERROR(VLOOKUP("924-700000-200",B:AB,27+8,0),0)</f>
        <v>0</v>
      </c>
      <c r="AK458">
        <f>IFERROR(VLOOKUP("924-700000-200",B:AB,28+8,0),0)</f>
        <v>0</v>
      </c>
      <c r="AL458">
        <f>IFERROR(VLOOKUP("924-700000-200",B:AB,29+8,0),0)</f>
        <v>0</v>
      </c>
      <c r="AM458">
        <f>IFERROR(VLOOKUP("924-700000-200",B:AB,30+8,0),0)</f>
        <v>0</v>
      </c>
      <c r="AN458">
        <f>IFERROR(VLOOKUP("924-700000-200",B:AB,31+8,0),0)</f>
        <v>0</v>
      </c>
      <c r="AO458">
        <f>SUN(INDIRECT(ADDRESS(457,8)):INDIRECT(ADDRESS(457,39)))</f>
        <v>0</v>
      </c>
    </row>
    <row r="459" spans="1:41">
      <c r="H459" t="s">
        <v>179</v>
      </c>
      <c r="J459">
        <f>INDIRECT(ADDRESS(459,9))+INDIRECT(ADDRESS(457,10))-INDIRECT(ADDRESS(458,10))</f>
        <v>0</v>
      </c>
      <c r="K459">
        <f>INDIRECT(ADDRESS(459,10))+INDIRECT(ADDRESS(457,11))-INDIRECT(ADDRESS(458,11))</f>
        <v>0</v>
      </c>
      <c r="L459">
        <f>INDIRECT(ADDRESS(459,11))+INDIRECT(ADDRESS(457,12))-INDIRECT(ADDRESS(458,12))</f>
        <v>0</v>
      </c>
      <c r="M459">
        <f>INDIRECT(ADDRESS(459,12))+INDIRECT(ADDRESS(457,13))-INDIRECT(ADDRESS(458,13))</f>
        <v>0</v>
      </c>
      <c r="N459">
        <f>INDIRECT(ADDRESS(459,13))+INDIRECT(ADDRESS(457,14))-INDIRECT(ADDRESS(458,14))</f>
        <v>0</v>
      </c>
      <c r="O459">
        <f>INDIRECT(ADDRESS(459,14))+INDIRECT(ADDRESS(457,15))-INDIRECT(ADDRESS(458,15))</f>
        <v>0</v>
      </c>
      <c r="P459">
        <f>INDIRECT(ADDRESS(459,15))+INDIRECT(ADDRESS(457,16))-INDIRECT(ADDRESS(458,16))</f>
        <v>0</v>
      </c>
      <c r="Q459">
        <f>INDIRECT(ADDRESS(459,16))+INDIRECT(ADDRESS(457,17))-INDIRECT(ADDRESS(458,17))</f>
        <v>0</v>
      </c>
      <c r="R459">
        <f>INDIRECT(ADDRESS(459,17))+INDIRECT(ADDRESS(457,18))-INDIRECT(ADDRESS(458,18))</f>
        <v>0</v>
      </c>
      <c r="S459">
        <f>INDIRECT(ADDRESS(459,18))+INDIRECT(ADDRESS(457,19))-INDIRECT(ADDRESS(458,19))</f>
        <v>0</v>
      </c>
      <c r="T459">
        <f>INDIRECT(ADDRESS(459,19))+INDIRECT(ADDRESS(457,20))-INDIRECT(ADDRESS(458,20))</f>
        <v>0</v>
      </c>
      <c r="U459">
        <f>INDIRECT(ADDRESS(459,20))+INDIRECT(ADDRESS(457,21))-INDIRECT(ADDRESS(458,21))</f>
        <v>0</v>
      </c>
      <c r="V459">
        <f>INDIRECT(ADDRESS(459,21))+INDIRECT(ADDRESS(457,22))-INDIRECT(ADDRESS(458,22))</f>
        <v>0</v>
      </c>
      <c r="W459">
        <f>INDIRECT(ADDRESS(459,22))+INDIRECT(ADDRESS(457,23))-INDIRECT(ADDRESS(458,23))</f>
        <v>0</v>
      </c>
      <c r="X459">
        <f>INDIRECT(ADDRESS(459,23))+INDIRECT(ADDRESS(457,24))-INDIRECT(ADDRESS(458,24))</f>
        <v>0</v>
      </c>
      <c r="Y459">
        <f>INDIRECT(ADDRESS(459,24))+INDIRECT(ADDRESS(457,25))-INDIRECT(ADDRESS(458,25))</f>
        <v>0</v>
      </c>
      <c r="Z459">
        <f>INDIRECT(ADDRESS(459,25))+INDIRECT(ADDRESS(457,26))-INDIRECT(ADDRESS(458,26))</f>
        <v>0</v>
      </c>
      <c r="AA459">
        <f>INDIRECT(ADDRESS(459,26))+INDIRECT(ADDRESS(457,27))-INDIRECT(ADDRESS(458,27))</f>
        <v>0</v>
      </c>
      <c r="AB459">
        <f>INDIRECT(ADDRESS(459,27))+INDIRECT(ADDRESS(457,28))-INDIRECT(ADDRESS(458,28))</f>
        <v>0</v>
      </c>
      <c r="AC459">
        <f>INDIRECT(ADDRESS(459,28))+INDIRECT(ADDRESS(457,29))-INDIRECT(ADDRESS(458,29))</f>
        <v>0</v>
      </c>
      <c r="AD459">
        <f>INDIRECT(ADDRESS(459,29))+INDIRECT(ADDRESS(457,30))-INDIRECT(ADDRESS(458,30))</f>
        <v>0</v>
      </c>
      <c r="AE459">
        <f>INDIRECT(ADDRESS(459,30))+INDIRECT(ADDRESS(457,31))-INDIRECT(ADDRESS(458,31))</f>
        <v>0</v>
      </c>
      <c r="AF459">
        <f>INDIRECT(ADDRESS(459,31))+INDIRECT(ADDRESS(457,32))-INDIRECT(ADDRESS(458,32))</f>
        <v>0</v>
      </c>
      <c r="AG459">
        <f>INDIRECT(ADDRESS(459,32))+INDIRECT(ADDRESS(457,33))-INDIRECT(ADDRESS(458,33))</f>
        <v>0</v>
      </c>
      <c r="AH459">
        <f>INDIRECT(ADDRESS(459,33))+INDIRECT(ADDRESS(457,34))-INDIRECT(ADDRESS(458,34))</f>
        <v>0</v>
      </c>
      <c r="AI459">
        <f>INDIRECT(ADDRESS(459,34))+INDIRECT(ADDRESS(457,35))-INDIRECT(ADDRESS(458,35))</f>
        <v>0</v>
      </c>
      <c r="AJ459">
        <f>INDIRECT(ADDRESS(459,35))+INDIRECT(ADDRESS(457,36))-INDIRECT(ADDRESS(458,36))</f>
        <v>0</v>
      </c>
      <c r="AK459">
        <f>INDIRECT(ADDRESS(459,36))+INDIRECT(ADDRESS(457,37))-INDIRECT(ADDRESS(458,37))</f>
        <v>0</v>
      </c>
      <c r="AL459">
        <f>INDIRECT(ADDRESS(459,37))+INDIRECT(ADDRESS(457,38))-INDIRECT(ADDRESS(458,38))</f>
        <v>0</v>
      </c>
      <c r="AM459">
        <f>INDIRECT(ADDRESS(459,38))+INDIRECT(ADDRESS(457,39))-INDIRECT(ADDRESS(458,39))</f>
        <v>0</v>
      </c>
      <c r="AN459">
        <f>INDIRECT(ADDRESS(459,39))+INDIRECT(ADDRESS(457,40))-INDIRECT(ADDRESS(458,40))</f>
        <v>0</v>
      </c>
      <c r="AO459">
        <f>SUM(INDIRECT(ADDRESS(458,8)):INDIRECT(ADDRESS(458,39)))</f>
        <v>0</v>
      </c>
    </row>
    <row r="460" spans="1:41">
      <c r="A460" t="s">
        <v>8</v>
      </c>
      <c r="B460" t="s">
        <v>40</v>
      </c>
      <c r="C460" t="s">
        <v>41</v>
      </c>
      <c r="E460">
        <v>1</v>
      </c>
      <c r="I460" t="s">
        <v>177</v>
      </c>
    </row>
    <row r="461" spans="1:41">
      <c r="I461" t="s">
        <v>178</v>
      </c>
      <c r="J461">
        <f>IFERROR(VLOOKUP("824-701000-100",Out!B:AB,1+8,0),0)</f>
        <v>0</v>
      </c>
      <c r="K461">
        <f>IFERROR(VLOOKUP("824-701000-100",Out!B:AB,2+8,0),0)</f>
        <v>0</v>
      </c>
      <c r="L461">
        <f>IFERROR(VLOOKUP("824-701000-100",Out!B:AB,3+8,0),0)</f>
        <v>0</v>
      </c>
      <c r="M461">
        <f>IFERROR(VLOOKUP("824-701000-100",Out!B:AB,4+8,0),0)</f>
        <v>0</v>
      </c>
      <c r="N461">
        <f>IFERROR(VLOOKUP("824-701000-100",Out!B:AB,5+8,0),0)</f>
        <v>0</v>
      </c>
      <c r="O461">
        <f>IFERROR(VLOOKUP("824-701000-100",Out!B:AB,6+8,0),0)</f>
        <v>0</v>
      </c>
      <c r="P461">
        <f>IFERROR(VLOOKUP("824-701000-100",Out!B:AB,7+8,0),0)</f>
        <v>0</v>
      </c>
      <c r="Q461">
        <f>IFERROR(VLOOKUP("824-701000-100",Out!B:AB,8+8,0),0)</f>
        <v>0</v>
      </c>
      <c r="R461">
        <f>IFERROR(VLOOKUP("824-701000-100",Out!B:AB,9+8,0),0)</f>
        <v>0</v>
      </c>
      <c r="S461">
        <f>IFERROR(VLOOKUP("824-701000-100",Out!B:AB,10+8,0),0)</f>
        <v>0</v>
      </c>
      <c r="T461">
        <f>IFERROR(VLOOKUP("824-701000-100",Out!B:AB,11+8,0),0)</f>
        <v>0</v>
      </c>
      <c r="U461">
        <f>IFERROR(VLOOKUP("824-701000-100",Out!B:AB,12+8,0),0)</f>
        <v>0</v>
      </c>
      <c r="V461">
        <f>IFERROR(VLOOKUP("824-701000-100",Out!B:AB,13+8,0),0)</f>
        <v>0</v>
      </c>
      <c r="W461">
        <f>IFERROR(VLOOKUP("824-701000-100",Out!B:AB,14+8,0),0)</f>
        <v>0</v>
      </c>
      <c r="X461">
        <f>IFERROR(VLOOKUP("824-701000-100",Out!B:AB,15+8,0),0)</f>
        <v>0</v>
      </c>
      <c r="Y461">
        <f>IFERROR(VLOOKUP("824-701000-100",Out!B:AB,16+8,0),0)</f>
        <v>0</v>
      </c>
      <c r="Z461">
        <f>IFERROR(VLOOKUP("824-701000-100",Out!B:AB,17+8,0),0)</f>
        <v>0</v>
      </c>
      <c r="AA461">
        <f>IFERROR(VLOOKUP("824-701000-100",Out!B:AB,18+8,0),0)</f>
        <v>0</v>
      </c>
      <c r="AB461">
        <f>IFERROR(VLOOKUP("824-701000-100",Out!B:AB,19+8,0),0)</f>
        <v>0</v>
      </c>
      <c r="AC461">
        <f>IFERROR(VLOOKUP("824-701000-100",Out!B:AB,20+8,0),0)</f>
        <v>0</v>
      </c>
      <c r="AD461">
        <f>IFERROR(VLOOKUP("824-701000-100",Out!B:AB,21+8,0),0)</f>
        <v>0</v>
      </c>
      <c r="AE461">
        <f>IFERROR(VLOOKUP("824-701000-100",Out!B:AB,22+8,0),0)</f>
        <v>0</v>
      </c>
      <c r="AF461">
        <f>IFERROR(VLOOKUP("824-701000-100",Out!B:AB,23+8,0),0)</f>
        <v>0</v>
      </c>
      <c r="AG461">
        <f>IFERROR(VLOOKUP("824-701000-100",Out!B:AB,24+8,0),0)</f>
        <v>0</v>
      </c>
      <c r="AH461">
        <f>IFERROR(VLOOKUP("824-701000-100",Out!B:AB,25+8,0),0)</f>
        <v>0</v>
      </c>
      <c r="AI461">
        <f>IFERROR(VLOOKUP("824-701000-100",Out!B:AB,26+8,0),0)</f>
        <v>0</v>
      </c>
      <c r="AJ461">
        <f>IFERROR(VLOOKUP("824-701000-100",Out!B:AB,27+8,0),0)</f>
        <v>0</v>
      </c>
      <c r="AK461">
        <f>IFERROR(VLOOKUP("824-701000-100",Out!B:AB,28+8,0),0)</f>
        <v>0</v>
      </c>
      <c r="AL461">
        <f>IFERROR(VLOOKUP("824-701000-100",Out!B:AB,29+8,0),0)</f>
        <v>0</v>
      </c>
      <c r="AM461">
        <f>IFERROR(VLOOKUP("824-701000-100",Out!B:AB,30+8,0),0)</f>
        <v>0</v>
      </c>
      <c r="AN461">
        <f>IFERROR(VLOOKUP("824-701000-100",Out!B:AB,31+8,0),0)</f>
        <v>0</v>
      </c>
      <c r="AO461">
        <f>SUN(INDIRECT(ADDRESS(460,8)):INDIRECT(ADDRESS(460,39)))</f>
        <v>0</v>
      </c>
    </row>
    <row r="462" spans="1:41">
      <c r="H462" t="s">
        <v>179</v>
      </c>
      <c r="J462">
        <f>INDIRECT(ADDRESS(462,9))+INDIRECT(ADDRESS(460,10))-INDIRECT(ADDRESS(461,10))</f>
        <v>0</v>
      </c>
      <c r="K462">
        <f>INDIRECT(ADDRESS(462,10))+INDIRECT(ADDRESS(460,11))-INDIRECT(ADDRESS(461,11))</f>
        <v>0</v>
      </c>
      <c r="L462">
        <f>INDIRECT(ADDRESS(462,11))+INDIRECT(ADDRESS(460,12))-INDIRECT(ADDRESS(461,12))</f>
        <v>0</v>
      </c>
      <c r="M462">
        <f>INDIRECT(ADDRESS(462,12))+INDIRECT(ADDRESS(460,13))-INDIRECT(ADDRESS(461,13))</f>
        <v>0</v>
      </c>
      <c r="N462">
        <f>INDIRECT(ADDRESS(462,13))+INDIRECT(ADDRESS(460,14))-INDIRECT(ADDRESS(461,14))</f>
        <v>0</v>
      </c>
      <c r="O462">
        <f>INDIRECT(ADDRESS(462,14))+INDIRECT(ADDRESS(460,15))-INDIRECT(ADDRESS(461,15))</f>
        <v>0</v>
      </c>
      <c r="P462">
        <f>INDIRECT(ADDRESS(462,15))+INDIRECT(ADDRESS(460,16))-INDIRECT(ADDRESS(461,16))</f>
        <v>0</v>
      </c>
      <c r="Q462">
        <f>INDIRECT(ADDRESS(462,16))+INDIRECT(ADDRESS(460,17))-INDIRECT(ADDRESS(461,17))</f>
        <v>0</v>
      </c>
      <c r="R462">
        <f>INDIRECT(ADDRESS(462,17))+INDIRECT(ADDRESS(460,18))-INDIRECT(ADDRESS(461,18))</f>
        <v>0</v>
      </c>
      <c r="S462">
        <f>INDIRECT(ADDRESS(462,18))+INDIRECT(ADDRESS(460,19))-INDIRECT(ADDRESS(461,19))</f>
        <v>0</v>
      </c>
      <c r="T462">
        <f>INDIRECT(ADDRESS(462,19))+INDIRECT(ADDRESS(460,20))-INDIRECT(ADDRESS(461,20))</f>
        <v>0</v>
      </c>
      <c r="U462">
        <f>INDIRECT(ADDRESS(462,20))+INDIRECT(ADDRESS(460,21))-INDIRECT(ADDRESS(461,21))</f>
        <v>0</v>
      </c>
      <c r="V462">
        <f>INDIRECT(ADDRESS(462,21))+INDIRECT(ADDRESS(460,22))-INDIRECT(ADDRESS(461,22))</f>
        <v>0</v>
      </c>
      <c r="W462">
        <f>INDIRECT(ADDRESS(462,22))+INDIRECT(ADDRESS(460,23))-INDIRECT(ADDRESS(461,23))</f>
        <v>0</v>
      </c>
      <c r="X462">
        <f>INDIRECT(ADDRESS(462,23))+INDIRECT(ADDRESS(460,24))-INDIRECT(ADDRESS(461,24))</f>
        <v>0</v>
      </c>
      <c r="Y462">
        <f>INDIRECT(ADDRESS(462,24))+INDIRECT(ADDRESS(460,25))-INDIRECT(ADDRESS(461,25))</f>
        <v>0</v>
      </c>
      <c r="Z462">
        <f>INDIRECT(ADDRESS(462,25))+INDIRECT(ADDRESS(460,26))-INDIRECT(ADDRESS(461,26))</f>
        <v>0</v>
      </c>
      <c r="AA462">
        <f>INDIRECT(ADDRESS(462,26))+INDIRECT(ADDRESS(460,27))-INDIRECT(ADDRESS(461,27))</f>
        <v>0</v>
      </c>
      <c r="AB462">
        <f>INDIRECT(ADDRESS(462,27))+INDIRECT(ADDRESS(460,28))-INDIRECT(ADDRESS(461,28))</f>
        <v>0</v>
      </c>
      <c r="AC462">
        <f>INDIRECT(ADDRESS(462,28))+INDIRECT(ADDRESS(460,29))-INDIRECT(ADDRESS(461,29))</f>
        <v>0</v>
      </c>
      <c r="AD462">
        <f>INDIRECT(ADDRESS(462,29))+INDIRECT(ADDRESS(460,30))-INDIRECT(ADDRESS(461,30))</f>
        <v>0</v>
      </c>
      <c r="AE462">
        <f>INDIRECT(ADDRESS(462,30))+INDIRECT(ADDRESS(460,31))-INDIRECT(ADDRESS(461,31))</f>
        <v>0</v>
      </c>
      <c r="AF462">
        <f>INDIRECT(ADDRESS(462,31))+INDIRECT(ADDRESS(460,32))-INDIRECT(ADDRESS(461,32))</f>
        <v>0</v>
      </c>
      <c r="AG462">
        <f>INDIRECT(ADDRESS(462,32))+INDIRECT(ADDRESS(460,33))-INDIRECT(ADDRESS(461,33))</f>
        <v>0</v>
      </c>
      <c r="AH462">
        <f>INDIRECT(ADDRESS(462,33))+INDIRECT(ADDRESS(460,34))-INDIRECT(ADDRESS(461,34))</f>
        <v>0</v>
      </c>
      <c r="AI462">
        <f>INDIRECT(ADDRESS(462,34))+INDIRECT(ADDRESS(460,35))-INDIRECT(ADDRESS(461,35))</f>
        <v>0</v>
      </c>
      <c r="AJ462">
        <f>INDIRECT(ADDRESS(462,35))+INDIRECT(ADDRESS(460,36))-INDIRECT(ADDRESS(461,36))</f>
        <v>0</v>
      </c>
      <c r="AK462">
        <f>INDIRECT(ADDRESS(462,36))+INDIRECT(ADDRESS(460,37))-INDIRECT(ADDRESS(461,37))</f>
        <v>0</v>
      </c>
      <c r="AL462">
        <f>INDIRECT(ADDRESS(462,37))+INDIRECT(ADDRESS(460,38))-INDIRECT(ADDRESS(461,38))</f>
        <v>0</v>
      </c>
      <c r="AM462">
        <f>INDIRECT(ADDRESS(462,38))+INDIRECT(ADDRESS(460,39))-INDIRECT(ADDRESS(461,39))</f>
        <v>0</v>
      </c>
      <c r="AN462">
        <f>INDIRECT(ADDRESS(462,39))+INDIRECT(ADDRESS(460,40))-INDIRECT(ADDRESS(461,40))</f>
        <v>0</v>
      </c>
      <c r="AO462">
        <f>SUM(INDIRECT(ADDRESS(461,8)):INDIRECT(ADDRESS(461,39)))</f>
        <v>0</v>
      </c>
    </row>
    <row r="463" spans="1:41">
      <c r="A463" t="s">
        <v>180</v>
      </c>
      <c r="B463" t="s">
        <v>40</v>
      </c>
      <c r="C463" t="s">
        <v>348</v>
      </c>
      <c r="E463">
        <v>1</v>
      </c>
      <c r="I463" t="s">
        <v>177</v>
      </c>
    </row>
    <row r="464" spans="1:41">
      <c r="I464" t="s">
        <v>178</v>
      </c>
      <c r="J464">
        <f>IFERROR(VLOOKUP("824-701000-100",B:AB,1+8,0),0)</f>
        <v>0</v>
      </c>
      <c r="K464">
        <f>IFERROR(VLOOKUP("824-701000-100",B:AB,2+8,0),0)</f>
        <v>0</v>
      </c>
      <c r="L464">
        <f>IFERROR(VLOOKUP("824-701000-100",B:AB,3+8,0),0)</f>
        <v>0</v>
      </c>
      <c r="M464">
        <f>IFERROR(VLOOKUP("824-701000-100",B:AB,4+8,0),0)</f>
        <v>0</v>
      </c>
      <c r="N464">
        <f>IFERROR(VLOOKUP("824-701000-100",B:AB,5+8,0),0)</f>
        <v>0</v>
      </c>
      <c r="O464">
        <f>IFERROR(VLOOKUP("824-701000-100",B:AB,6+8,0),0)</f>
        <v>0</v>
      </c>
      <c r="P464">
        <f>IFERROR(VLOOKUP("824-701000-100",B:AB,7+8,0),0)</f>
        <v>0</v>
      </c>
      <c r="Q464">
        <f>IFERROR(VLOOKUP("824-701000-100",B:AB,8+8,0),0)</f>
        <v>0</v>
      </c>
      <c r="R464">
        <f>IFERROR(VLOOKUP("824-701000-100",B:AB,9+8,0),0)</f>
        <v>0</v>
      </c>
      <c r="S464">
        <f>IFERROR(VLOOKUP("824-701000-100",B:AB,10+8,0),0)</f>
        <v>0</v>
      </c>
      <c r="T464">
        <f>IFERROR(VLOOKUP("824-701000-100",B:AB,11+8,0),0)</f>
        <v>0</v>
      </c>
      <c r="U464">
        <f>IFERROR(VLOOKUP("824-701000-100",B:AB,12+8,0),0)</f>
        <v>0</v>
      </c>
      <c r="V464">
        <f>IFERROR(VLOOKUP("824-701000-100",B:AB,13+8,0),0)</f>
        <v>0</v>
      </c>
      <c r="W464">
        <f>IFERROR(VLOOKUP("824-701000-100",B:AB,14+8,0),0)</f>
        <v>0</v>
      </c>
      <c r="X464">
        <f>IFERROR(VLOOKUP("824-701000-100",B:AB,15+8,0),0)</f>
        <v>0</v>
      </c>
      <c r="Y464">
        <f>IFERROR(VLOOKUP("824-701000-100",B:AB,16+8,0),0)</f>
        <v>0</v>
      </c>
      <c r="Z464">
        <f>IFERROR(VLOOKUP("824-701000-100",B:AB,17+8,0),0)</f>
        <v>0</v>
      </c>
      <c r="AA464">
        <f>IFERROR(VLOOKUP("824-701000-100",B:AB,18+8,0),0)</f>
        <v>0</v>
      </c>
      <c r="AB464">
        <f>IFERROR(VLOOKUP("824-701000-100",B:AB,19+8,0),0)</f>
        <v>0</v>
      </c>
      <c r="AC464">
        <f>IFERROR(VLOOKUP("824-701000-100",B:AB,20+8,0),0)</f>
        <v>0</v>
      </c>
      <c r="AD464">
        <f>IFERROR(VLOOKUP("824-701000-100",B:AB,21+8,0),0)</f>
        <v>0</v>
      </c>
      <c r="AE464">
        <f>IFERROR(VLOOKUP("824-701000-100",B:AB,22+8,0),0)</f>
        <v>0</v>
      </c>
      <c r="AF464">
        <f>IFERROR(VLOOKUP("824-701000-100",B:AB,23+8,0),0)</f>
        <v>0</v>
      </c>
      <c r="AG464">
        <f>IFERROR(VLOOKUP("824-701000-100",B:AB,24+8,0),0)</f>
        <v>0</v>
      </c>
      <c r="AH464">
        <f>IFERROR(VLOOKUP("824-701000-100",B:AB,25+8,0),0)</f>
        <v>0</v>
      </c>
      <c r="AI464">
        <f>IFERROR(VLOOKUP("824-701000-100",B:AB,26+8,0),0)</f>
        <v>0</v>
      </c>
      <c r="AJ464">
        <f>IFERROR(VLOOKUP("824-701000-100",B:AB,27+8,0),0)</f>
        <v>0</v>
      </c>
      <c r="AK464">
        <f>IFERROR(VLOOKUP("824-701000-100",B:AB,28+8,0),0)</f>
        <v>0</v>
      </c>
      <c r="AL464">
        <f>IFERROR(VLOOKUP("824-701000-100",B:AB,29+8,0),0)</f>
        <v>0</v>
      </c>
      <c r="AM464">
        <f>IFERROR(VLOOKUP("824-701000-100",B:AB,30+8,0),0)</f>
        <v>0</v>
      </c>
      <c r="AN464">
        <f>IFERROR(VLOOKUP("824-701000-100",B:AB,31+8,0),0)</f>
        <v>0</v>
      </c>
      <c r="AO464">
        <f>SUN(INDIRECT(ADDRESS(463,8)):INDIRECT(ADDRESS(463,39)))</f>
        <v>0</v>
      </c>
    </row>
    <row r="465" spans="1:41">
      <c r="H465" t="s">
        <v>179</v>
      </c>
      <c r="J465">
        <f>INDIRECT(ADDRESS(465,9))+INDIRECT(ADDRESS(463,10))-INDIRECT(ADDRESS(464,10))</f>
        <v>0</v>
      </c>
      <c r="K465">
        <f>INDIRECT(ADDRESS(465,10))+INDIRECT(ADDRESS(463,11))-INDIRECT(ADDRESS(464,11))</f>
        <v>0</v>
      </c>
      <c r="L465">
        <f>INDIRECT(ADDRESS(465,11))+INDIRECT(ADDRESS(463,12))-INDIRECT(ADDRESS(464,12))</f>
        <v>0</v>
      </c>
      <c r="M465">
        <f>INDIRECT(ADDRESS(465,12))+INDIRECT(ADDRESS(463,13))-INDIRECT(ADDRESS(464,13))</f>
        <v>0</v>
      </c>
      <c r="N465">
        <f>INDIRECT(ADDRESS(465,13))+INDIRECT(ADDRESS(463,14))-INDIRECT(ADDRESS(464,14))</f>
        <v>0</v>
      </c>
      <c r="O465">
        <f>INDIRECT(ADDRESS(465,14))+INDIRECT(ADDRESS(463,15))-INDIRECT(ADDRESS(464,15))</f>
        <v>0</v>
      </c>
      <c r="P465">
        <f>INDIRECT(ADDRESS(465,15))+INDIRECT(ADDRESS(463,16))-INDIRECT(ADDRESS(464,16))</f>
        <v>0</v>
      </c>
      <c r="Q465">
        <f>INDIRECT(ADDRESS(465,16))+INDIRECT(ADDRESS(463,17))-INDIRECT(ADDRESS(464,17))</f>
        <v>0</v>
      </c>
      <c r="R465">
        <f>INDIRECT(ADDRESS(465,17))+INDIRECT(ADDRESS(463,18))-INDIRECT(ADDRESS(464,18))</f>
        <v>0</v>
      </c>
      <c r="S465">
        <f>INDIRECT(ADDRESS(465,18))+INDIRECT(ADDRESS(463,19))-INDIRECT(ADDRESS(464,19))</f>
        <v>0</v>
      </c>
      <c r="T465">
        <f>INDIRECT(ADDRESS(465,19))+INDIRECT(ADDRESS(463,20))-INDIRECT(ADDRESS(464,20))</f>
        <v>0</v>
      </c>
      <c r="U465">
        <f>INDIRECT(ADDRESS(465,20))+INDIRECT(ADDRESS(463,21))-INDIRECT(ADDRESS(464,21))</f>
        <v>0</v>
      </c>
      <c r="V465">
        <f>INDIRECT(ADDRESS(465,21))+INDIRECT(ADDRESS(463,22))-INDIRECT(ADDRESS(464,22))</f>
        <v>0</v>
      </c>
      <c r="W465">
        <f>INDIRECT(ADDRESS(465,22))+INDIRECT(ADDRESS(463,23))-INDIRECT(ADDRESS(464,23))</f>
        <v>0</v>
      </c>
      <c r="X465">
        <f>INDIRECT(ADDRESS(465,23))+INDIRECT(ADDRESS(463,24))-INDIRECT(ADDRESS(464,24))</f>
        <v>0</v>
      </c>
      <c r="Y465">
        <f>INDIRECT(ADDRESS(465,24))+INDIRECT(ADDRESS(463,25))-INDIRECT(ADDRESS(464,25))</f>
        <v>0</v>
      </c>
      <c r="Z465">
        <f>INDIRECT(ADDRESS(465,25))+INDIRECT(ADDRESS(463,26))-INDIRECT(ADDRESS(464,26))</f>
        <v>0</v>
      </c>
      <c r="AA465">
        <f>INDIRECT(ADDRESS(465,26))+INDIRECT(ADDRESS(463,27))-INDIRECT(ADDRESS(464,27))</f>
        <v>0</v>
      </c>
      <c r="AB465">
        <f>INDIRECT(ADDRESS(465,27))+INDIRECT(ADDRESS(463,28))-INDIRECT(ADDRESS(464,28))</f>
        <v>0</v>
      </c>
      <c r="AC465">
        <f>INDIRECT(ADDRESS(465,28))+INDIRECT(ADDRESS(463,29))-INDIRECT(ADDRESS(464,29))</f>
        <v>0</v>
      </c>
      <c r="AD465">
        <f>INDIRECT(ADDRESS(465,29))+INDIRECT(ADDRESS(463,30))-INDIRECT(ADDRESS(464,30))</f>
        <v>0</v>
      </c>
      <c r="AE465">
        <f>INDIRECT(ADDRESS(465,30))+INDIRECT(ADDRESS(463,31))-INDIRECT(ADDRESS(464,31))</f>
        <v>0</v>
      </c>
      <c r="AF465">
        <f>INDIRECT(ADDRESS(465,31))+INDIRECT(ADDRESS(463,32))-INDIRECT(ADDRESS(464,32))</f>
        <v>0</v>
      </c>
      <c r="AG465">
        <f>INDIRECT(ADDRESS(465,32))+INDIRECT(ADDRESS(463,33))-INDIRECT(ADDRESS(464,33))</f>
        <v>0</v>
      </c>
      <c r="AH465">
        <f>INDIRECT(ADDRESS(465,33))+INDIRECT(ADDRESS(463,34))-INDIRECT(ADDRESS(464,34))</f>
        <v>0</v>
      </c>
      <c r="AI465">
        <f>INDIRECT(ADDRESS(465,34))+INDIRECT(ADDRESS(463,35))-INDIRECT(ADDRESS(464,35))</f>
        <v>0</v>
      </c>
      <c r="AJ465">
        <f>INDIRECT(ADDRESS(465,35))+INDIRECT(ADDRESS(463,36))-INDIRECT(ADDRESS(464,36))</f>
        <v>0</v>
      </c>
      <c r="AK465">
        <f>INDIRECT(ADDRESS(465,36))+INDIRECT(ADDRESS(463,37))-INDIRECT(ADDRESS(464,37))</f>
        <v>0</v>
      </c>
      <c r="AL465">
        <f>INDIRECT(ADDRESS(465,37))+INDIRECT(ADDRESS(463,38))-INDIRECT(ADDRESS(464,38))</f>
        <v>0</v>
      </c>
      <c r="AM465">
        <f>INDIRECT(ADDRESS(465,38))+INDIRECT(ADDRESS(463,39))-INDIRECT(ADDRESS(464,39))</f>
        <v>0</v>
      </c>
      <c r="AN465">
        <f>INDIRECT(ADDRESS(465,39))+INDIRECT(ADDRESS(463,40))-INDIRECT(ADDRESS(464,40))</f>
        <v>0</v>
      </c>
      <c r="AO465">
        <f>SUM(INDIRECT(ADDRESS(464,8)):INDIRECT(ADDRESS(464,39)))</f>
        <v>0</v>
      </c>
    </row>
    <row r="466" spans="1:41">
      <c r="A466" t="s">
        <v>180</v>
      </c>
      <c r="B466" t="s">
        <v>349</v>
      </c>
      <c r="C466" t="s">
        <v>350</v>
      </c>
      <c r="E466">
        <v>1</v>
      </c>
      <c r="I466" t="s">
        <v>177</v>
      </c>
    </row>
    <row r="467" spans="1:41">
      <c r="I467" t="s">
        <v>178</v>
      </c>
      <c r="J467">
        <f>IFERROR(VLOOKUP("824-701000-100",B:AB,1+8,0),0)</f>
        <v>0</v>
      </c>
      <c r="K467">
        <f>IFERROR(VLOOKUP("824-701000-100",B:AB,2+8,0),0)</f>
        <v>0</v>
      </c>
      <c r="L467">
        <f>IFERROR(VLOOKUP("824-701000-100",B:AB,3+8,0),0)</f>
        <v>0</v>
      </c>
      <c r="M467">
        <f>IFERROR(VLOOKUP("824-701000-100",B:AB,4+8,0),0)</f>
        <v>0</v>
      </c>
      <c r="N467">
        <f>IFERROR(VLOOKUP("824-701000-100",B:AB,5+8,0),0)</f>
        <v>0</v>
      </c>
      <c r="O467">
        <f>IFERROR(VLOOKUP("824-701000-100",B:AB,6+8,0),0)</f>
        <v>0</v>
      </c>
      <c r="P467">
        <f>IFERROR(VLOOKUP("824-701000-100",B:AB,7+8,0),0)</f>
        <v>0</v>
      </c>
      <c r="Q467">
        <f>IFERROR(VLOOKUP("824-701000-100",B:AB,8+8,0),0)</f>
        <v>0</v>
      </c>
      <c r="R467">
        <f>IFERROR(VLOOKUP("824-701000-100",B:AB,9+8,0),0)</f>
        <v>0</v>
      </c>
      <c r="S467">
        <f>IFERROR(VLOOKUP("824-701000-100",B:AB,10+8,0),0)</f>
        <v>0</v>
      </c>
      <c r="T467">
        <f>IFERROR(VLOOKUP("824-701000-100",B:AB,11+8,0),0)</f>
        <v>0</v>
      </c>
      <c r="U467">
        <f>IFERROR(VLOOKUP("824-701000-100",B:AB,12+8,0),0)</f>
        <v>0</v>
      </c>
      <c r="V467">
        <f>IFERROR(VLOOKUP("824-701000-100",B:AB,13+8,0),0)</f>
        <v>0</v>
      </c>
      <c r="W467">
        <f>IFERROR(VLOOKUP("824-701000-100",B:AB,14+8,0),0)</f>
        <v>0</v>
      </c>
      <c r="X467">
        <f>IFERROR(VLOOKUP("824-701000-100",B:AB,15+8,0),0)</f>
        <v>0</v>
      </c>
      <c r="Y467">
        <f>IFERROR(VLOOKUP("824-701000-100",B:AB,16+8,0),0)</f>
        <v>0</v>
      </c>
      <c r="Z467">
        <f>IFERROR(VLOOKUP("824-701000-100",B:AB,17+8,0),0)</f>
        <v>0</v>
      </c>
      <c r="AA467">
        <f>IFERROR(VLOOKUP("824-701000-100",B:AB,18+8,0),0)</f>
        <v>0</v>
      </c>
      <c r="AB467">
        <f>IFERROR(VLOOKUP("824-701000-100",B:AB,19+8,0),0)</f>
        <v>0</v>
      </c>
      <c r="AC467">
        <f>IFERROR(VLOOKUP("824-701000-100",B:AB,20+8,0),0)</f>
        <v>0</v>
      </c>
      <c r="AD467">
        <f>IFERROR(VLOOKUP("824-701000-100",B:AB,21+8,0),0)</f>
        <v>0</v>
      </c>
      <c r="AE467">
        <f>IFERROR(VLOOKUP("824-701000-100",B:AB,22+8,0),0)</f>
        <v>0</v>
      </c>
      <c r="AF467">
        <f>IFERROR(VLOOKUP("824-701000-100",B:AB,23+8,0),0)</f>
        <v>0</v>
      </c>
      <c r="AG467">
        <f>IFERROR(VLOOKUP("824-701000-100",B:AB,24+8,0),0)</f>
        <v>0</v>
      </c>
      <c r="AH467">
        <f>IFERROR(VLOOKUP("824-701000-100",B:AB,25+8,0),0)</f>
        <v>0</v>
      </c>
      <c r="AI467">
        <f>IFERROR(VLOOKUP("824-701000-100",B:AB,26+8,0),0)</f>
        <v>0</v>
      </c>
      <c r="AJ467">
        <f>IFERROR(VLOOKUP("824-701000-100",B:AB,27+8,0),0)</f>
        <v>0</v>
      </c>
      <c r="AK467">
        <f>IFERROR(VLOOKUP("824-701000-100",B:AB,28+8,0),0)</f>
        <v>0</v>
      </c>
      <c r="AL467">
        <f>IFERROR(VLOOKUP("824-701000-100",B:AB,29+8,0),0)</f>
        <v>0</v>
      </c>
      <c r="AM467">
        <f>IFERROR(VLOOKUP("824-701000-100",B:AB,30+8,0),0)</f>
        <v>0</v>
      </c>
      <c r="AN467">
        <f>IFERROR(VLOOKUP("824-701000-100",B:AB,31+8,0),0)</f>
        <v>0</v>
      </c>
      <c r="AO467">
        <f>SUN(INDIRECT(ADDRESS(466,8)):INDIRECT(ADDRESS(466,39)))</f>
        <v>0</v>
      </c>
    </row>
    <row r="468" spans="1:41">
      <c r="H468" t="s">
        <v>179</v>
      </c>
      <c r="J468">
        <f>INDIRECT(ADDRESS(468,9))+INDIRECT(ADDRESS(466,10))-INDIRECT(ADDRESS(467,10))</f>
        <v>0</v>
      </c>
      <c r="K468">
        <f>INDIRECT(ADDRESS(468,10))+INDIRECT(ADDRESS(466,11))-INDIRECT(ADDRESS(467,11))</f>
        <v>0</v>
      </c>
      <c r="L468">
        <f>INDIRECT(ADDRESS(468,11))+INDIRECT(ADDRESS(466,12))-INDIRECT(ADDRESS(467,12))</f>
        <v>0</v>
      </c>
      <c r="M468">
        <f>INDIRECT(ADDRESS(468,12))+INDIRECT(ADDRESS(466,13))-INDIRECT(ADDRESS(467,13))</f>
        <v>0</v>
      </c>
      <c r="N468">
        <f>INDIRECT(ADDRESS(468,13))+INDIRECT(ADDRESS(466,14))-INDIRECT(ADDRESS(467,14))</f>
        <v>0</v>
      </c>
      <c r="O468">
        <f>INDIRECT(ADDRESS(468,14))+INDIRECT(ADDRESS(466,15))-INDIRECT(ADDRESS(467,15))</f>
        <v>0</v>
      </c>
      <c r="P468">
        <f>INDIRECT(ADDRESS(468,15))+INDIRECT(ADDRESS(466,16))-INDIRECT(ADDRESS(467,16))</f>
        <v>0</v>
      </c>
      <c r="Q468">
        <f>INDIRECT(ADDRESS(468,16))+INDIRECT(ADDRESS(466,17))-INDIRECT(ADDRESS(467,17))</f>
        <v>0</v>
      </c>
      <c r="R468">
        <f>INDIRECT(ADDRESS(468,17))+INDIRECT(ADDRESS(466,18))-INDIRECT(ADDRESS(467,18))</f>
        <v>0</v>
      </c>
      <c r="S468">
        <f>INDIRECT(ADDRESS(468,18))+INDIRECT(ADDRESS(466,19))-INDIRECT(ADDRESS(467,19))</f>
        <v>0</v>
      </c>
      <c r="T468">
        <f>INDIRECT(ADDRESS(468,19))+INDIRECT(ADDRESS(466,20))-INDIRECT(ADDRESS(467,20))</f>
        <v>0</v>
      </c>
      <c r="U468">
        <f>INDIRECT(ADDRESS(468,20))+INDIRECT(ADDRESS(466,21))-INDIRECT(ADDRESS(467,21))</f>
        <v>0</v>
      </c>
      <c r="V468">
        <f>INDIRECT(ADDRESS(468,21))+INDIRECT(ADDRESS(466,22))-INDIRECT(ADDRESS(467,22))</f>
        <v>0</v>
      </c>
      <c r="W468">
        <f>INDIRECT(ADDRESS(468,22))+INDIRECT(ADDRESS(466,23))-INDIRECT(ADDRESS(467,23))</f>
        <v>0</v>
      </c>
      <c r="X468">
        <f>INDIRECT(ADDRESS(468,23))+INDIRECT(ADDRESS(466,24))-INDIRECT(ADDRESS(467,24))</f>
        <v>0</v>
      </c>
      <c r="Y468">
        <f>INDIRECT(ADDRESS(468,24))+INDIRECT(ADDRESS(466,25))-INDIRECT(ADDRESS(467,25))</f>
        <v>0</v>
      </c>
      <c r="Z468">
        <f>INDIRECT(ADDRESS(468,25))+INDIRECT(ADDRESS(466,26))-INDIRECT(ADDRESS(467,26))</f>
        <v>0</v>
      </c>
      <c r="AA468">
        <f>INDIRECT(ADDRESS(468,26))+INDIRECT(ADDRESS(466,27))-INDIRECT(ADDRESS(467,27))</f>
        <v>0</v>
      </c>
      <c r="AB468">
        <f>INDIRECT(ADDRESS(468,27))+INDIRECT(ADDRESS(466,28))-INDIRECT(ADDRESS(467,28))</f>
        <v>0</v>
      </c>
      <c r="AC468">
        <f>INDIRECT(ADDRESS(468,28))+INDIRECT(ADDRESS(466,29))-INDIRECT(ADDRESS(467,29))</f>
        <v>0</v>
      </c>
      <c r="AD468">
        <f>INDIRECT(ADDRESS(468,29))+INDIRECT(ADDRESS(466,30))-INDIRECT(ADDRESS(467,30))</f>
        <v>0</v>
      </c>
      <c r="AE468">
        <f>INDIRECT(ADDRESS(468,30))+INDIRECT(ADDRESS(466,31))-INDIRECT(ADDRESS(467,31))</f>
        <v>0</v>
      </c>
      <c r="AF468">
        <f>INDIRECT(ADDRESS(468,31))+INDIRECT(ADDRESS(466,32))-INDIRECT(ADDRESS(467,32))</f>
        <v>0</v>
      </c>
      <c r="AG468">
        <f>INDIRECT(ADDRESS(468,32))+INDIRECT(ADDRESS(466,33))-INDIRECT(ADDRESS(467,33))</f>
        <v>0</v>
      </c>
      <c r="AH468">
        <f>INDIRECT(ADDRESS(468,33))+INDIRECT(ADDRESS(466,34))-INDIRECT(ADDRESS(467,34))</f>
        <v>0</v>
      </c>
      <c r="AI468">
        <f>INDIRECT(ADDRESS(468,34))+INDIRECT(ADDRESS(466,35))-INDIRECT(ADDRESS(467,35))</f>
        <v>0</v>
      </c>
      <c r="AJ468">
        <f>INDIRECT(ADDRESS(468,35))+INDIRECT(ADDRESS(466,36))-INDIRECT(ADDRESS(467,36))</f>
        <v>0</v>
      </c>
      <c r="AK468">
        <f>INDIRECT(ADDRESS(468,36))+INDIRECT(ADDRESS(466,37))-INDIRECT(ADDRESS(467,37))</f>
        <v>0</v>
      </c>
      <c r="AL468">
        <f>INDIRECT(ADDRESS(468,37))+INDIRECT(ADDRESS(466,38))-INDIRECT(ADDRESS(467,38))</f>
        <v>0</v>
      </c>
      <c r="AM468">
        <f>INDIRECT(ADDRESS(468,38))+INDIRECT(ADDRESS(466,39))-INDIRECT(ADDRESS(467,39))</f>
        <v>0</v>
      </c>
      <c r="AN468">
        <f>INDIRECT(ADDRESS(468,39))+INDIRECT(ADDRESS(466,40))-INDIRECT(ADDRESS(467,40))</f>
        <v>0</v>
      </c>
      <c r="AO468">
        <f>SUM(INDIRECT(ADDRESS(467,8)):INDIRECT(ADDRESS(467,39)))</f>
        <v>0</v>
      </c>
    </row>
    <row r="469" spans="1:41">
      <c r="A469" t="s">
        <v>185</v>
      </c>
      <c r="B469" t="s">
        <v>351</v>
      </c>
      <c r="C469" t="s">
        <v>352</v>
      </c>
      <c r="E469">
        <v>1</v>
      </c>
      <c r="I469" t="s">
        <v>177</v>
      </c>
    </row>
    <row r="470" spans="1:41">
      <c r="I470" t="s">
        <v>178</v>
      </c>
      <c r="J470">
        <f>IFERROR(VLOOKUP("824-701000-100",B:AB,1+8,0),0)</f>
        <v>0</v>
      </c>
      <c r="K470">
        <f>IFERROR(VLOOKUP("824-701000-100",B:AB,2+8,0),0)</f>
        <v>0</v>
      </c>
      <c r="L470">
        <f>IFERROR(VLOOKUP("824-701000-100",B:AB,3+8,0),0)</f>
        <v>0</v>
      </c>
      <c r="M470">
        <f>IFERROR(VLOOKUP("824-701000-100",B:AB,4+8,0),0)</f>
        <v>0</v>
      </c>
      <c r="N470">
        <f>IFERROR(VLOOKUP("824-701000-100",B:AB,5+8,0),0)</f>
        <v>0</v>
      </c>
      <c r="O470">
        <f>IFERROR(VLOOKUP("824-701000-100",B:AB,6+8,0),0)</f>
        <v>0</v>
      </c>
      <c r="P470">
        <f>IFERROR(VLOOKUP("824-701000-100",B:AB,7+8,0),0)</f>
        <v>0</v>
      </c>
      <c r="Q470">
        <f>IFERROR(VLOOKUP("824-701000-100",B:AB,8+8,0),0)</f>
        <v>0</v>
      </c>
      <c r="R470">
        <f>IFERROR(VLOOKUP("824-701000-100",B:AB,9+8,0),0)</f>
        <v>0</v>
      </c>
      <c r="S470">
        <f>IFERROR(VLOOKUP("824-701000-100",B:AB,10+8,0),0)</f>
        <v>0</v>
      </c>
      <c r="T470">
        <f>IFERROR(VLOOKUP("824-701000-100",B:AB,11+8,0),0)</f>
        <v>0</v>
      </c>
      <c r="U470">
        <f>IFERROR(VLOOKUP("824-701000-100",B:AB,12+8,0),0)</f>
        <v>0</v>
      </c>
      <c r="V470">
        <f>IFERROR(VLOOKUP("824-701000-100",B:AB,13+8,0),0)</f>
        <v>0</v>
      </c>
      <c r="W470">
        <f>IFERROR(VLOOKUP("824-701000-100",B:AB,14+8,0),0)</f>
        <v>0</v>
      </c>
      <c r="X470">
        <f>IFERROR(VLOOKUP("824-701000-100",B:AB,15+8,0),0)</f>
        <v>0</v>
      </c>
      <c r="Y470">
        <f>IFERROR(VLOOKUP("824-701000-100",B:AB,16+8,0),0)</f>
        <v>0</v>
      </c>
      <c r="Z470">
        <f>IFERROR(VLOOKUP("824-701000-100",B:AB,17+8,0),0)</f>
        <v>0</v>
      </c>
      <c r="AA470">
        <f>IFERROR(VLOOKUP("824-701000-100",B:AB,18+8,0),0)</f>
        <v>0</v>
      </c>
      <c r="AB470">
        <f>IFERROR(VLOOKUP("824-701000-100",B:AB,19+8,0),0)</f>
        <v>0</v>
      </c>
      <c r="AC470">
        <f>IFERROR(VLOOKUP("824-701000-100",B:AB,20+8,0),0)</f>
        <v>0</v>
      </c>
      <c r="AD470">
        <f>IFERROR(VLOOKUP("824-701000-100",B:AB,21+8,0),0)</f>
        <v>0</v>
      </c>
      <c r="AE470">
        <f>IFERROR(VLOOKUP("824-701000-100",B:AB,22+8,0),0)</f>
        <v>0</v>
      </c>
      <c r="AF470">
        <f>IFERROR(VLOOKUP("824-701000-100",B:AB,23+8,0),0)</f>
        <v>0</v>
      </c>
      <c r="AG470">
        <f>IFERROR(VLOOKUP("824-701000-100",B:AB,24+8,0),0)</f>
        <v>0</v>
      </c>
      <c r="AH470">
        <f>IFERROR(VLOOKUP("824-701000-100",B:AB,25+8,0),0)</f>
        <v>0</v>
      </c>
      <c r="AI470">
        <f>IFERROR(VLOOKUP("824-701000-100",B:AB,26+8,0),0)</f>
        <v>0</v>
      </c>
      <c r="AJ470">
        <f>IFERROR(VLOOKUP("824-701000-100",B:AB,27+8,0),0)</f>
        <v>0</v>
      </c>
      <c r="AK470">
        <f>IFERROR(VLOOKUP("824-701000-100",B:AB,28+8,0),0)</f>
        <v>0</v>
      </c>
      <c r="AL470">
        <f>IFERROR(VLOOKUP("824-701000-100",B:AB,29+8,0),0)</f>
        <v>0</v>
      </c>
      <c r="AM470">
        <f>IFERROR(VLOOKUP("824-701000-100",B:AB,30+8,0),0)</f>
        <v>0</v>
      </c>
      <c r="AN470">
        <f>IFERROR(VLOOKUP("824-701000-100",B:AB,31+8,0),0)</f>
        <v>0</v>
      </c>
      <c r="AO470">
        <f>SUN(INDIRECT(ADDRESS(469,8)):INDIRECT(ADDRESS(469,39)))</f>
        <v>0</v>
      </c>
    </row>
    <row r="471" spans="1:41">
      <c r="H471" t="s">
        <v>179</v>
      </c>
      <c r="J471">
        <f>INDIRECT(ADDRESS(471,9))+INDIRECT(ADDRESS(469,10))-INDIRECT(ADDRESS(470,10))</f>
        <v>0</v>
      </c>
      <c r="K471">
        <f>INDIRECT(ADDRESS(471,10))+INDIRECT(ADDRESS(469,11))-INDIRECT(ADDRESS(470,11))</f>
        <v>0</v>
      </c>
      <c r="L471">
        <f>INDIRECT(ADDRESS(471,11))+INDIRECT(ADDRESS(469,12))-INDIRECT(ADDRESS(470,12))</f>
        <v>0</v>
      </c>
      <c r="M471">
        <f>INDIRECT(ADDRESS(471,12))+INDIRECT(ADDRESS(469,13))-INDIRECT(ADDRESS(470,13))</f>
        <v>0</v>
      </c>
      <c r="N471">
        <f>INDIRECT(ADDRESS(471,13))+INDIRECT(ADDRESS(469,14))-INDIRECT(ADDRESS(470,14))</f>
        <v>0</v>
      </c>
      <c r="O471">
        <f>INDIRECT(ADDRESS(471,14))+INDIRECT(ADDRESS(469,15))-INDIRECT(ADDRESS(470,15))</f>
        <v>0</v>
      </c>
      <c r="P471">
        <f>INDIRECT(ADDRESS(471,15))+INDIRECT(ADDRESS(469,16))-INDIRECT(ADDRESS(470,16))</f>
        <v>0</v>
      </c>
      <c r="Q471">
        <f>INDIRECT(ADDRESS(471,16))+INDIRECT(ADDRESS(469,17))-INDIRECT(ADDRESS(470,17))</f>
        <v>0</v>
      </c>
      <c r="R471">
        <f>INDIRECT(ADDRESS(471,17))+INDIRECT(ADDRESS(469,18))-INDIRECT(ADDRESS(470,18))</f>
        <v>0</v>
      </c>
      <c r="S471">
        <f>INDIRECT(ADDRESS(471,18))+INDIRECT(ADDRESS(469,19))-INDIRECT(ADDRESS(470,19))</f>
        <v>0</v>
      </c>
      <c r="T471">
        <f>INDIRECT(ADDRESS(471,19))+INDIRECT(ADDRESS(469,20))-INDIRECT(ADDRESS(470,20))</f>
        <v>0</v>
      </c>
      <c r="U471">
        <f>INDIRECT(ADDRESS(471,20))+INDIRECT(ADDRESS(469,21))-INDIRECT(ADDRESS(470,21))</f>
        <v>0</v>
      </c>
      <c r="V471">
        <f>INDIRECT(ADDRESS(471,21))+INDIRECT(ADDRESS(469,22))-INDIRECT(ADDRESS(470,22))</f>
        <v>0</v>
      </c>
      <c r="W471">
        <f>INDIRECT(ADDRESS(471,22))+INDIRECT(ADDRESS(469,23))-INDIRECT(ADDRESS(470,23))</f>
        <v>0</v>
      </c>
      <c r="X471">
        <f>INDIRECT(ADDRESS(471,23))+INDIRECT(ADDRESS(469,24))-INDIRECT(ADDRESS(470,24))</f>
        <v>0</v>
      </c>
      <c r="Y471">
        <f>INDIRECT(ADDRESS(471,24))+INDIRECT(ADDRESS(469,25))-INDIRECT(ADDRESS(470,25))</f>
        <v>0</v>
      </c>
      <c r="Z471">
        <f>INDIRECT(ADDRESS(471,25))+INDIRECT(ADDRESS(469,26))-INDIRECT(ADDRESS(470,26))</f>
        <v>0</v>
      </c>
      <c r="AA471">
        <f>INDIRECT(ADDRESS(471,26))+INDIRECT(ADDRESS(469,27))-INDIRECT(ADDRESS(470,27))</f>
        <v>0</v>
      </c>
      <c r="AB471">
        <f>INDIRECT(ADDRESS(471,27))+INDIRECT(ADDRESS(469,28))-INDIRECT(ADDRESS(470,28))</f>
        <v>0</v>
      </c>
      <c r="AC471">
        <f>INDIRECT(ADDRESS(471,28))+INDIRECT(ADDRESS(469,29))-INDIRECT(ADDRESS(470,29))</f>
        <v>0</v>
      </c>
      <c r="AD471">
        <f>INDIRECT(ADDRESS(471,29))+INDIRECT(ADDRESS(469,30))-INDIRECT(ADDRESS(470,30))</f>
        <v>0</v>
      </c>
      <c r="AE471">
        <f>INDIRECT(ADDRESS(471,30))+INDIRECT(ADDRESS(469,31))-INDIRECT(ADDRESS(470,31))</f>
        <v>0</v>
      </c>
      <c r="AF471">
        <f>INDIRECT(ADDRESS(471,31))+INDIRECT(ADDRESS(469,32))-INDIRECT(ADDRESS(470,32))</f>
        <v>0</v>
      </c>
      <c r="AG471">
        <f>INDIRECT(ADDRESS(471,32))+INDIRECT(ADDRESS(469,33))-INDIRECT(ADDRESS(470,33))</f>
        <v>0</v>
      </c>
      <c r="AH471">
        <f>INDIRECT(ADDRESS(471,33))+INDIRECT(ADDRESS(469,34))-INDIRECT(ADDRESS(470,34))</f>
        <v>0</v>
      </c>
      <c r="AI471">
        <f>INDIRECT(ADDRESS(471,34))+INDIRECT(ADDRESS(469,35))-INDIRECT(ADDRESS(470,35))</f>
        <v>0</v>
      </c>
      <c r="AJ471">
        <f>INDIRECT(ADDRESS(471,35))+INDIRECT(ADDRESS(469,36))-INDIRECT(ADDRESS(470,36))</f>
        <v>0</v>
      </c>
      <c r="AK471">
        <f>INDIRECT(ADDRESS(471,36))+INDIRECT(ADDRESS(469,37))-INDIRECT(ADDRESS(470,37))</f>
        <v>0</v>
      </c>
      <c r="AL471">
        <f>INDIRECT(ADDRESS(471,37))+INDIRECT(ADDRESS(469,38))-INDIRECT(ADDRESS(470,38))</f>
        <v>0</v>
      </c>
      <c r="AM471">
        <f>INDIRECT(ADDRESS(471,38))+INDIRECT(ADDRESS(469,39))-INDIRECT(ADDRESS(470,39))</f>
        <v>0</v>
      </c>
      <c r="AN471">
        <f>INDIRECT(ADDRESS(471,39))+INDIRECT(ADDRESS(469,40))-INDIRECT(ADDRESS(470,40))</f>
        <v>0</v>
      </c>
      <c r="AO471">
        <f>SUM(INDIRECT(ADDRESS(470,8)):INDIRECT(ADDRESS(470,39)))</f>
        <v>0</v>
      </c>
    </row>
    <row r="472" spans="1:41">
      <c r="A472" t="s">
        <v>180</v>
      </c>
      <c r="B472" t="s">
        <v>353</v>
      </c>
      <c r="C472" t="s">
        <v>354</v>
      </c>
      <c r="E472">
        <v>2</v>
      </c>
      <c r="I472" t="s">
        <v>177</v>
      </c>
    </row>
    <row r="473" spans="1:41">
      <c r="I473" t="s">
        <v>178</v>
      </c>
      <c r="J473">
        <f>IFERROR(VLOOKUP("824-701000-100",B:AB,1+8,0),0)</f>
        <v>0</v>
      </c>
      <c r="K473">
        <f>IFERROR(VLOOKUP("824-701000-100",B:AB,2+8,0),0)</f>
        <v>0</v>
      </c>
      <c r="L473">
        <f>IFERROR(VLOOKUP("824-701000-100",B:AB,3+8,0),0)</f>
        <v>0</v>
      </c>
      <c r="M473">
        <f>IFERROR(VLOOKUP("824-701000-100",B:AB,4+8,0),0)</f>
        <v>0</v>
      </c>
      <c r="N473">
        <f>IFERROR(VLOOKUP("824-701000-100",B:AB,5+8,0),0)</f>
        <v>0</v>
      </c>
      <c r="O473">
        <f>IFERROR(VLOOKUP("824-701000-100",B:AB,6+8,0),0)</f>
        <v>0</v>
      </c>
      <c r="P473">
        <f>IFERROR(VLOOKUP("824-701000-100",B:AB,7+8,0),0)</f>
        <v>0</v>
      </c>
      <c r="Q473">
        <f>IFERROR(VLOOKUP("824-701000-100",B:AB,8+8,0),0)</f>
        <v>0</v>
      </c>
      <c r="R473">
        <f>IFERROR(VLOOKUP("824-701000-100",B:AB,9+8,0),0)</f>
        <v>0</v>
      </c>
      <c r="S473">
        <f>IFERROR(VLOOKUP("824-701000-100",B:AB,10+8,0),0)</f>
        <v>0</v>
      </c>
      <c r="T473">
        <f>IFERROR(VLOOKUP("824-701000-100",B:AB,11+8,0),0)</f>
        <v>0</v>
      </c>
      <c r="U473">
        <f>IFERROR(VLOOKUP("824-701000-100",B:AB,12+8,0),0)</f>
        <v>0</v>
      </c>
      <c r="V473">
        <f>IFERROR(VLOOKUP("824-701000-100",B:AB,13+8,0),0)</f>
        <v>0</v>
      </c>
      <c r="W473">
        <f>IFERROR(VLOOKUP("824-701000-100",B:AB,14+8,0),0)</f>
        <v>0</v>
      </c>
      <c r="X473">
        <f>IFERROR(VLOOKUP("824-701000-100",B:AB,15+8,0),0)</f>
        <v>0</v>
      </c>
      <c r="Y473">
        <f>IFERROR(VLOOKUP("824-701000-100",B:AB,16+8,0),0)</f>
        <v>0</v>
      </c>
      <c r="Z473">
        <f>IFERROR(VLOOKUP("824-701000-100",B:AB,17+8,0),0)</f>
        <v>0</v>
      </c>
      <c r="AA473">
        <f>IFERROR(VLOOKUP("824-701000-100",B:AB,18+8,0),0)</f>
        <v>0</v>
      </c>
      <c r="AB473">
        <f>IFERROR(VLOOKUP("824-701000-100",B:AB,19+8,0),0)</f>
        <v>0</v>
      </c>
      <c r="AC473">
        <f>IFERROR(VLOOKUP("824-701000-100",B:AB,20+8,0),0)</f>
        <v>0</v>
      </c>
      <c r="AD473">
        <f>IFERROR(VLOOKUP("824-701000-100",B:AB,21+8,0),0)</f>
        <v>0</v>
      </c>
      <c r="AE473">
        <f>IFERROR(VLOOKUP("824-701000-100",B:AB,22+8,0),0)</f>
        <v>0</v>
      </c>
      <c r="AF473">
        <f>IFERROR(VLOOKUP("824-701000-100",B:AB,23+8,0),0)</f>
        <v>0</v>
      </c>
      <c r="AG473">
        <f>IFERROR(VLOOKUP("824-701000-100",B:AB,24+8,0),0)</f>
        <v>0</v>
      </c>
      <c r="AH473">
        <f>IFERROR(VLOOKUP("824-701000-100",B:AB,25+8,0),0)</f>
        <v>0</v>
      </c>
      <c r="AI473">
        <f>IFERROR(VLOOKUP("824-701000-100",B:AB,26+8,0),0)</f>
        <v>0</v>
      </c>
      <c r="AJ473">
        <f>IFERROR(VLOOKUP("824-701000-100",B:AB,27+8,0),0)</f>
        <v>0</v>
      </c>
      <c r="AK473">
        <f>IFERROR(VLOOKUP("824-701000-100",B:AB,28+8,0),0)</f>
        <v>0</v>
      </c>
      <c r="AL473">
        <f>IFERROR(VLOOKUP("824-701000-100",B:AB,29+8,0),0)</f>
        <v>0</v>
      </c>
      <c r="AM473">
        <f>IFERROR(VLOOKUP("824-701000-100",B:AB,30+8,0),0)</f>
        <v>0</v>
      </c>
      <c r="AN473">
        <f>IFERROR(VLOOKUP("824-701000-100",B:AB,31+8,0),0)</f>
        <v>0</v>
      </c>
      <c r="AO473">
        <f>SUN(INDIRECT(ADDRESS(472,8)):INDIRECT(ADDRESS(472,39)))</f>
        <v>0</v>
      </c>
    </row>
    <row r="474" spans="1:41">
      <c r="H474" t="s">
        <v>179</v>
      </c>
      <c r="J474">
        <f>INDIRECT(ADDRESS(474,9))+INDIRECT(ADDRESS(472,10))-INDIRECT(ADDRESS(473,10))</f>
        <v>0</v>
      </c>
      <c r="K474">
        <f>INDIRECT(ADDRESS(474,10))+INDIRECT(ADDRESS(472,11))-INDIRECT(ADDRESS(473,11))</f>
        <v>0</v>
      </c>
      <c r="L474">
        <f>INDIRECT(ADDRESS(474,11))+INDIRECT(ADDRESS(472,12))-INDIRECT(ADDRESS(473,12))</f>
        <v>0</v>
      </c>
      <c r="M474">
        <f>INDIRECT(ADDRESS(474,12))+INDIRECT(ADDRESS(472,13))-INDIRECT(ADDRESS(473,13))</f>
        <v>0</v>
      </c>
      <c r="N474">
        <f>INDIRECT(ADDRESS(474,13))+INDIRECT(ADDRESS(472,14))-INDIRECT(ADDRESS(473,14))</f>
        <v>0</v>
      </c>
      <c r="O474">
        <f>INDIRECT(ADDRESS(474,14))+INDIRECT(ADDRESS(472,15))-INDIRECT(ADDRESS(473,15))</f>
        <v>0</v>
      </c>
      <c r="P474">
        <f>INDIRECT(ADDRESS(474,15))+INDIRECT(ADDRESS(472,16))-INDIRECT(ADDRESS(473,16))</f>
        <v>0</v>
      </c>
      <c r="Q474">
        <f>INDIRECT(ADDRESS(474,16))+INDIRECT(ADDRESS(472,17))-INDIRECT(ADDRESS(473,17))</f>
        <v>0</v>
      </c>
      <c r="R474">
        <f>INDIRECT(ADDRESS(474,17))+INDIRECT(ADDRESS(472,18))-INDIRECT(ADDRESS(473,18))</f>
        <v>0</v>
      </c>
      <c r="S474">
        <f>INDIRECT(ADDRESS(474,18))+INDIRECT(ADDRESS(472,19))-INDIRECT(ADDRESS(473,19))</f>
        <v>0</v>
      </c>
      <c r="T474">
        <f>INDIRECT(ADDRESS(474,19))+INDIRECT(ADDRESS(472,20))-INDIRECT(ADDRESS(473,20))</f>
        <v>0</v>
      </c>
      <c r="U474">
        <f>INDIRECT(ADDRESS(474,20))+INDIRECT(ADDRESS(472,21))-INDIRECT(ADDRESS(473,21))</f>
        <v>0</v>
      </c>
      <c r="V474">
        <f>INDIRECT(ADDRESS(474,21))+INDIRECT(ADDRESS(472,22))-INDIRECT(ADDRESS(473,22))</f>
        <v>0</v>
      </c>
      <c r="W474">
        <f>INDIRECT(ADDRESS(474,22))+INDIRECT(ADDRESS(472,23))-INDIRECT(ADDRESS(473,23))</f>
        <v>0</v>
      </c>
      <c r="X474">
        <f>INDIRECT(ADDRESS(474,23))+INDIRECT(ADDRESS(472,24))-INDIRECT(ADDRESS(473,24))</f>
        <v>0</v>
      </c>
      <c r="Y474">
        <f>INDIRECT(ADDRESS(474,24))+INDIRECT(ADDRESS(472,25))-INDIRECT(ADDRESS(473,25))</f>
        <v>0</v>
      </c>
      <c r="Z474">
        <f>INDIRECT(ADDRESS(474,25))+INDIRECT(ADDRESS(472,26))-INDIRECT(ADDRESS(473,26))</f>
        <v>0</v>
      </c>
      <c r="AA474">
        <f>INDIRECT(ADDRESS(474,26))+INDIRECT(ADDRESS(472,27))-INDIRECT(ADDRESS(473,27))</f>
        <v>0</v>
      </c>
      <c r="AB474">
        <f>INDIRECT(ADDRESS(474,27))+INDIRECT(ADDRESS(472,28))-INDIRECT(ADDRESS(473,28))</f>
        <v>0</v>
      </c>
      <c r="AC474">
        <f>INDIRECT(ADDRESS(474,28))+INDIRECT(ADDRESS(472,29))-INDIRECT(ADDRESS(473,29))</f>
        <v>0</v>
      </c>
      <c r="AD474">
        <f>INDIRECT(ADDRESS(474,29))+INDIRECT(ADDRESS(472,30))-INDIRECT(ADDRESS(473,30))</f>
        <v>0</v>
      </c>
      <c r="AE474">
        <f>INDIRECT(ADDRESS(474,30))+INDIRECT(ADDRESS(472,31))-INDIRECT(ADDRESS(473,31))</f>
        <v>0</v>
      </c>
      <c r="AF474">
        <f>INDIRECT(ADDRESS(474,31))+INDIRECT(ADDRESS(472,32))-INDIRECT(ADDRESS(473,32))</f>
        <v>0</v>
      </c>
      <c r="AG474">
        <f>INDIRECT(ADDRESS(474,32))+INDIRECT(ADDRESS(472,33))-INDIRECT(ADDRESS(473,33))</f>
        <v>0</v>
      </c>
      <c r="AH474">
        <f>INDIRECT(ADDRESS(474,33))+INDIRECT(ADDRESS(472,34))-INDIRECT(ADDRESS(473,34))</f>
        <v>0</v>
      </c>
      <c r="AI474">
        <f>INDIRECT(ADDRESS(474,34))+INDIRECT(ADDRESS(472,35))-INDIRECT(ADDRESS(473,35))</f>
        <v>0</v>
      </c>
      <c r="AJ474">
        <f>INDIRECT(ADDRESS(474,35))+INDIRECT(ADDRESS(472,36))-INDIRECT(ADDRESS(473,36))</f>
        <v>0</v>
      </c>
      <c r="AK474">
        <f>INDIRECT(ADDRESS(474,36))+INDIRECT(ADDRESS(472,37))-INDIRECT(ADDRESS(473,37))</f>
        <v>0</v>
      </c>
      <c r="AL474">
        <f>INDIRECT(ADDRESS(474,37))+INDIRECT(ADDRESS(472,38))-INDIRECT(ADDRESS(473,38))</f>
        <v>0</v>
      </c>
      <c r="AM474">
        <f>INDIRECT(ADDRESS(474,38))+INDIRECT(ADDRESS(472,39))-INDIRECT(ADDRESS(473,39))</f>
        <v>0</v>
      </c>
      <c r="AN474">
        <f>INDIRECT(ADDRESS(474,39))+INDIRECT(ADDRESS(472,40))-INDIRECT(ADDRESS(473,40))</f>
        <v>0</v>
      </c>
      <c r="AO474">
        <f>SUM(INDIRECT(ADDRESS(473,8)):INDIRECT(ADDRESS(473,39)))</f>
        <v>0</v>
      </c>
    </row>
    <row r="475" spans="1:41">
      <c r="A475" t="s">
        <v>185</v>
      </c>
      <c r="B475" t="s">
        <v>344</v>
      </c>
      <c r="C475" t="s">
        <v>345</v>
      </c>
      <c r="E475">
        <v>8</v>
      </c>
      <c r="I475" t="s">
        <v>177</v>
      </c>
    </row>
    <row r="476" spans="1:41">
      <c r="I476" t="s">
        <v>178</v>
      </c>
      <c r="J476">
        <f>IFERROR(VLOOKUP("824-701000-100",B:AB,1+8,0),0)</f>
        <v>0</v>
      </c>
      <c r="K476">
        <f>IFERROR(VLOOKUP("824-701000-100",B:AB,2+8,0),0)</f>
        <v>0</v>
      </c>
      <c r="L476">
        <f>IFERROR(VLOOKUP("824-701000-100",B:AB,3+8,0),0)</f>
        <v>0</v>
      </c>
      <c r="M476">
        <f>IFERROR(VLOOKUP("824-701000-100",B:AB,4+8,0),0)</f>
        <v>0</v>
      </c>
      <c r="N476">
        <f>IFERROR(VLOOKUP("824-701000-100",B:AB,5+8,0),0)</f>
        <v>0</v>
      </c>
      <c r="O476">
        <f>IFERROR(VLOOKUP("824-701000-100",B:AB,6+8,0),0)</f>
        <v>0</v>
      </c>
      <c r="P476">
        <f>IFERROR(VLOOKUP("824-701000-100",B:AB,7+8,0),0)</f>
        <v>0</v>
      </c>
      <c r="Q476">
        <f>IFERROR(VLOOKUP("824-701000-100",B:AB,8+8,0),0)</f>
        <v>0</v>
      </c>
      <c r="R476">
        <f>IFERROR(VLOOKUP("824-701000-100",B:AB,9+8,0),0)</f>
        <v>0</v>
      </c>
      <c r="S476">
        <f>IFERROR(VLOOKUP("824-701000-100",B:AB,10+8,0),0)</f>
        <v>0</v>
      </c>
      <c r="T476">
        <f>IFERROR(VLOOKUP("824-701000-100",B:AB,11+8,0),0)</f>
        <v>0</v>
      </c>
      <c r="U476">
        <f>IFERROR(VLOOKUP("824-701000-100",B:AB,12+8,0),0)</f>
        <v>0</v>
      </c>
      <c r="V476">
        <f>IFERROR(VLOOKUP("824-701000-100",B:AB,13+8,0),0)</f>
        <v>0</v>
      </c>
      <c r="W476">
        <f>IFERROR(VLOOKUP("824-701000-100",B:AB,14+8,0),0)</f>
        <v>0</v>
      </c>
      <c r="X476">
        <f>IFERROR(VLOOKUP("824-701000-100",B:AB,15+8,0),0)</f>
        <v>0</v>
      </c>
      <c r="Y476">
        <f>IFERROR(VLOOKUP("824-701000-100",B:AB,16+8,0),0)</f>
        <v>0</v>
      </c>
      <c r="Z476">
        <f>IFERROR(VLOOKUP("824-701000-100",B:AB,17+8,0),0)</f>
        <v>0</v>
      </c>
      <c r="AA476">
        <f>IFERROR(VLOOKUP("824-701000-100",B:AB,18+8,0),0)</f>
        <v>0</v>
      </c>
      <c r="AB476">
        <f>IFERROR(VLOOKUP("824-701000-100",B:AB,19+8,0),0)</f>
        <v>0</v>
      </c>
      <c r="AC476">
        <f>IFERROR(VLOOKUP("824-701000-100",B:AB,20+8,0),0)</f>
        <v>0</v>
      </c>
      <c r="AD476">
        <f>IFERROR(VLOOKUP("824-701000-100",B:AB,21+8,0),0)</f>
        <v>0</v>
      </c>
      <c r="AE476">
        <f>IFERROR(VLOOKUP("824-701000-100",B:AB,22+8,0),0)</f>
        <v>0</v>
      </c>
      <c r="AF476">
        <f>IFERROR(VLOOKUP("824-701000-100",B:AB,23+8,0),0)</f>
        <v>0</v>
      </c>
      <c r="AG476">
        <f>IFERROR(VLOOKUP("824-701000-100",B:AB,24+8,0),0)</f>
        <v>0</v>
      </c>
      <c r="AH476">
        <f>IFERROR(VLOOKUP("824-701000-100",B:AB,25+8,0),0)</f>
        <v>0</v>
      </c>
      <c r="AI476">
        <f>IFERROR(VLOOKUP("824-701000-100",B:AB,26+8,0),0)</f>
        <v>0</v>
      </c>
      <c r="AJ476">
        <f>IFERROR(VLOOKUP("824-701000-100",B:AB,27+8,0),0)</f>
        <v>0</v>
      </c>
      <c r="AK476">
        <f>IFERROR(VLOOKUP("824-701000-100",B:AB,28+8,0),0)</f>
        <v>0</v>
      </c>
      <c r="AL476">
        <f>IFERROR(VLOOKUP("824-701000-100",B:AB,29+8,0),0)</f>
        <v>0</v>
      </c>
      <c r="AM476">
        <f>IFERROR(VLOOKUP("824-701000-100",B:AB,30+8,0),0)</f>
        <v>0</v>
      </c>
      <c r="AN476">
        <f>IFERROR(VLOOKUP("824-701000-100",B:AB,31+8,0),0)</f>
        <v>0</v>
      </c>
      <c r="AO476">
        <f>SUN(INDIRECT(ADDRESS(475,8)):INDIRECT(ADDRESS(475,39)))</f>
        <v>0</v>
      </c>
    </row>
    <row r="477" spans="1:41">
      <c r="H477" t="s">
        <v>179</v>
      </c>
      <c r="J477">
        <f>INDIRECT(ADDRESS(477,9))+INDIRECT(ADDRESS(475,10))-INDIRECT(ADDRESS(476,10))</f>
        <v>0</v>
      </c>
      <c r="K477">
        <f>INDIRECT(ADDRESS(477,10))+INDIRECT(ADDRESS(475,11))-INDIRECT(ADDRESS(476,11))</f>
        <v>0</v>
      </c>
      <c r="L477">
        <f>INDIRECT(ADDRESS(477,11))+INDIRECT(ADDRESS(475,12))-INDIRECT(ADDRESS(476,12))</f>
        <v>0</v>
      </c>
      <c r="M477">
        <f>INDIRECT(ADDRESS(477,12))+INDIRECT(ADDRESS(475,13))-INDIRECT(ADDRESS(476,13))</f>
        <v>0</v>
      </c>
      <c r="N477">
        <f>INDIRECT(ADDRESS(477,13))+INDIRECT(ADDRESS(475,14))-INDIRECT(ADDRESS(476,14))</f>
        <v>0</v>
      </c>
      <c r="O477">
        <f>INDIRECT(ADDRESS(477,14))+INDIRECT(ADDRESS(475,15))-INDIRECT(ADDRESS(476,15))</f>
        <v>0</v>
      </c>
      <c r="P477">
        <f>INDIRECT(ADDRESS(477,15))+INDIRECT(ADDRESS(475,16))-INDIRECT(ADDRESS(476,16))</f>
        <v>0</v>
      </c>
      <c r="Q477">
        <f>INDIRECT(ADDRESS(477,16))+INDIRECT(ADDRESS(475,17))-INDIRECT(ADDRESS(476,17))</f>
        <v>0</v>
      </c>
      <c r="R477">
        <f>INDIRECT(ADDRESS(477,17))+INDIRECT(ADDRESS(475,18))-INDIRECT(ADDRESS(476,18))</f>
        <v>0</v>
      </c>
      <c r="S477">
        <f>INDIRECT(ADDRESS(477,18))+INDIRECT(ADDRESS(475,19))-INDIRECT(ADDRESS(476,19))</f>
        <v>0</v>
      </c>
      <c r="T477">
        <f>INDIRECT(ADDRESS(477,19))+INDIRECT(ADDRESS(475,20))-INDIRECT(ADDRESS(476,20))</f>
        <v>0</v>
      </c>
      <c r="U477">
        <f>INDIRECT(ADDRESS(477,20))+INDIRECT(ADDRESS(475,21))-INDIRECT(ADDRESS(476,21))</f>
        <v>0</v>
      </c>
      <c r="V477">
        <f>INDIRECT(ADDRESS(477,21))+INDIRECT(ADDRESS(475,22))-INDIRECT(ADDRESS(476,22))</f>
        <v>0</v>
      </c>
      <c r="W477">
        <f>INDIRECT(ADDRESS(477,22))+INDIRECT(ADDRESS(475,23))-INDIRECT(ADDRESS(476,23))</f>
        <v>0</v>
      </c>
      <c r="X477">
        <f>INDIRECT(ADDRESS(477,23))+INDIRECT(ADDRESS(475,24))-INDIRECT(ADDRESS(476,24))</f>
        <v>0</v>
      </c>
      <c r="Y477">
        <f>INDIRECT(ADDRESS(477,24))+INDIRECT(ADDRESS(475,25))-INDIRECT(ADDRESS(476,25))</f>
        <v>0</v>
      </c>
      <c r="Z477">
        <f>INDIRECT(ADDRESS(477,25))+INDIRECT(ADDRESS(475,26))-INDIRECT(ADDRESS(476,26))</f>
        <v>0</v>
      </c>
      <c r="AA477">
        <f>INDIRECT(ADDRESS(477,26))+INDIRECT(ADDRESS(475,27))-INDIRECT(ADDRESS(476,27))</f>
        <v>0</v>
      </c>
      <c r="AB477">
        <f>INDIRECT(ADDRESS(477,27))+INDIRECT(ADDRESS(475,28))-INDIRECT(ADDRESS(476,28))</f>
        <v>0</v>
      </c>
      <c r="AC477">
        <f>INDIRECT(ADDRESS(477,28))+INDIRECT(ADDRESS(475,29))-INDIRECT(ADDRESS(476,29))</f>
        <v>0</v>
      </c>
      <c r="AD477">
        <f>INDIRECT(ADDRESS(477,29))+INDIRECT(ADDRESS(475,30))-INDIRECT(ADDRESS(476,30))</f>
        <v>0</v>
      </c>
      <c r="AE477">
        <f>INDIRECT(ADDRESS(477,30))+INDIRECT(ADDRESS(475,31))-INDIRECT(ADDRESS(476,31))</f>
        <v>0</v>
      </c>
      <c r="AF477">
        <f>INDIRECT(ADDRESS(477,31))+INDIRECT(ADDRESS(475,32))-INDIRECT(ADDRESS(476,32))</f>
        <v>0</v>
      </c>
      <c r="AG477">
        <f>INDIRECT(ADDRESS(477,32))+INDIRECT(ADDRESS(475,33))-INDIRECT(ADDRESS(476,33))</f>
        <v>0</v>
      </c>
      <c r="AH477">
        <f>INDIRECT(ADDRESS(477,33))+INDIRECT(ADDRESS(475,34))-INDIRECT(ADDRESS(476,34))</f>
        <v>0</v>
      </c>
      <c r="AI477">
        <f>INDIRECT(ADDRESS(477,34))+INDIRECT(ADDRESS(475,35))-INDIRECT(ADDRESS(476,35))</f>
        <v>0</v>
      </c>
      <c r="AJ477">
        <f>INDIRECT(ADDRESS(477,35))+INDIRECT(ADDRESS(475,36))-INDIRECT(ADDRESS(476,36))</f>
        <v>0</v>
      </c>
      <c r="AK477">
        <f>INDIRECT(ADDRESS(477,36))+INDIRECT(ADDRESS(475,37))-INDIRECT(ADDRESS(476,37))</f>
        <v>0</v>
      </c>
      <c r="AL477">
        <f>INDIRECT(ADDRESS(477,37))+INDIRECT(ADDRESS(475,38))-INDIRECT(ADDRESS(476,38))</f>
        <v>0</v>
      </c>
      <c r="AM477">
        <f>INDIRECT(ADDRESS(477,38))+INDIRECT(ADDRESS(475,39))-INDIRECT(ADDRESS(476,39))</f>
        <v>0</v>
      </c>
      <c r="AN477">
        <f>INDIRECT(ADDRESS(477,39))+INDIRECT(ADDRESS(475,40))-INDIRECT(ADDRESS(476,40))</f>
        <v>0</v>
      </c>
      <c r="AO477">
        <f>SUM(INDIRECT(ADDRESS(476,8)):INDIRECT(ADDRESS(476,39)))</f>
        <v>0</v>
      </c>
    </row>
    <row r="478" spans="1:41">
      <c r="A478" t="s">
        <v>185</v>
      </c>
      <c r="B478" t="s">
        <v>355</v>
      </c>
      <c r="C478" t="s">
        <v>356</v>
      </c>
      <c r="E478">
        <v>2</v>
      </c>
      <c r="I478" t="s">
        <v>177</v>
      </c>
    </row>
    <row r="479" spans="1:41">
      <c r="I479" t="s">
        <v>178</v>
      </c>
      <c r="J479">
        <f>IFERROR(VLOOKUP("824-701000-100",B:AB,1+8,0),0)</f>
        <v>0</v>
      </c>
      <c r="K479">
        <f>IFERROR(VLOOKUP("824-701000-100",B:AB,2+8,0),0)</f>
        <v>0</v>
      </c>
      <c r="L479">
        <f>IFERROR(VLOOKUP("824-701000-100",B:AB,3+8,0),0)</f>
        <v>0</v>
      </c>
      <c r="M479">
        <f>IFERROR(VLOOKUP("824-701000-100",B:AB,4+8,0),0)</f>
        <v>0</v>
      </c>
      <c r="N479">
        <f>IFERROR(VLOOKUP("824-701000-100",B:AB,5+8,0),0)</f>
        <v>0</v>
      </c>
      <c r="O479">
        <f>IFERROR(VLOOKUP("824-701000-100",B:AB,6+8,0),0)</f>
        <v>0</v>
      </c>
      <c r="P479">
        <f>IFERROR(VLOOKUP("824-701000-100",B:AB,7+8,0),0)</f>
        <v>0</v>
      </c>
      <c r="Q479">
        <f>IFERROR(VLOOKUP("824-701000-100",B:AB,8+8,0),0)</f>
        <v>0</v>
      </c>
      <c r="R479">
        <f>IFERROR(VLOOKUP("824-701000-100",B:AB,9+8,0),0)</f>
        <v>0</v>
      </c>
      <c r="S479">
        <f>IFERROR(VLOOKUP("824-701000-100",B:AB,10+8,0),0)</f>
        <v>0</v>
      </c>
      <c r="T479">
        <f>IFERROR(VLOOKUP("824-701000-100",B:AB,11+8,0),0)</f>
        <v>0</v>
      </c>
      <c r="U479">
        <f>IFERROR(VLOOKUP("824-701000-100",B:AB,12+8,0),0)</f>
        <v>0</v>
      </c>
      <c r="V479">
        <f>IFERROR(VLOOKUP("824-701000-100",B:AB,13+8,0),0)</f>
        <v>0</v>
      </c>
      <c r="W479">
        <f>IFERROR(VLOOKUP("824-701000-100",B:AB,14+8,0),0)</f>
        <v>0</v>
      </c>
      <c r="X479">
        <f>IFERROR(VLOOKUP("824-701000-100",B:AB,15+8,0),0)</f>
        <v>0</v>
      </c>
      <c r="Y479">
        <f>IFERROR(VLOOKUP("824-701000-100",B:AB,16+8,0),0)</f>
        <v>0</v>
      </c>
      <c r="Z479">
        <f>IFERROR(VLOOKUP("824-701000-100",B:AB,17+8,0),0)</f>
        <v>0</v>
      </c>
      <c r="AA479">
        <f>IFERROR(VLOOKUP("824-701000-100",B:AB,18+8,0),0)</f>
        <v>0</v>
      </c>
      <c r="AB479">
        <f>IFERROR(VLOOKUP("824-701000-100",B:AB,19+8,0),0)</f>
        <v>0</v>
      </c>
      <c r="AC479">
        <f>IFERROR(VLOOKUP("824-701000-100",B:AB,20+8,0),0)</f>
        <v>0</v>
      </c>
      <c r="AD479">
        <f>IFERROR(VLOOKUP("824-701000-100",B:AB,21+8,0),0)</f>
        <v>0</v>
      </c>
      <c r="AE479">
        <f>IFERROR(VLOOKUP("824-701000-100",B:AB,22+8,0),0)</f>
        <v>0</v>
      </c>
      <c r="AF479">
        <f>IFERROR(VLOOKUP("824-701000-100",B:AB,23+8,0),0)</f>
        <v>0</v>
      </c>
      <c r="AG479">
        <f>IFERROR(VLOOKUP("824-701000-100",B:AB,24+8,0),0)</f>
        <v>0</v>
      </c>
      <c r="AH479">
        <f>IFERROR(VLOOKUP("824-701000-100",B:AB,25+8,0),0)</f>
        <v>0</v>
      </c>
      <c r="AI479">
        <f>IFERROR(VLOOKUP("824-701000-100",B:AB,26+8,0),0)</f>
        <v>0</v>
      </c>
      <c r="AJ479">
        <f>IFERROR(VLOOKUP("824-701000-100",B:AB,27+8,0),0)</f>
        <v>0</v>
      </c>
      <c r="AK479">
        <f>IFERROR(VLOOKUP("824-701000-100",B:AB,28+8,0),0)</f>
        <v>0</v>
      </c>
      <c r="AL479">
        <f>IFERROR(VLOOKUP("824-701000-100",B:AB,29+8,0),0)</f>
        <v>0</v>
      </c>
      <c r="AM479">
        <f>IFERROR(VLOOKUP("824-701000-100",B:AB,30+8,0),0)</f>
        <v>0</v>
      </c>
      <c r="AN479">
        <f>IFERROR(VLOOKUP("824-701000-100",B:AB,31+8,0),0)</f>
        <v>0</v>
      </c>
      <c r="AO479">
        <f>SUN(INDIRECT(ADDRESS(478,8)):INDIRECT(ADDRESS(478,39)))</f>
        <v>0</v>
      </c>
    </row>
    <row r="480" spans="1:41">
      <c r="H480" t="s">
        <v>179</v>
      </c>
      <c r="J480">
        <f>INDIRECT(ADDRESS(480,9))+INDIRECT(ADDRESS(478,10))-INDIRECT(ADDRESS(479,10))</f>
        <v>0</v>
      </c>
      <c r="K480">
        <f>INDIRECT(ADDRESS(480,10))+INDIRECT(ADDRESS(478,11))-INDIRECT(ADDRESS(479,11))</f>
        <v>0</v>
      </c>
      <c r="L480">
        <f>INDIRECT(ADDRESS(480,11))+INDIRECT(ADDRESS(478,12))-INDIRECT(ADDRESS(479,12))</f>
        <v>0</v>
      </c>
      <c r="M480">
        <f>INDIRECT(ADDRESS(480,12))+INDIRECT(ADDRESS(478,13))-INDIRECT(ADDRESS(479,13))</f>
        <v>0</v>
      </c>
      <c r="N480">
        <f>INDIRECT(ADDRESS(480,13))+INDIRECT(ADDRESS(478,14))-INDIRECT(ADDRESS(479,14))</f>
        <v>0</v>
      </c>
      <c r="O480">
        <f>INDIRECT(ADDRESS(480,14))+INDIRECT(ADDRESS(478,15))-INDIRECT(ADDRESS(479,15))</f>
        <v>0</v>
      </c>
      <c r="P480">
        <f>INDIRECT(ADDRESS(480,15))+INDIRECT(ADDRESS(478,16))-INDIRECT(ADDRESS(479,16))</f>
        <v>0</v>
      </c>
      <c r="Q480">
        <f>INDIRECT(ADDRESS(480,16))+INDIRECT(ADDRESS(478,17))-INDIRECT(ADDRESS(479,17))</f>
        <v>0</v>
      </c>
      <c r="R480">
        <f>INDIRECT(ADDRESS(480,17))+INDIRECT(ADDRESS(478,18))-INDIRECT(ADDRESS(479,18))</f>
        <v>0</v>
      </c>
      <c r="S480">
        <f>INDIRECT(ADDRESS(480,18))+INDIRECT(ADDRESS(478,19))-INDIRECT(ADDRESS(479,19))</f>
        <v>0</v>
      </c>
      <c r="T480">
        <f>INDIRECT(ADDRESS(480,19))+INDIRECT(ADDRESS(478,20))-INDIRECT(ADDRESS(479,20))</f>
        <v>0</v>
      </c>
      <c r="U480">
        <f>INDIRECT(ADDRESS(480,20))+INDIRECT(ADDRESS(478,21))-INDIRECT(ADDRESS(479,21))</f>
        <v>0</v>
      </c>
      <c r="V480">
        <f>INDIRECT(ADDRESS(480,21))+INDIRECT(ADDRESS(478,22))-INDIRECT(ADDRESS(479,22))</f>
        <v>0</v>
      </c>
      <c r="W480">
        <f>INDIRECT(ADDRESS(480,22))+INDIRECT(ADDRESS(478,23))-INDIRECT(ADDRESS(479,23))</f>
        <v>0</v>
      </c>
      <c r="X480">
        <f>INDIRECT(ADDRESS(480,23))+INDIRECT(ADDRESS(478,24))-INDIRECT(ADDRESS(479,24))</f>
        <v>0</v>
      </c>
      <c r="Y480">
        <f>INDIRECT(ADDRESS(480,24))+INDIRECT(ADDRESS(478,25))-INDIRECT(ADDRESS(479,25))</f>
        <v>0</v>
      </c>
      <c r="Z480">
        <f>INDIRECT(ADDRESS(480,25))+INDIRECT(ADDRESS(478,26))-INDIRECT(ADDRESS(479,26))</f>
        <v>0</v>
      </c>
      <c r="AA480">
        <f>INDIRECT(ADDRESS(480,26))+INDIRECT(ADDRESS(478,27))-INDIRECT(ADDRESS(479,27))</f>
        <v>0</v>
      </c>
      <c r="AB480">
        <f>INDIRECT(ADDRESS(480,27))+INDIRECT(ADDRESS(478,28))-INDIRECT(ADDRESS(479,28))</f>
        <v>0</v>
      </c>
      <c r="AC480">
        <f>INDIRECT(ADDRESS(480,28))+INDIRECT(ADDRESS(478,29))-INDIRECT(ADDRESS(479,29))</f>
        <v>0</v>
      </c>
      <c r="AD480">
        <f>INDIRECT(ADDRESS(480,29))+INDIRECT(ADDRESS(478,30))-INDIRECT(ADDRESS(479,30))</f>
        <v>0</v>
      </c>
      <c r="AE480">
        <f>INDIRECT(ADDRESS(480,30))+INDIRECT(ADDRESS(478,31))-INDIRECT(ADDRESS(479,31))</f>
        <v>0</v>
      </c>
      <c r="AF480">
        <f>INDIRECT(ADDRESS(480,31))+INDIRECT(ADDRESS(478,32))-INDIRECT(ADDRESS(479,32))</f>
        <v>0</v>
      </c>
      <c r="AG480">
        <f>INDIRECT(ADDRESS(480,32))+INDIRECT(ADDRESS(478,33))-INDIRECT(ADDRESS(479,33))</f>
        <v>0</v>
      </c>
      <c r="AH480">
        <f>INDIRECT(ADDRESS(480,33))+INDIRECT(ADDRESS(478,34))-INDIRECT(ADDRESS(479,34))</f>
        <v>0</v>
      </c>
      <c r="AI480">
        <f>INDIRECT(ADDRESS(480,34))+INDIRECT(ADDRESS(478,35))-INDIRECT(ADDRESS(479,35))</f>
        <v>0</v>
      </c>
      <c r="AJ480">
        <f>INDIRECT(ADDRESS(480,35))+INDIRECT(ADDRESS(478,36))-INDIRECT(ADDRESS(479,36))</f>
        <v>0</v>
      </c>
      <c r="AK480">
        <f>INDIRECT(ADDRESS(480,36))+INDIRECT(ADDRESS(478,37))-INDIRECT(ADDRESS(479,37))</f>
        <v>0</v>
      </c>
      <c r="AL480">
        <f>INDIRECT(ADDRESS(480,37))+INDIRECT(ADDRESS(478,38))-INDIRECT(ADDRESS(479,38))</f>
        <v>0</v>
      </c>
      <c r="AM480">
        <f>INDIRECT(ADDRESS(480,38))+INDIRECT(ADDRESS(478,39))-INDIRECT(ADDRESS(479,39))</f>
        <v>0</v>
      </c>
      <c r="AN480">
        <f>INDIRECT(ADDRESS(480,39))+INDIRECT(ADDRESS(478,40))-INDIRECT(ADDRESS(479,40))</f>
        <v>0</v>
      </c>
      <c r="AO480">
        <f>SUM(INDIRECT(ADDRESS(479,8)):INDIRECT(ADDRESS(479,39)))</f>
        <v>0</v>
      </c>
    </row>
    <row r="481" spans="1:41">
      <c r="A481" t="s">
        <v>185</v>
      </c>
      <c r="B481" t="s">
        <v>357</v>
      </c>
      <c r="C481" t="s">
        <v>358</v>
      </c>
      <c r="E481">
        <v>8</v>
      </c>
      <c r="I481" t="s">
        <v>177</v>
      </c>
    </row>
    <row r="482" spans="1:41">
      <c r="I482" t="s">
        <v>178</v>
      </c>
      <c r="J482">
        <f>IFERROR(VLOOKUP("824-701000-100",B:AB,1+8,0),0)</f>
        <v>0</v>
      </c>
      <c r="K482">
        <f>IFERROR(VLOOKUP("824-701000-100",B:AB,2+8,0),0)</f>
        <v>0</v>
      </c>
      <c r="L482">
        <f>IFERROR(VLOOKUP("824-701000-100",B:AB,3+8,0),0)</f>
        <v>0</v>
      </c>
      <c r="M482">
        <f>IFERROR(VLOOKUP("824-701000-100",B:AB,4+8,0),0)</f>
        <v>0</v>
      </c>
      <c r="N482">
        <f>IFERROR(VLOOKUP("824-701000-100",B:AB,5+8,0),0)</f>
        <v>0</v>
      </c>
      <c r="O482">
        <f>IFERROR(VLOOKUP("824-701000-100",B:AB,6+8,0),0)</f>
        <v>0</v>
      </c>
      <c r="P482">
        <f>IFERROR(VLOOKUP("824-701000-100",B:AB,7+8,0),0)</f>
        <v>0</v>
      </c>
      <c r="Q482">
        <f>IFERROR(VLOOKUP("824-701000-100",B:AB,8+8,0),0)</f>
        <v>0</v>
      </c>
      <c r="R482">
        <f>IFERROR(VLOOKUP("824-701000-100",B:AB,9+8,0),0)</f>
        <v>0</v>
      </c>
      <c r="S482">
        <f>IFERROR(VLOOKUP("824-701000-100",B:AB,10+8,0),0)</f>
        <v>0</v>
      </c>
      <c r="T482">
        <f>IFERROR(VLOOKUP("824-701000-100",B:AB,11+8,0),0)</f>
        <v>0</v>
      </c>
      <c r="U482">
        <f>IFERROR(VLOOKUP("824-701000-100",B:AB,12+8,0),0)</f>
        <v>0</v>
      </c>
      <c r="V482">
        <f>IFERROR(VLOOKUP("824-701000-100",B:AB,13+8,0),0)</f>
        <v>0</v>
      </c>
      <c r="W482">
        <f>IFERROR(VLOOKUP("824-701000-100",B:AB,14+8,0),0)</f>
        <v>0</v>
      </c>
      <c r="X482">
        <f>IFERROR(VLOOKUP("824-701000-100",B:AB,15+8,0),0)</f>
        <v>0</v>
      </c>
      <c r="Y482">
        <f>IFERROR(VLOOKUP("824-701000-100",B:AB,16+8,0),0)</f>
        <v>0</v>
      </c>
      <c r="Z482">
        <f>IFERROR(VLOOKUP("824-701000-100",B:AB,17+8,0),0)</f>
        <v>0</v>
      </c>
      <c r="AA482">
        <f>IFERROR(VLOOKUP("824-701000-100",B:AB,18+8,0),0)</f>
        <v>0</v>
      </c>
      <c r="AB482">
        <f>IFERROR(VLOOKUP("824-701000-100",B:AB,19+8,0),0)</f>
        <v>0</v>
      </c>
      <c r="AC482">
        <f>IFERROR(VLOOKUP("824-701000-100",B:AB,20+8,0),0)</f>
        <v>0</v>
      </c>
      <c r="AD482">
        <f>IFERROR(VLOOKUP("824-701000-100",B:AB,21+8,0),0)</f>
        <v>0</v>
      </c>
      <c r="AE482">
        <f>IFERROR(VLOOKUP("824-701000-100",B:AB,22+8,0),0)</f>
        <v>0</v>
      </c>
      <c r="AF482">
        <f>IFERROR(VLOOKUP("824-701000-100",B:AB,23+8,0),0)</f>
        <v>0</v>
      </c>
      <c r="AG482">
        <f>IFERROR(VLOOKUP("824-701000-100",B:AB,24+8,0),0)</f>
        <v>0</v>
      </c>
      <c r="AH482">
        <f>IFERROR(VLOOKUP("824-701000-100",B:AB,25+8,0),0)</f>
        <v>0</v>
      </c>
      <c r="AI482">
        <f>IFERROR(VLOOKUP("824-701000-100",B:AB,26+8,0),0)</f>
        <v>0</v>
      </c>
      <c r="AJ482">
        <f>IFERROR(VLOOKUP("824-701000-100",B:AB,27+8,0),0)</f>
        <v>0</v>
      </c>
      <c r="AK482">
        <f>IFERROR(VLOOKUP("824-701000-100",B:AB,28+8,0),0)</f>
        <v>0</v>
      </c>
      <c r="AL482">
        <f>IFERROR(VLOOKUP("824-701000-100",B:AB,29+8,0),0)</f>
        <v>0</v>
      </c>
      <c r="AM482">
        <f>IFERROR(VLOOKUP("824-701000-100",B:AB,30+8,0),0)</f>
        <v>0</v>
      </c>
      <c r="AN482">
        <f>IFERROR(VLOOKUP("824-701000-100",B:AB,31+8,0),0)</f>
        <v>0</v>
      </c>
      <c r="AO482">
        <f>SUN(INDIRECT(ADDRESS(481,8)):INDIRECT(ADDRESS(481,39)))</f>
        <v>0</v>
      </c>
    </row>
    <row r="483" spans="1:41">
      <c r="H483" t="s">
        <v>179</v>
      </c>
      <c r="J483">
        <f>INDIRECT(ADDRESS(483,9))+INDIRECT(ADDRESS(481,10))-INDIRECT(ADDRESS(482,10))</f>
        <v>0</v>
      </c>
      <c r="K483">
        <f>INDIRECT(ADDRESS(483,10))+INDIRECT(ADDRESS(481,11))-INDIRECT(ADDRESS(482,11))</f>
        <v>0</v>
      </c>
      <c r="L483">
        <f>INDIRECT(ADDRESS(483,11))+INDIRECT(ADDRESS(481,12))-INDIRECT(ADDRESS(482,12))</f>
        <v>0</v>
      </c>
      <c r="M483">
        <f>INDIRECT(ADDRESS(483,12))+INDIRECT(ADDRESS(481,13))-INDIRECT(ADDRESS(482,13))</f>
        <v>0</v>
      </c>
      <c r="N483">
        <f>INDIRECT(ADDRESS(483,13))+INDIRECT(ADDRESS(481,14))-INDIRECT(ADDRESS(482,14))</f>
        <v>0</v>
      </c>
      <c r="O483">
        <f>INDIRECT(ADDRESS(483,14))+INDIRECT(ADDRESS(481,15))-INDIRECT(ADDRESS(482,15))</f>
        <v>0</v>
      </c>
      <c r="P483">
        <f>INDIRECT(ADDRESS(483,15))+INDIRECT(ADDRESS(481,16))-INDIRECT(ADDRESS(482,16))</f>
        <v>0</v>
      </c>
      <c r="Q483">
        <f>INDIRECT(ADDRESS(483,16))+INDIRECT(ADDRESS(481,17))-INDIRECT(ADDRESS(482,17))</f>
        <v>0</v>
      </c>
      <c r="R483">
        <f>INDIRECT(ADDRESS(483,17))+INDIRECT(ADDRESS(481,18))-INDIRECT(ADDRESS(482,18))</f>
        <v>0</v>
      </c>
      <c r="S483">
        <f>INDIRECT(ADDRESS(483,18))+INDIRECT(ADDRESS(481,19))-INDIRECT(ADDRESS(482,19))</f>
        <v>0</v>
      </c>
      <c r="T483">
        <f>INDIRECT(ADDRESS(483,19))+INDIRECT(ADDRESS(481,20))-INDIRECT(ADDRESS(482,20))</f>
        <v>0</v>
      </c>
      <c r="U483">
        <f>INDIRECT(ADDRESS(483,20))+INDIRECT(ADDRESS(481,21))-INDIRECT(ADDRESS(482,21))</f>
        <v>0</v>
      </c>
      <c r="V483">
        <f>INDIRECT(ADDRESS(483,21))+INDIRECT(ADDRESS(481,22))-INDIRECT(ADDRESS(482,22))</f>
        <v>0</v>
      </c>
      <c r="W483">
        <f>INDIRECT(ADDRESS(483,22))+INDIRECT(ADDRESS(481,23))-INDIRECT(ADDRESS(482,23))</f>
        <v>0</v>
      </c>
      <c r="X483">
        <f>INDIRECT(ADDRESS(483,23))+INDIRECT(ADDRESS(481,24))-INDIRECT(ADDRESS(482,24))</f>
        <v>0</v>
      </c>
      <c r="Y483">
        <f>INDIRECT(ADDRESS(483,24))+INDIRECT(ADDRESS(481,25))-INDIRECT(ADDRESS(482,25))</f>
        <v>0</v>
      </c>
      <c r="Z483">
        <f>INDIRECT(ADDRESS(483,25))+INDIRECT(ADDRESS(481,26))-INDIRECT(ADDRESS(482,26))</f>
        <v>0</v>
      </c>
      <c r="AA483">
        <f>INDIRECT(ADDRESS(483,26))+INDIRECT(ADDRESS(481,27))-INDIRECT(ADDRESS(482,27))</f>
        <v>0</v>
      </c>
      <c r="AB483">
        <f>INDIRECT(ADDRESS(483,27))+INDIRECT(ADDRESS(481,28))-INDIRECT(ADDRESS(482,28))</f>
        <v>0</v>
      </c>
      <c r="AC483">
        <f>INDIRECT(ADDRESS(483,28))+INDIRECT(ADDRESS(481,29))-INDIRECT(ADDRESS(482,29))</f>
        <v>0</v>
      </c>
      <c r="AD483">
        <f>INDIRECT(ADDRESS(483,29))+INDIRECT(ADDRESS(481,30))-INDIRECT(ADDRESS(482,30))</f>
        <v>0</v>
      </c>
      <c r="AE483">
        <f>INDIRECT(ADDRESS(483,30))+INDIRECT(ADDRESS(481,31))-INDIRECT(ADDRESS(482,31))</f>
        <v>0</v>
      </c>
      <c r="AF483">
        <f>INDIRECT(ADDRESS(483,31))+INDIRECT(ADDRESS(481,32))-INDIRECT(ADDRESS(482,32))</f>
        <v>0</v>
      </c>
      <c r="AG483">
        <f>INDIRECT(ADDRESS(483,32))+INDIRECT(ADDRESS(481,33))-INDIRECT(ADDRESS(482,33))</f>
        <v>0</v>
      </c>
      <c r="AH483">
        <f>INDIRECT(ADDRESS(483,33))+INDIRECT(ADDRESS(481,34))-INDIRECT(ADDRESS(482,34))</f>
        <v>0</v>
      </c>
      <c r="AI483">
        <f>INDIRECT(ADDRESS(483,34))+INDIRECT(ADDRESS(481,35))-INDIRECT(ADDRESS(482,35))</f>
        <v>0</v>
      </c>
      <c r="AJ483">
        <f>INDIRECT(ADDRESS(483,35))+INDIRECT(ADDRESS(481,36))-INDIRECT(ADDRESS(482,36))</f>
        <v>0</v>
      </c>
      <c r="AK483">
        <f>INDIRECT(ADDRESS(483,36))+INDIRECT(ADDRESS(481,37))-INDIRECT(ADDRESS(482,37))</f>
        <v>0</v>
      </c>
      <c r="AL483">
        <f>INDIRECT(ADDRESS(483,37))+INDIRECT(ADDRESS(481,38))-INDIRECT(ADDRESS(482,38))</f>
        <v>0</v>
      </c>
      <c r="AM483">
        <f>INDIRECT(ADDRESS(483,38))+INDIRECT(ADDRESS(481,39))-INDIRECT(ADDRESS(482,39))</f>
        <v>0</v>
      </c>
      <c r="AN483">
        <f>INDIRECT(ADDRESS(483,39))+INDIRECT(ADDRESS(481,40))-INDIRECT(ADDRESS(482,40))</f>
        <v>0</v>
      </c>
      <c r="AO483">
        <f>SUM(INDIRECT(ADDRESS(482,8)):INDIRECT(ADDRESS(482,39)))</f>
        <v>0</v>
      </c>
    </row>
    <row r="484" spans="1:41">
      <c r="A484" t="s">
        <v>185</v>
      </c>
      <c r="B484" t="s">
        <v>359</v>
      </c>
      <c r="C484" t="s">
        <v>360</v>
      </c>
      <c r="E484">
        <v>1</v>
      </c>
      <c r="I484" t="s">
        <v>177</v>
      </c>
    </row>
    <row r="485" spans="1:41">
      <c r="I485" t="s">
        <v>178</v>
      </c>
      <c r="J485">
        <f>IFERROR(VLOOKUP("824-701000-100",B:AB,1+8,0),0)</f>
        <v>0</v>
      </c>
      <c r="K485">
        <f>IFERROR(VLOOKUP("824-701000-100",B:AB,2+8,0),0)</f>
        <v>0</v>
      </c>
      <c r="L485">
        <f>IFERROR(VLOOKUP("824-701000-100",B:AB,3+8,0),0)</f>
        <v>0</v>
      </c>
      <c r="M485">
        <f>IFERROR(VLOOKUP("824-701000-100",B:AB,4+8,0),0)</f>
        <v>0</v>
      </c>
      <c r="N485">
        <f>IFERROR(VLOOKUP("824-701000-100",B:AB,5+8,0),0)</f>
        <v>0</v>
      </c>
      <c r="O485">
        <f>IFERROR(VLOOKUP("824-701000-100",B:AB,6+8,0),0)</f>
        <v>0</v>
      </c>
      <c r="P485">
        <f>IFERROR(VLOOKUP("824-701000-100",B:AB,7+8,0),0)</f>
        <v>0</v>
      </c>
      <c r="Q485">
        <f>IFERROR(VLOOKUP("824-701000-100",B:AB,8+8,0),0)</f>
        <v>0</v>
      </c>
      <c r="R485">
        <f>IFERROR(VLOOKUP("824-701000-100",B:AB,9+8,0),0)</f>
        <v>0</v>
      </c>
      <c r="S485">
        <f>IFERROR(VLOOKUP("824-701000-100",B:AB,10+8,0),0)</f>
        <v>0</v>
      </c>
      <c r="T485">
        <f>IFERROR(VLOOKUP("824-701000-100",B:AB,11+8,0),0)</f>
        <v>0</v>
      </c>
      <c r="U485">
        <f>IFERROR(VLOOKUP("824-701000-100",B:AB,12+8,0),0)</f>
        <v>0</v>
      </c>
      <c r="V485">
        <f>IFERROR(VLOOKUP("824-701000-100",B:AB,13+8,0),0)</f>
        <v>0</v>
      </c>
      <c r="W485">
        <f>IFERROR(VLOOKUP("824-701000-100",B:AB,14+8,0),0)</f>
        <v>0</v>
      </c>
      <c r="X485">
        <f>IFERROR(VLOOKUP("824-701000-100",B:AB,15+8,0),0)</f>
        <v>0</v>
      </c>
      <c r="Y485">
        <f>IFERROR(VLOOKUP("824-701000-100",B:AB,16+8,0),0)</f>
        <v>0</v>
      </c>
      <c r="Z485">
        <f>IFERROR(VLOOKUP("824-701000-100",B:AB,17+8,0),0)</f>
        <v>0</v>
      </c>
      <c r="AA485">
        <f>IFERROR(VLOOKUP("824-701000-100",B:AB,18+8,0),0)</f>
        <v>0</v>
      </c>
      <c r="AB485">
        <f>IFERROR(VLOOKUP("824-701000-100",B:AB,19+8,0),0)</f>
        <v>0</v>
      </c>
      <c r="AC485">
        <f>IFERROR(VLOOKUP("824-701000-100",B:AB,20+8,0),0)</f>
        <v>0</v>
      </c>
      <c r="AD485">
        <f>IFERROR(VLOOKUP("824-701000-100",B:AB,21+8,0),0)</f>
        <v>0</v>
      </c>
      <c r="AE485">
        <f>IFERROR(VLOOKUP("824-701000-100",B:AB,22+8,0),0)</f>
        <v>0</v>
      </c>
      <c r="AF485">
        <f>IFERROR(VLOOKUP("824-701000-100",B:AB,23+8,0),0)</f>
        <v>0</v>
      </c>
      <c r="AG485">
        <f>IFERROR(VLOOKUP("824-701000-100",B:AB,24+8,0),0)</f>
        <v>0</v>
      </c>
      <c r="AH485">
        <f>IFERROR(VLOOKUP("824-701000-100",B:AB,25+8,0),0)</f>
        <v>0</v>
      </c>
      <c r="AI485">
        <f>IFERROR(VLOOKUP("824-701000-100",B:AB,26+8,0),0)</f>
        <v>0</v>
      </c>
      <c r="AJ485">
        <f>IFERROR(VLOOKUP("824-701000-100",B:AB,27+8,0),0)</f>
        <v>0</v>
      </c>
      <c r="AK485">
        <f>IFERROR(VLOOKUP("824-701000-100",B:AB,28+8,0),0)</f>
        <v>0</v>
      </c>
      <c r="AL485">
        <f>IFERROR(VLOOKUP("824-701000-100",B:AB,29+8,0),0)</f>
        <v>0</v>
      </c>
      <c r="AM485">
        <f>IFERROR(VLOOKUP("824-701000-100",B:AB,30+8,0),0)</f>
        <v>0</v>
      </c>
      <c r="AN485">
        <f>IFERROR(VLOOKUP("824-701000-100",B:AB,31+8,0),0)</f>
        <v>0</v>
      </c>
      <c r="AO485">
        <f>SUN(INDIRECT(ADDRESS(484,8)):INDIRECT(ADDRESS(484,39)))</f>
        <v>0</v>
      </c>
    </row>
    <row r="486" spans="1:41">
      <c r="H486" t="s">
        <v>179</v>
      </c>
      <c r="J486">
        <f>INDIRECT(ADDRESS(486,9))+INDIRECT(ADDRESS(484,10))-INDIRECT(ADDRESS(485,10))</f>
        <v>0</v>
      </c>
      <c r="K486">
        <f>INDIRECT(ADDRESS(486,10))+INDIRECT(ADDRESS(484,11))-INDIRECT(ADDRESS(485,11))</f>
        <v>0</v>
      </c>
      <c r="L486">
        <f>INDIRECT(ADDRESS(486,11))+INDIRECT(ADDRESS(484,12))-INDIRECT(ADDRESS(485,12))</f>
        <v>0</v>
      </c>
      <c r="M486">
        <f>INDIRECT(ADDRESS(486,12))+INDIRECT(ADDRESS(484,13))-INDIRECT(ADDRESS(485,13))</f>
        <v>0</v>
      </c>
      <c r="N486">
        <f>INDIRECT(ADDRESS(486,13))+INDIRECT(ADDRESS(484,14))-INDIRECT(ADDRESS(485,14))</f>
        <v>0</v>
      </c>
      <c r="O486">
        <f>INDIRECT(ADDRESS(486,14))+INDIRECT(ADDRESS(484,15))-INDIRECT(ADDRESS(485,15))</f>
        <v>0</v>
      </c>
      <c r="P486">
        <f>INDIRECT(ADDRESS(486,15))+INDIRECT(ADDRESS(484,16))-INDIRECT(ADDRESS(485,16))</f>
        <v>0</v>
      </c>
      <c r="Q486">
        <f>INDIRECT(ADDRESS(486,16))+INDIRECT(ADDRESS(484,17))-INDIRECT(ADDRESS(485,17))</f>
        <v>0</v>
      </c>
      <c r="R486">
        <f>INDIRECT(ADDRESS(486,17))+INDIRECT(ADDRESS(484,18))-INDIRECT(ADDRESS(485,18))</f>
        <v>0</v>
      </c>
      <c r="S486">
        <f>INDIRECT(ADDRESS(486,18))+INDIRECT(ADDRESS(484,19))-INDIRECT(ADDRESS(485,19))</f>
        <v>0</v>
      </c>
      <c r="T486">
        <f>INDIRECT(ADDRESS(486,19))+INDIRECT(ADDRESS(484,20))-INDIRECT(ADDRESS(485,20))</f>
        <v>0</v>
      </c>
      <c r="U486">
        <f>INDIRECT(ADDRESS(486,20))+INDIRECT(ADDRESS(484,21))-INDIRECT(ADDRESS(485,21))</f>
        <v>0</v>
      </c>
      <c r="V486">
        <f>INDIRECT(ADDRESS(486,21))+INDIRECT(ADDRESS(484,22))-INDIRECT(ADDRESS(485,22))</f>
        <v>0</v>
      </c>
      <c r="W486">
        <f>INDIRECT(ADDRESS(486,22))+INDIRECT(ADDRESS(484,23))-INDIRECT(ADDRESS(485,23))</f>
        <v>0</v>
      </c>
      <c r="X486">
        <f>INDIRECT(ADDRESS(486,23))+INDIRECT(ADDRESS(484,24))-INDIRECT(ADDRESS(485,24))</f>
        <v>0</v>
      </c>
      <c r="Y486">
        <f>INDIRECT(ADDRESS(486,24))+INDIRECT(ADDRESS(484,25))-INDIRECT(ADDRESS(485,25))</f>
        <v>0</v>
      </c>
      <c r="Z486">
        <f>INDIRECT(ADDRESS(486,25))+INDIRECT(ADDRESS(484,26))-INDIRECT(ADDRESS(485,26))</f>
        <v>0</v>
      </c>
      <c r="AA486">
        <f>INDIRECT(ADDRESS(486,26))+INDIRECT(ADDRESS(484,27))-INDIRECT(ADDRESS(485,27))</f>
        <v>0</v>
      </c>
      <c r="AB486">
        <f>INDIRECT(ADDRESS(486,27))+INDIRECT(ADDRESS(484,28))-INDIRECT(ADDRESS(485,28))</f>
        <v>0</v>
      </c>
      <c r="AC486">
        <f>INDIRECT(ADDRESS(486,28))+INDIRECT(ADDRESS(484,29))-INDIRECT(ADDRESS(485,29))</f>
        <v>0</v>
      </c>
      <c r="AD486">
        <f>INDIRECT(ADDRESS(486,29))+INDIRECT(ADDRESS(484,30))-INDIRECT(ADDRESS(485,30))</f>
        <v>0</v>
      </c>
      <c r="AE486">
        <f>INDIRECT(ADDRESS(486,30))+INDIRECT(ADDRESS(484,31))-INDIRECT(ADDRESS(485,31))</f>
        <v>0</v>
      </c>
      <c r="AF486">
        <f>INDIRECT(ADDRESS(486,31))+INDIRECT(ADDRESS(484,32))-INDIRECT(ADDRESS(485,32))</f>
        <v>0</v>
      </c>
      <c r="AG486">
        <f>INDIRECT(ADDRESS(486,32))+INDIRECT(ADDRESS(484,33))-INDIRECT(ADDRESS(485,33))</f>
        <v>0</v>
      </c>
      <c r="AH486">
        <f>INDIRECT(ADDRESS(486,33))+INDIRECT(ADDRESS(484,34))-INDIRECT(ADDRESS(485,34))</f>
        <v>0</v>
      </c>
      <c r="AI486">
        <f>INDIRECT(ADDRESS(486,34))+INDIRECT(ADDRESS(484,35))-INDIRECT(ADDRESS(485,35))</f>
        <v>0</v>
      </c>
      <c r="AJ486">
        <f>INDIRECT(ADDRESS(486,35))+INDIRECT(ADDRESS(484,36))-INDIRECT(ADDRESS(485,36))</f>
        <v>0</v>
      </c>
      <c r="AK486">
        <f>INDIRECT(ADDRESS(486,36))+INDIRECT(ADDRESS(484,37))-INDIRECT(ADDRESS(485,37))</f>
        <v>0</v>
      </c>
      <c r="AL486">
        <f>INDIRECT(ADDRESS(486,37))+INDIRECT(ADDRESS(484,38))-INDIRECT(ADDRESS(485,38))</f>
        <v>0</v>
      </c>
      <c r="AM486">
        <f>INDIRECT(ADDRESS(486,38))+INDIRECT(ADDRESS(484,39))-INDIRECT(ADDRESS(485,39))</f>
        <v>0</v>
      </c>
      <c r="AN486">
        <f>INDIRECT(ADDRESS(486,39))+INDIRECT(ADDRESS(484,40))-INDIRECT(ADDRESS(485,40))</f>
        <v>0</v>
      </c>
      <c r="AO486">
        <f>SUM(INDIRECT(ADDRESS(485,8)):INDIRECT(ADDRESS(485,39)))</f>
        <v>0</v>
      </c>
    </row>
    <row r="487" spans="1:41">
      <c r="A487" t="s">
        <v>185</v>
      </c>
      <c r="B487" t="s">
        <v>361</v>
      </c>
      <c r="C487" t="s">
        <v>362</v>
      </c>
      <c r="E487">
        <v>1</v>
      </c>
      <c r="I487" t="s">
        <v>177</v>
      </c>
    </row>
    <row r="488" spans="1:41">
      <c r="I488" t="s">
        <v>178</v>
      </c>
      <c r="J488">
        <f>IFERROR(VLOOKUP("824-701000-100",B:AB,1+8,0),0)</f>
        <v>0</v>
      </c>
      <c r="K488">
        <f>IFERROR(VLOOKUP("824-701000-100",B:AB,2+8,0),0)</f>
        <v>0</v>
      </c>
      <c r="L488">
        <f>IFERROR(VLOOKUP("824-701000-100",B:AB,3+8,0),0)</f>
        <v>0</v>
      </c>
      <c r="M488">
        <f>IFERROR(VLOOKUP("824-701000-100",B:AB,4+8,0),0)</f>
        <v>0</v>
      </c>
      <c r="N488">
        <f>IFERROR(VLOOKUP("824-701000-100",B:AB,5+8,0),0)</f>
        <v>0</v>
      </c>
      <c r="O488">
        <f>IFERROR(VLOOKUP("824-701000-100",B:AB,6+8,0),0)</f>
        <v>0</v>
      </c>
      <c r="P488">
        <f>IFERROR(VLOOKUP("824-701000-100",B:AB,7+8,0),0)</f>
        <v>0</v>
      </c>
      <c r="Q488">
        <f>IFERROR(VLOOKUP("824-701000-100",B:AB,8+8,0),0)</f>
        <v>0</v>
      </c>
      <c r="R488">
        <f>IFERROR(VLOOKUP("824-701000-100",B:AB,9+8,0),0)</f>
        <v>0</v>
      </c>
      <c r="S488">
        <f>IFERROR(VLOOKUP("824-701000-100",B:AB,10+8,0),0)</f>
        <v>0</v>
      </c>
      <c r="T488">
        <f>IFERROR(VLOOKUP("824-701000-100",B:AB,11+8,0),0)</f>
        <v>0</v>
      </c>
      <c r="U488">
        <f>IFERROR(VLOOKUP("824-701000-100",B:AB,12+8,0),0)</f>
        <v>0</v>
      </c>
      <c r="V488">
        <f>IFERROR(VLOOKUP("824-701000-100",B:AB,13+8,0),0)</f>
        <v>0</v>
      </c>
      <c r="W488">
        <f>IFERROR(VLOOKUP("824-701000-100",B:AB,14+8,0),0)</f>
        <v>0</v>
      </c>
      <c r="X488">
        <f>IFERROR(VLOOKUP("824-701000-100",B:AB,15+8,0),0)</f>
        <v>0</v>
      </c>
      <c r="Y488">
        <f>IFERROR(VLOOKUP("824-701000-100",B:AB,16+8,0),0)</f>
        <v>0</v>
      </c>
      <c r="Z488">
        <f>IFERROR(VLOOKUP("824-701000-100",B:AB,17+8,0),0)</f>
        <v>0</v>
      </c>
      <c r="AA488">
        <f>IFERROR(VLOOKUP("824-701000-100",B:AB,18+8,0),0)</f>
        <v>0</v>
      </c>
      <c r="AB488">
        <f>IFERROR(VLOOKUP("824-701000-100",B:AB,19+8,0),0)</f>
        <v>0</v>
      </c>
      <c r="AC488">
        <f>IFERROR(VLOOKUP("824-701000-100",B:AB,20+8,0),0)</f>
        <v>0</v>
      </c>
      <c r="AD488">
        <f>IFERROR(VLOOKUP("824-701000-100",B:AB,21+8,0),0)</f>
        <v>0</v>
      </c>
      <c r="AE488">
        <f>IFERROR(VLOOKUP("824-701000-100",B:AB,22+8,0),0)</f>
        <v>0</v>
      </c>
      <c r="AF488">
        <f>IFERROR(VLOOKUP("824-701000-100",B:AB,23+8,0),0)</f>
        <v>0</v>
      </c>
      <c r="AG488">
        <f>IFERROR(VLOOKUP("824-701000-100",B:AB,24+8,0),0)</f>
        <v>0</v>
      </c>
      <c r="AH488">
        <f>IFERROR(VLOOKUP("824-701000-100",B:AB,25+8,0),0)</f>
        <v>0</v>
      </c>
      <c r="AI488">
        <f>IFERROR(VLOOKUP("824-701000-100",B:AB,26+8,0),0)</f>
        <v>0</v>
      </c>
      <c r="AJ488">
        <f>IFERROR(VLOOKUP("824-701000-100",B:AB,27+8,0),0)</f>
        <v>0</v>
      </c>
      <c r="AK488">
        <f>IFERROR(VLOOKUP("824-701000-100",B:AB,28+8,0),0)</f>
        <v>0</v>
      </c>
      <c r="AL488">
        <f>IFERROR(VLOOKUP("824-701000-100",B:AB,29+8,0),0)</f>
        <v>0</v>
      </c>
      <c r="AM488">
        <f>IFERROR(VLOOKUP("824-701000-100",B:AB,30+8,0),0)</f>
        <v>0</v>
      </c>
      <c r="AN488">
        <f>IFERROR(VLOOKUP("824-701000-100",B:AB,31+8,0),0)</f>
        <v>0</v>
      </c>
      <c r="AO488">
        <f>SUN(INDIRECT(ADDRESS(487,8)):INDIRECT(ADDRESS(487,39)))</f>
        <v>0</v>
      </c>
    </row>
    <row r="489" spans="1:41">
      <c r="H489" t="s">
        <v>179</v>
      </c>
      <c r="J489">
        <f>INDIRECT(ADDRESS(489,9))+INDIRECT(ADDRESS(487,10))-INDIRECT(ADDRESS(488,10))</f>
        <v>0</v>
      </c>
      <c r="K489">
        <f>INDIRECT(ADDRESS(489,10))+INDIRECT(ADDRESS(487,11))-INDIRECT(ADDRESS(488,11))</f>
        <v>0</v>
      </c>
      <c r="L489">
        <f>INDIRECT(ADDRESS(489,11))+INDIRECT(ADDRESS(487,12))-INDIRECT(ADDRESS(488,12))</f>
        <v>0</v>
      </c>
      <c r="M489">
        <f>INDIRECT(ADDRESS(489,12))+INDIRECT(ADDRESS(487,13))-INDIRECT(ADDRESS(488,13))</f>
        <v>0</v>
      </c>
      <c r="N489">
        <f>INDIRECT(ADDRESS(489,13))+INDIRECT(ADDRESS(487,14))-INDIRECT(ADDRESS(488,14))</f>
        <v>0</v>
      </c>
      <c r="O489">
        <f>INDIRECT(ADDRESS(489,14))+INDIRECT(ADDRESS(487,15))-INDIRECT(ADDRESS(488,15))</f>
        <v>0</v>
      </c>
      <c r="P489">
        <f>INDIRECT(ADDRESS(489,15))+INDIRECT(ADDRESS(487,16))-INDIRECT(ADDRESS(488,16))</f>
        <v>0</v>
      </c>
      <c r="Q489">
        <f>INDIRECT(ADDRESS(489,16))+INDIRECT(ADDRESS(487,17))-INDIRECT(ADDRESS(488,17))</f>
        <v>0</v>
      </c>
      <c r="R489">
        <f>INDIRECT(ADDRESS(489,17))+INDIRECT(ADDRESS(487,18))-INDIRECT(ADDRESS(488,18))</f>
        <v>0</v>
      </c>
      <c r="S489">
        <f>INDIRECT(ADDRESS(489,18))+INDIRECT(ADDRESS(487,19))-INDIRECT(ADDRESS(488,19))</f>
        <v>0</v>
      </c>
      <c r="T489">
        <f>INDIRECT(ADDRESS(489,19))+INDIRECT(ADDRESS(487,20))-INDIRECT(ADDRESS(488,20))</f>
        <v>0</v>
      </c>
      <c r="U489">
        <f>INDIRECT(ADDRESS(489,20))+INDIRECT(ADDRESS(487,21))-INDIRECT(ADDRESS(488,21))</f>
        <v>0</v>
      </c>
      <c r="V489">
        <f>INDIRECT(ADDRESS(489,21))+INDIRECT(ADDRESS(487,22))-INDIRECT(ADDRESS(488,22))</f>
        <v>0</v>
      </c>
      <c r="W489">
        <f>INDIRECT(ADDRESS(489,22))+INDIRECT(ADDRESS(487,23))-INDIRECT(ADDRESS(488,23))</f>
        <v>0</v>
      </c>
      <c r="X489">
        <f>INDIRECT(ADDRESS(489,23))+INDIRECT(ADDRESS(487,24))-INDIRECT(ADDRESS(488,24))</f>
        <v>0</v>
      </c>
      <c r="Y489">
        <f>INDIRECT(ADDRESS(489,24))+INDIRECT(ADDRESS(487,25))-INDIRECT(ADDRESS(488,25))</f>
        <v>0</v>
      </c>
      <c r="Z489">
        <f>INDIRECT(ADDRESS(489,25))+INDIRECT(ADDRESS(487,26))-INDIRECT(ADDRESS(488,26))</f>
        <v>0</v>
      </c>
      <c r="AA489">
        <f>INDIRECT(ADDRESS(489,26))+INDIRECT(ADDRESS(487,27))-INDIRECT(ADDRESS(488,27))</f>
        <v>0</v>
      </c>
      <c r="AB489">
        <f>INDIRECT(ADDRESS(489,27))+INDIRECT(ADDRESS(487,28))-INDIRECT(ADDRESS(488,28))</f>
        <v>0</v>
      </c>
      <c r="AC489">
        <f>INDIRECT(ADDRESS(489,28))+INDIRECT(ADDRESS(487,29))-INDIRECT(ADDRESS(488,29))</f>
        <v>0</v>
      </c>
      <c r="AD489">
        <f>INDIRECT(ADDRESS(489,29))+INDIRECT(ADDRESS(487,30))-INDIRECT(ADDRESS(488,30))</f>
        <v>0</v>
      </c>
      <c r="AE489">
        <f>INDIRECT(ADDRESS(489,30))+INDIRECT(ADDRESS(487,31))-INDIRECT(ADDRESS(488,31))</f>
        <v>0</v>
      </c>
      <c r="AF489">
        <f>INDIRECT(ADDRESS(489,31))+INDIRECT(ADDRESS(487,32))-INDIRECT(ADDRESS(488,32))</f>
        <v>0</v>
      </c>
      <c r="AG489">
        <f>INDIRECT(ADDRESS(489,32))+INDIRECT(ADDRESS(487,33))-INDIRECT(ADDRESS(488,33))</f>
        <v>0</v>
      </c>
      <c r="AH489">
        <f>INDIRECT(ADDRESS(489,33))+INDIRECT(ADDRESS(487,34))-INDIRECT(ADDRESS(488,34))</f>
        <v>0</v>
      </c>
      <c r="AI489">
        <f>INDIRECT(ADDRESS(489,34))+INDIRECT(ADDRESS(487,35))-INDIRECT(ADDRESS(488,35))</f>
        <v>0</v>
      </c>
      <c r="AJ489">
        <f>INDIRECT(ADDRESS(489,35))+INDIRECT(ADDRESS(487,36))-INDIRECT(ADDRESS(488,36))</f>
        <v>0</v>
      </c>
      <c r="AK489">
        <f>INDIRECT(ADDRESS(489,36))+INDIRECT(ADDRESS(487,37))-INDIRECT(ADDRESS(488,37))</f>
        <v>0</v>
      </c>
      <c r="AL489">
        <f>INDIRECT(ADDRESS(489,37))+INDIRECT(ADDRESS(487,38))-INDIRECT(ADDRESS(488,38))</f>
        <v>0</v>
      </c>
      <c r="AM489">
        <f>INDIRECT(ADDRESS(489,38))+INDIRECT(ADDRESS(487,39))-INDIRECT(ADDRESS(488,39))</f>
        <v>0</v>
      </c>
      <c r="AN489">
        <f>INDIRECT(ADDRESS(489,39))+INDIRECT(ADDRESS(487,40))-INDIRECT(ADDRESS(488,40))</f>
        <v>0</v>
      </c>
      <c r="AO489">
        <f>SUM(INDIRECT(ADDRESS(488,8)):INDIRECT(ADDRESS(488,39)))</f>
        <v>0</v>
      </c>
    </row>
    <row r="490" spans="1:41">
      <c r="A490" t="s">
        <v>185</v>
      </c>
      <c r="B490" t="s">
        <v>363</v>
      </c>
      <c r="C490" t="s">
        <v>364</v>
      </c>
      <c r="E490">
        <v>2</v>
      </c>
      <c r="F490" t="s">
        <v>11</v>
      </c>
      <c r="I490" t="s">
        <v>177</v>
      </c>
    </row>
    <row r="491" spans="1:41">
      <c r="I491" t="s">
        <v>178</v>
      </c>
      <c r="J491">
        <f>IFERROR(VLOOKUP("824-701000-100",B:AB,1+8,0),0)</f>
        <v>0</v>
      </c>
      <c r="K491">
        <f>IFERROR(VLOOKUP("824-701000-100",B:AB,2+8,0),0)</f>
        <v>0</v>
      </c>
      <c r="L491">
        <f>IFERROR(VLOOKUP("824-701000-100",B:AB,3+8,0),0)</f>
        <v>0</v>
      </c>
      <c r="M491">
        <f>IFERROR(VLOOKUP("824-701000-100",B:AB,4+8,0),0)</f>
        <v>0</v>
      </c>
      <c r="N491">
        <f>IFERROR(VLOOKUP("824-701000-100",B:AB,5+8,0),0)</f>
        <v>0</v>
      </c>
      <c r="O491">
        <f>IFERROR(VLOOKUP("824-701000-100",B:AB,6+8,0),0)</f>
        <v>0</v>
      </c>
      <c r="P491">
        <f>IFERROR(VLOOKUP("824-701000-100",B:AB,7+8,0),0)</f>
        <v>0</v>
      </c>
      <c r="Q491">
        <f>IFERROR(VLOOKUP("824-701000-100",B:AB,8+8,0),0)</f>
        <v>0</v>
      </c>
      <c r="R491">
        <f>IFERROR(VLOOKUP("824-701000-100",B:AB,9+8,0),0)</f>
        <v>0</v>
      </c>
      <c r="S491">
        <f>IFERROR(VLOOKUP("824-701000-100",B:AB,10+8,0),0)</f>
        <v>0</v>
      </c>
      <c r="T491">
        <f>IFERROR(VLOOKUP("824-701000-100",B:AB,11+8,0),0)</f>
        <v>0</v>
      </c>
      <c r="U491">
        <f>IFERROR(VLOOKUP("824-701000-100",B:AB,12+8,0),0)</f>
        <v>0</v>
      </c>
      <c r="V491">
        <f>IFERROR(VLOOKUP("824-701000-100",B:AB,13+8,0),0)</f>
        <v>0</v>
      </c>
      <c r="W491">
        <f>IFERROR(VLOOKUP("824-701000-100",B:AB,14+8,0),0)</f>
        <v>0</v>
      </c>
      <c r="X491">
        <f>IFERROR(VLOOKUP("824-701000-100",B:AB,15+8,0),0)</f>
        <v>0</v>
      </c>
      <c r="Y491">
        <f>IFERROR(VLOOKUP("824-701000-100",B:AB,16+8,0),0)</f>
        <v>0</v>
      </c>
      <c r="Z491">
        <f>IFERROR(VLOOKUP("824-701000-100",B:AB,17+8,0),0)</f>
        <v>0</v>
      </c>
      <c r="AA491">
        <f>IFERROR(VLOOKUP("824-701000-100",B:AB,18+8,0),0)</f>
        <v>0</v>
      </c>
      <c r="AB491">
        <f>IFERROR(VLOOKUP("824-701000-100",B:AB,19+8,0),0)</f>
        <v>0</v>
      </c>
      <c r="AC491">
        <f>IFERROR(VLOOKUP("824-701000-100",B:AB,20+8,0),0)</f>
        <v>0</v>
      </c>
      <c r="AD491">
        <f>IFERROR(VLOOKUP("824-701000-100",B:AB,21+8,0),0)</f>
        <v>0</v>
      </c>
      <c r="AE491">
        <f>IFERROR(VLOOKUP("824-701000-100",B:AB,22+8,0),0)</f>
        <v>0</v>
      </c>
      <c r="AF491">
        <f>IFERROR(VLOOKUP("824-701000-100",B:AB,23+8,0),0)</f>
        <v>0</v>
      </c>
      <c r="AG491">
        <f>IFERROR(VLOOKUP("824-701000-100",B:AB,24+8,0),0)</f>
        <v>0</v>
      </c>
      <c r="AH491">
        <f>IFERROR(VLOOKUP("824-701000-100",B:AB,25+8,0),0)</f>
        <v>0</v>
      </c>
      <c r="AI491">
        <f>IFERROR(VLOOKUP("824-701000-100",B:AB,26+8,0),0)</f>
        <v>0</v>
      </c>
      <c r="AJ491">
        <f>IFERROR(VLOOKUP("824-701000-100",B:AB,27+8,0),0)</f>
        <v>0</v>
      </c>
      <c r="AK491">
        <f>IFERROR(VLOOKUP("824-701000-100",B:AB,28+8,0),0)</f>
        <v>0</v>
      </c>
      <c r="AL491">
        <f>IFERROR(VLOOKUP("824-701000-100",B:AB,29+8,0),0)</f>
        <v>0</v>
      </c>
      <c r="AM491">
        <f>IFERROR(VLOOKUP("824-701000-100",B:AB,30+8,0),0)</f>
        <v>0</v>
      </c>
      <c r="AN491">
        <f>IFERROR(VLOOKUP("824-701000-100",B:AB,31+8,0),0)</f>
        <v>0</v>
      </c>
      <c r="AO491">
        <f>SUN(INDIRECT(ADDRESS(490,8)):INDIRECT(ADDRESS(490,39)))</f>
        <v>0</v>
      </c>
    </row>
    <row r="492" spans="1:41">
      <c r="H492" t="s">
        <v>179</v>
      </c>
      <c r="J492">
        <f>INDIRECT(ADDRESS(492,9))+INDIRECT(ADDRESS(490,10))-INDIRECT(ADDRESS(491,10))</f>
        <v>0</v>
      </c>
      <c r="K492">
        <f>INDIRECT(ADDRESS(492,10))+INDIRECT(ADDRESS(490,11))-INDIRECT(ADDRESS(491,11))</f>
        <v>0</v>
      </c>
      <c r="L492">
        <f>INDIRECT(ADDRESS(492,11))+INDIRECT(ADDRESS(490,12))-INDIRECT(ADDRESS(491,12))</f>
        <v>0</v>
      </c>
      <c r="M492">
        <f>INDIRECT(ADDRESS(492,12))+INDIRECT(ADDRESS(490,13))-INDIRECT(ADDRESS(491,13))</f>
        <v>0</v>
      </c>
      <c r="N492">
        <f>INDIRECT(ADDRESS(492,13))+INDIRECT(ADDRESS(490,14))-INDIRECT(ADDRESS(491,14))</f>
        <v>0</v>
      </c>
      <c r="O492">
        <f>INDIRECT(ADDRESS(492,14))+INDIRECT(ADDRESS(490,15))-INDIRECT(ADDRESS(491,15))</f>
        <v>0</v>
      </c>
      <c r="P492">
        <f>INDIRECT(ADDRESS(492,15))+INDIRECT(ADDRESS(490,16))-INDIRECT(ADDRESS(491,16))</f>
        <v>0</v>
      </c>
      <c r="Q492">
        <f>INDIRECT(ADDRESS(492,16))+INDIRECT(ADDRESS(490,17))-INDIRECT(ADDRESS(491,17))</f>
        <v>0</v>
      </c>
      <c r="R492">
        <f>INDIRECT(ADDRESS(492,17))+INDIRECT(ADDRESS(490,18))-INDIRECT(ADDRESS(491,18))</f>
        <v>0</v>
      </c>
      <c r="S492">
        <f>INDIRECT(ADDRESS(492,18))+INDIRECT(ADDRESS(490,19))-INDIRECT(ADDRESS(491,19))</f>
        <v>0</v>
      </c>
      <c r="T492">
        <f>INDIRECT(ADDRESS(492,19))+INDIRECT(ADDRESS(490,20))-INDIRECT(ADDRESS(491,20))</f>
        <v>0</v>
      </c>
      <c r="U492">
        <f>INDIRECT(ADDRESS(492,20))+INDIRECT(ADDRESS(490,21))-INDIRECT(ADDRESS(491,21))</f>
        <v>0</v>
      </c>
      <c r="V492">
        <f>INDIRECT(ADDRESS(492,21))+INDIRECT(ADDRESS(490,22))-INDIRECT(ADDRESS(491,22))</f>
        <v>0</v>
      </c>
      <c r="W492">
        <f>INDIRECT(ADDRESS(492,22))+INDIRECT(ADDRESS(490,23))-INDIRECT(ADDRESS(491,23))</f>
        <v>0</v>
      </c>
      <c r="X492">
        <f>INDIRECT(ADDRESS(492,23))+INDIRECT(ADDRESS(490,24))-INDIRECT(ADDRESS(491,24))</f>
        <v>0</v>
      </c>
      <c r="Y492">
        <f>INDIRECT(ADDRESS(492,24))+INDIRECT(ADDRESS(490,25))-INDIRECT(ADDRESS(491,25))</f>
        <v>0</v>
      </c>
      <c r="Z492">
        <f>INDIRECT(ADDRESS(492,25))+INDIRECT(ADDRESS(490,26))-INDIRECT(ADDRESS(491,26))</f>
        <v>0</v>
      </c>
      <c r="AA492">
        <f>INDIRECT(ADDRESS(492,26))+INDIRECT(ADDRESS(490,27))-INDIRECT(ADDRESS(491,27))</f>
        <v>0</v>
      </c>
      <c r="AB492">
        <f>INDIRECT(ADDRESS(492,27))+INDIRECT(ADDRESS(490,28))-INDIRECT(ADDRESS(491,28))</f>
        <v>0</v>
      </c>
      <c r="AC492">
        <f>INDIRECT(ADDRESS(492,28))+INDIRECT(ADDRESS(490,29))-INDIRECT(ADDRESS(491,29))</f>
        <v>0</v>
      </c>
      <c r="AD492">
        <f>INDIRECT(ADDRESS(492,29))+INDIRECT(ADDRESS(490,30))-INDIRECT(ADDRESS(491,30))</f>
        <v>0</v>
      </c>
      <c r="AE492">
        <f>INDIRECT(ADDRESS(492,30))+INDIRECT(ADDRESS(490,31))-INDIRECT(ADDRESS(491,31))</f>
        <v>0</v>
      </c>
      <c r="AF492">
        <f>INDIRECT(ADDRESS(492,31))+INDIRECT(ADDRESS(490,32))-INDIRECT(ADDRESS(491,32))</f>
        <v>0</v>
      </c>
      <c r="AG492">
        <f>INDIRECT(ADDRESS(492,32))+INDIRECT(ADDRESS(490,33))-INDIRECT(ADDRESS(491,33))</f>
        <v>0</v>
      </c>
      <c r="AH492">
        <f>INDIRECT(ADDRESS(492,33))+INDIRECT(ADDRESS(490,34))-INDIRECT(ADDRESS(491,34))</f>
        <v>0</v>
      </c>
      <c r="AI492">
        <f>INDIRECT(ADDRESS(492,34))+INDIRECT(ADDRESS(490,35))-INDIRECT(ADDRESS(491,35))</f>
        <v>0</v>
      </c>
      <c r="AJ492">
        <f>INDIRECT(ADDRESS(492,35))+INDIRECT(ADDRESS(490,36))-INDIRECT(ADDRESS(491,36))</f>
        <v>0</v>
      </c>
      <c r="AK492">
        <f>INDIRECT(ADDRESS(492,36))+INDIRECT(ADDRESS(490,37))-INDIRECT(ADDRESS(491,37))</f>
        <v>0</v>
      </c>
      <c r="AL492">
        <f>INDIRECT(ADDRESS(492,37))+INDIRECT(ADDRESS(490,38))-INDIRECT(ADDRESS(491,38))</f>
        <v>0</v>
      </c>
      <c r="AM492">
        <f>INDIRECT(ADDRESS(492,38))+INDIRECT(ADDRESS(490,39))-INDIRECT(ADDRESS(491,39))</f>
        <v>0</v>
      </c>
      <c r="AN492">
        <f>INDIRECT(ADDRESS(492,39))+INDIRECT(ADDRESS(490,40))-INDIRECT(ADDRESS(491,40))</f>
        <v>0</v>
      </c>
      <c r="AO492">
        <f>SUM(INDIRECT(ADDRESS(491,8)):INDIRECT(ADDRESS(491,39)))</f>
        <v>0</v>
      </c>
    </row>
    <row r="493" spans="1:41">
      <c r="A493" t="s">
        <v>185</v>
      </c>
      <c r="B493" t="s">
        <v>365</v>
      </c>
      <c r="C493" t="s">
        <v>366</v>
      </c>
      <c r="E493">
        <v>1</v>
      </c>
      <c r="F493" t="s">
        <v>11</v>
      </c>
      <c r="I493" t="s">
        <v>177</v>
      </c>
    </row>
    <row r="494" spans="1:41">
      <c r="I494" t="s">
        <v>178</v>
      </c>
      <c r="J494">
        <f>IFERROR(VLOOKUP("824-701000-100",B:AB,1+8,0),0)</f>
        <v>0</v>
      </c>
      <c r="K494">
        <f>IFERROR(VLOOKUP("824-701000-100",B:AB,2+8,0),0)</f>
        <v>0</v>
      </c>
      <c r="L494">
        <f>IFERROR(VLOOKUP("824-701000-100",B:AB,3+8,0),0)</f>
        <v>0</v>
      </c>
      <c r="M494">
        <f>IFERROR(VLOOKUP("824-701000-100",B:AB,4+8,0),0)</f>
        <v>0</v>
      </c>
      <c r="N494">
        <f>IFERROR(VLOOKUP("824-701000-100",B:AB,5+8,0),0)</f>
        <v>0</v>
      </c>
      <c r="O494">
        <f>IFERROR(VLOOKUP("824-701000-100",B:AB,6+8,0),0)</f>
        <v>0</v>
      </c>
      <c r="P494">
        <f>IFERROR(VLOOKUP("824-701000-100",B:AB,7+8,0),0)</f>
        <v>0</v>
      </c>
      <c r="Q494">
        <f>IFERROR(VLOOKUP("824-701000-100",B:AB,8+8,0),0)</f>
        <v>0</v>
      </c>
      <c r="R494">
        <f>IFERROR(VLOOKUP("824-701000-100",B:AB,9+8,0),0)</f>
        <v>0</v>
      </c>
      <c r="S494">
        <f>IFERROR(VLOOKUP("824-701000-100",B:AB,10+8,0),0)</f>
        <v>0</v>
      </c>
      <c r="T494">
        <f>IFERROR(VLOOKUP("824-701000-100",B:AB,11+8,0),0)</f>
        <v>0</v>
      </c>
      <c r="U494">
        <f>IFERROR(VLOOKUP("824-701000-100",B:AB,12+8,0),0)</f>
        <v>0</v>
      </c>
      <c r="V494">
        <f>IFERROR(VLOOKUP("824-701000-100",B:AB,13+8,0),0)</f>
        <v>0</v>
      </c>
      <c r="W494">
        <f>IFERROR(VLOOKUP("824-701000-100",B:AB,14+8,0),0)</f>
        <v>0</v>
      </c>
      <c r="X494">
        <f>IFERROR(VLOOKUP("824-701000-100",B:AB,15+8,0),0)</f>
        <v>0</v>
      </c>
      <c r="Y494">
        <f>IFERROR(VLOOKUP("824-701000-100",B:AB,16+8,0),0)</f>
        <v>0</v>
      </c>
      <c r="Z494">
        <f>IFERROR(VLOOKUP("824-701000-100",B:AB,17+8,0),0)</f>
        <v>0</v>
      </c>
      <c r="AA494">
        <f>IFERROR(VLOOKUP("824-701000-100",B:AB,18+8,0),0)</f>
        <v>0</v>
      </c>
      <c r="AB494">
        <f>IFERROR(VLOOKUP("824-701000-100",B:AB,19+8,0),0)</f>
        <v>0</v>
      </c>
      <c r="AC494">
        <f>IFERROR(VLOOKUP("824-701000-100",B:AB,20+8,0),0)</f>
        <v>0</v>
      </c>
      <c r="AD494">
        <f>IFERROR(VLOOKUP("824-701000-100",B:AB,21+8,0),0)</f>
        <v>0</v>
      </c>
      <c r="AE494">
        <f>IFERROR(VLOOKUP("824-701000-100",B:AB,22+8,0),0)</f>
        <v>0</v>
      </c>
      <c r="AF494">
        <f>IFERROR(VLOOKUP("824-701000-100",B:AB,23+8,0),0)</f>
        <v>0</v>
      </c>
      <c r="AG494">
        <f>IFERROR(VLOOKUP("824-701000-100",B:AB,24+8,0),0)</f>
        <v>0</v>
      </c>
      <c r="AH494">
        <f>IFERROR(VLOOKUP("824-701000-100",B:AB,25+8,0),0)</f>
        <v>0</v>
      </c>
      <c r="AI494">
        <f>IFERROR(VLOOKUP("824-701000-100",B:AB,26+8,0),0)</f>
        <v>0</v>
      </c>
      <c r="AJ494">
        <f>IFERROR(VLOOKUP("824-701000-100",B:AB,27+8,0),0)</f>
        <v>0</v>
      </c>
      <c r="AK494">
        <f>IFERROR(VLOOKUP("824-701000-100",B:AB,28+8,0),0)</f>
        <v>0</v>
      </c>
      <c r="AL494">
        <f>IFERROR(VLOOKUP("824-701000-100",B:AB,29+8,0),0)</f>
        <v>0</v>
      </c>
      <c r="AM494">
        <f>IFERROR(VLOOKUP("824-701000-100",B:AB,30+8,0),0)</f>
        <v>0</v>
      </c>
      <c r="AN494">
        <f>IFERROR(VLOOKUP("824-701000-100",B:AB,31+8,0),0)</f>
        <v>0</v>
      </c>
      <c r="AO494">
        <f>SUN(INDIRECT(ADDRESS(493,8)):INDIRECT(ADDRESS(493,39)))</f>
        <v>0</v>
      </c>
    </row>
    <row r="495" spans="1:41">
      <c r="H495" t="s">
        <v>179</v>
      </c>
      <c r="J495">
        <f>INDIRECT(ADDRESS(495,9))+INDIRECT(ADDRESS(493,10))-INDIRECT(ADDRESS(494,10))</f>
        <v>0</v>
      </c>
      <c r="K495">
        <f>INDIRECT(ADDRESS(495,10))+INDIRECT(ADDRESS(493,11))-INDIRECT(ADDRESS(494,11))</f>
        <v>0</v>
      </c>
      <c r="L495">
        <f>INDIRECT(ADDRESS(495,11))+INDIRECT(ADDRESS(493,12))-INDIRECT(ADDRESS(494,12))</f>
        <v>0</v>
      </c>
      <c r="M495">
        <f>INDIRECT(ADDRESS(495,12))+INDIRECT(ADDRESS(493,13))-INDIRECT(ADDRESS(494,13))</f>
        <v>0</v>
      </c>
      <c r="N495">
        <f>INDIRECT(ADDRESS(495,13))+INDIRECT(ADDRESS(493,14))-INDIRECT(ADDRESS(494,14))</f>
        <v>0</v>
      </c>
      <c r="O495">
        <f>INDIRECT(ADDRESS(495,14))+INDIRECT(ADDRESS(493,15))-INDIRECT(ADDRESS(494,15))</f>
        <v>0</v>
      </c>
      <c r="P495">
        <f>INDIRECT(ADDRESS(495,15))+INDIRECT(ADDRESS(493,16))-INDIRECT(ADDRESS(494,16))</f>
        <v>0</v>
      </c>
      <c r="Q495">
        <f>INDIRECT(ADDRESS(495,16))+INDIRECT(ADDRESS(493,17))-INDIRECT(ADDRESS(494,17))</f>
        <v>0</v>
      </c>
      <c r="R495">
        <f>INDIRECT(ADDRESS(495,17))+INDIRECT(ADDRESS(493,18))-INDIRECT(ADDRESS(494,18))</f>
        <v>0</v>
      </c>
      <c r="S495">
        <f>INDIRECT(ADDRESS(495,18))+INDIRECT(ADDRESS(493,19))-INDIRECT(ADDRESS(494,19))</f>
        <v>0</v>
      </c>
      <c r="T495">
        <f>INDIRECT(ADDRESS(495,19))+INDIRECT(ADDRESS(493,20))-INDIRECT(ADDRESS(494,20))</f>
        <v>0</v>
      </c>
      <c r="U495">
        <f>INDIRECT(ADDRESS(495,20))+INDIRECT(ADDRESS(493,21))-INDIRECT(ADDRESS(494,21))</f>
        <v>0</v>
      </c>
      <c r="V495">
        <f>INDIRECT(ADDRESS(495,21))+INDIRECT(ADDRESS(493,22))-INDIRECT(ADDRESS(494,22))</f>
        <v>0</v>
      </c>
      <c r="W495">
        <f>INDIRECT(ADDRESS(495,22))+INDIRECT(ADDRESS(493,23))-INDIRECT(ADDRESS(494,23))</f>
        <v>0</v>
      </c>
      <c r="X495">
        <f>INDIRECT(ADDRESS(495,23))+INDIRECT(ADDRESS(493,24))-INDIRECT(ADDRESS(494,24))</f>
        <v>0</v>
      </c>
      <c r="Y495">
        <f>INDIRECT(ADDRESS(495,24))+INDIRECT(ADDRESS(493,25))-INDIRECT(ADDRESS(494,25))</f>
        <v>0</v>
      </c>
      <c r="Z495">
        <f>INDIRECT(ADDRESS(495,25))+INDIRECT(ADDRESS(493,26))-INDIRECT(ADDRESS(494,26))</f>
        <v>0</v>
      </c>
      <c r="AA495">
        <f>INDIRECT(ADDRESS(495,26))+INDIRECT(ADDRESS(493,27))-INDIRECT(ADDRESS(494,27))</f>
        <v>0</v>
      </c>
      <c r="AB495">
        <f>INDIRECT(ADDRESS(495,27))+INDIRECT(ADDRESS(493,28))-INDIRECT(ADDRESS(494,28))</f>
        <v>0</v>
      </c>
      <c r="AC495">
        <f>INDIRECT(ADDRESS(495,28))+INDIRECT(ADDRESS(493,29))-INDIRECT(ADDRESS(494,29))</f>
        <v>0</v>
      </c>
      <c r="AD495">
        <f>INDIRECT(ADDRESS(495,29))+INDIRECT(ADDRESS(493,30))-INDIRECT(ADDRESS(494,30))</f>
        <v>0</v>
      </c>
      <c r="AE495">
        <f>INDIRECT(ADDRESS(495,30))+INDIRECT(ADDRESS(493,31))-INDIRECT(ADDRESS(494,31))</f>
        <v>0</v>
      </c>
      <c r="AF495">
        <f>INDIRECT(ADDRESS(495,31))+INDIRECT(ADDRESS(493,32))-INDIRECT(ADDRESS(494,32))</f>
        <v>0</v>
      </c>
      <c r="AG495">
        <f>INDIRECT(ADDRESS(495,32))+INDIRECT(ADDRESS(493,33))-INDIRECT(ADDRESS(494,33))</f>
        <v>0</v>
      </c>
      <c r="AH495">
        <f>INDIRECT(ADDRESS(495,33))+INDIRECT(ADDRESS(493,34))-INDIRECT(ADDRESS(494,34))</f>
        <v>0</v>
      </c>
      <c r="AI495">
        <f>INDIRECT(ADDRESS(495,34))+INDIRECT(ADDRESS(493,35))-INDIRECT(ADDRESS(494,35))</f>
        <v>0</v>
      </c>
      <c r="AJ495">
        <f>INDIRECT(ADDRESS(495,35))+INDIRECT(ADDRESS(493,36))-INDIRECT(ADDRESS(494,36))</f>
        <v>0</v>
      </c>
      <c r="AK495">
        <f>INDIRECT(ADDRESS(495,36))+INDIRECT(ADDRESS(493,37))-INDIRECT(ADDRESS(494,37))</f>
        <v>0</v>
      </c>
      <c r="AL495">
        <f>INDIRECT(ADDRESS(495,37))+INDIRECT(ADDRESS(493,38))-INDIRECT(ADDRESS(494,38))</f>
        <v>0</v>
      </c>
      <c r="AM495">
        <f>INDIRECT(ADDRESS(495,38))+INDIRECT(ADDRESS(493,39))-INDIRECT(ADDRESS(494,39))</f>
        <v>0</v>
      </c>
      <c r="AN495">
        <f>INDIRECT(ADDRESS(495,39))+INDIRECT(ADDRESS(493,40))-INDIRECT(ADDRESS(494,40))</f>
        <v>0</v>
      </c>
      <c r="AO495">
        <f>SUM(INDIRECT(ADDRESS(494,8)):INDIRECT(ADDRESS(494,39)))</f>
        <v>0</v>
      </c>
    </row>
    <row r="496" spans="1:41">
      <c r="A496" t="s">
        <v>8</v>
      </c>
      <c r="B496" t="s">
        <v>42</v>
      </c>
      <c r="C496" t="s">
        <v>41</v>
      </c>
      <c r="E496">
        <v>1</v>
      </c>
      <c r="I496" t="s">
        <v>177</v>
      </c>
    </row>
    <row r="497" spans="1:41">
      <c r="I497" t="s">
        <v>178</v>
      </c>
      <c r="J497">
        <f>IFERROR(VLOOKUP("924-701000-100",Out!B:AB,1+8,0),0)</f>
        <v>0</v>
      </c>
      <c r="K497">
        <f>IFERROR(VLOOKUP("924-701000-100",Out!B:AB,2+8,0),0)</f>
        <v>0</v>
      </c>
      <c r="L497">
        <f>IFERROR(VLOOKUP("924-701000-100",Out!B:AB,3+8,0),0)</f>
        <v>0</v>
      </c>
      <c r="M497">
        <f>IFERROR(VLOOKUP("924-701000-100",Out!B:AB,4+8,0),0)</f>
        <v>0</v>
      </c>
      <c r="N497">
        <f>IFERROR(VLOOKUP("924-701000-100",Out!B:AB,5+8,0),0)</f>
        <v>0</v>
      </c>
      <c r="O497">
        <f>IFERROR(VLOOKUP("924-701000-100",Out!B:AB,6+8,0),0)</f>
        <v>0</v>
      </c>
      <c r="P497">
        <f>IFERROR(VLOOKUP("924-701000-100",Out!B:AB,7+8,0),0)</f>
        <v>0</v>
      </c>
      <c r="Q497">
        <f>IFERROR(VLOOKUP("924-701000-100",Out!B:AB,8+8,0),0)</f>
        <v>0</v>
      </c>
      <c r="R497">
        <f>IFERROR(VLOOKUP("924-701000-100",Out!B:AB,9+8,0),0)</f>
        <v>0</v>
      </c>
      <c r="S497">
        <f>IFERROR(VLOOKUP("924-701000-100",Out!B:AB,10+8,0),0)</f>
        <v>0</v>
      </c>
      <c r="T497">
        <f>IFERROR(VLOOKUP("924-701000-100",Out!B:AB,11+8,0),0)</f>
        <v>0</v>
      </c>
      <c r="U497">
        <f>IFERROR(VLOOKUP("924-701000-100",Out!B:AB,12+8,0),0)</f>
        <v>0</v>
      </c>
      <c r="V497">
        <f>IFERROR(VLOOKUP("924-701000-100",Out!B:AB,13+8,0),0)</f>
        <v>0</v>
      </c>
      <c r="W497">
        <f>IFERROR(VLOOKUP("924-701000-100",Out!B:AB,14+8,0),0)</f>
        <v>0</v>
      </c>
      <c r="X497">
        <f>IFERROR(VLOOKUP("924-701000-100",Out!B:AB,15+8,0),0)</f>
        <v>0</v>
      </c>
      <c r="Y497">
        <f>IFERROR(VLOOKUP("924-701000-100",Out!B:AB,16+8,0),0)</f>
        <v>0</v>
      </c>
      <c r="Z497">
        <f>IFERROR(VLOOKUP("924-701000-100",Out!B:AB,17+8,0),0)</f>
        <v>0</v>
      </c>
      <c r="AA497">
        <f>IFERROR(VLOOKUP("924-701000-100",Out!B:AB,18+8,0),0)</f>
        <v>0</v>
      </c>
      <c r="AB497">
        <f>IFERROR(VLOOKUP("924-701000-100",Out!B:AB,19+8,0),0)</f>
        <v>0</v>
      </c>
      <c r="AC497">
        <f>IFERROR(VLOOKUP("924-701000-100",Out!B:AB,20+8,0),0)</f>
        <v>0</v>
      </c>
      <c r="AD497">
        <f>IFERROR(VLOOKUP("924-701000-100",Out!B:AB,21+8,0),0)</f>
        <v>0</v>
      </c>
      <c r="AE497">
        <f>IFERROR(VLOOKUP("924-701000-100",Out!B:AB,22+8,0),0)</f>
        <v>0</v>
      </c>
      <c r="AF497">
        <f>IFERROR(VLOOKUP("924-701000-100",Out!B:AB,23+8,0),0)</f>
        <v>0</v>
      </c>
      <c r="AG497">
        <f>IFERROR(VLOOKUP("924-701000-100",Out!B:AB,24+8,0),0)</f>
        <v>0</v>
      </c>
      <c r="AH497">
        <f>IFERROR(VLOOKUP("924-701000-100",Out!B:AB,25+8,0),0)</f>
        <v>0</v>
      </c>
      <c r="AI497">
        <f>IFERROR(VLOOKUP("924-701000-100",Out!B:AB,26+8,0),0)</f>
        <v>0</v>
      </c>
      <c r="AJ497">
        <f>IFERROR(VLOOKUP("924-701000-100",Out!B:AB,27+8,0),0)</f>
        <v>0</v>
      </c>
      <c r="AK497">
        <f>IFERROR(VLOOKUP("924-701000-100",Out!B:AB,28+8,0),0)</f>
        <v>0</v>
      </c>
      <c r="AL497">
        <f>IFERROR(VLOOKUP("924-701000-100",Out!B:AB,29+8,0),0)</f>
        <v>0</v>
      </c>
      <c r="AM497">
        <f>IFERROR(VLOOKUP("924-701000-100",Out!B:AB,30+8,0),0)</f>
        <v>0</v>
      </c>
      <c r="AN497">
        <f>IFERROR(VLOOKUP("924-701000-100",Out!B:AB,31+8,0),0)</f>
        <v>0</v>
      </c>
      <c r="AO497">
        <f>SUN(INDIRECT(ADDRESS(496,8)):INDIRECT(ADDRESS(496,39)))</f>
        <v>0</v>
      </c>
    </row>
    <row r="498" spans="1:41">
      <c r="H498" t="s">
        <v>179</v>
      </c>
      <c r="J498">
        <f>INDIRECT(ADDRESS(498,9))+INDIRECT(ADDRESS(496,10))-INDIRECT(ADDRESS(497,10))</f>
        <v>0</v>
      </c>
      <c r="K498">
        <f>INDIRECT(ADDRESS(498,10))+INDIRECT(ADDRESS(496,11))-INDIRECT(ADDRESS(497,11))</f>
        <v>0</v>
      </c>
      <c r="L498">
        <f>INDIRECT(ADDRESS(498,11))+INDIRECT(ADDRESS(496,12))-INDIRECT(ADDRESS(497,12))</f>
        <v>0</v>
      </c>
      <c r="M498">
        <f>INDIRECT(ADDRESS(498,12))+INDIRECT(ADDRESS(496,13))-INDIRECT(ADDRESS(497,13))</f>
        <v>0</v>
      </c>
      <c r="N498">
        <f>INDIRECT(ADDRESS(498,13))+INDIRECT(ADDRESS(496,14))-INDIRECT(ADDRESS(497,14))</f>
        <v>0</v>
      </c>
      <c r="O498">
        <f>INDIRECT(ADDRESS(498,14))+INDIRECT(ADDRESS(496,15))-INDIRECT(ADDRESS(497,15))</f>
        <v>0</v>
      </c>
      <c r="P498">
        <f>INDIRECT(ADDRESS(498,15))+INDIRECT(ADDRESS(496,16))-INDIRECT(ADDRESS(497,16))</f>
        <v>0</v>
      </c>
      <c r="Q498">
        <f>INDIRECT(ADDRESS(498,16))+INDIRECT(ADDRESS(496,17))-INDIRECT(ADDRESS(497,17))</f>
        <v>0</v>
      </c>
      <c r="R498">
        <f>INDIRECT(ADDRESS(498,17))+INDIRECT(ADDRESS(496,18))-INDIRECT(ADDRESS(497,18))</f>
        <v>0</v>
      </c>
      <c r="S498">
        <f>INDIRECT(ADDRESS(498,18))+INDIRECT(ADDRESS(496,19))-INDIRECT(ADDRESS(497,19))</f>
        <v>0</v>
      </c>
      <c r="T498">
        <f>INDIRECT(ADDRESS(498,19))+INDIRECT(ADDRESS(496,20))-INDIRECT(ADDRESS(497,20))</f>
        <v>0</v>
      </c>
      <c r="U498">
        <f>INDIRECT(ADDRESS(498,20))+INDIRECT(ADDRESS(496,21))-INDIRECT(ADDRESS(497,21))</f>
        <v>0</v>
      </c>
      <c r="V498">
        <f>INDIRECT(ADDRESS(498,21))+INDIRECT(ADDRESS(496,22))-INDIRECT(ADDRESS(497,22))</f>
        <v>0</v>
      </c>
      <c r="W498">
        <f>INDIRECT(ADDRESS(498,22))+INDIRECT(ADDRESS(496,23))-INDIRECT(ADDRESS(497,23))</f>
        <v>0</v>
      </c>
      <c r="X498">
        <f>INDIRECT(ADDRESS(498,23))+INDIRECT(ADDRESS(496,24))-INDIRECT(ADDRESS(497,24))</f>
        <v>0</v>
      </c>
      <c r="Y498">
        <f>INDIRECT(ADDRESS(498,24))+INDIRECT(ADDRESS(496,25))-INDIRECT(ADDRESS(497,25))</f>
        <v>0</v>
      </c>
      <c r="Z498">
        <f>INDIRECT(ADDRESS(498,25))+INDIRECT(ADDRESS(496,26))-INDIRECT(ADDRESS(497,26))</f>
        <v>0</v>
      </c>
      <c r="AA498">
        <f>INDIRECT(ADDRESS(498,26))+INDIRECT(ADDRESS(496,27))-INDIRECT(ADDRESS(497,27))</f>
        <v>0</v>
      </c>
      <c r="AB498">
        <f>INDIRECT(ADDRESS(498,27))+INDIRECT(ADDRESS(496,28))-INDIRECT(ADDRESS(497,28))</f>
        <v>0</v>
      </c>
      <c r="AC498">
        <f>INDIRECT(ADDRESS(498,28))+INDIRECT(ADDRESS(496,29))-INDIRECT(ADDRESS(497,29))</f>
        <v>0</v>
      </c>
      <c r="AD498">
        <f>INDIRECT(ADDRESS(498,29))+INDIRECT(ADDRESS(496,30))-INDIRECT(ADDRESS(497,30))</f>
        <v>0</v>
      </c>
      <c r="AE498">
        <f>INDIRECT(ADDRESS(498,30))+INDIRECT(ADDRESS(496,31))-INDIRECT(ADDRESS(497,31))</f>
        <v>0</v>
      </c>
      <c r="AF498">
        <f>INDIRECT(ADDRESS(498,31))+INDIRECT(ADDRESS(496,32))-INDIRECT(ADDRESS(497,32))</f>
        <v>0</v>
      </c>
      <c r="AG498">
        <f>INDIRECT(ADDRESS(498,32))+INDIRECT(ADDRESS(496,33))-INDIRECT(ADDRESS(497,33))</f>
        <v>0</v>
      </c>
      <c r="AH498">
        <f>INDIRECT(ADDRESS(498,33))+INDIRECT(ADDRESS(496,34))-INDIRECT(ADDRESS(497,34))</f>
        <v>0</v>
      </c>
      <c r="AI498">
        <f>INDIRECT(ADDRESS(498,34))+INDIRECT(ADDRESS(496,35))-INDIRECT(ADDRESS(497,35))</f>
        <v>0</v>
      </c>
      <c r="AJ498">
        <f>INDIRECT(ADDRESS(498,35))+INDIRECT(ADDRESS(496,36))-INDIRECT(ADDRESS(497,36))</f>
        <v>0</v>
      </c>
      <c r="AK498">
        <f>INDIRECT(ADDRESS(498,36))+INDIRECT(ADDRESS(496,37))-INDIRECT(ADDRESS(497,37))</f>
        <v>0</v>
      </c>
      <c r="AL498">
        <f>INDIRECT(ADDRESS(498,37))+INDIRECT(ADDRESS(496,38))-INDIRECT(ADDRESS(497,38))</f>
        <v>0</v>
      </c>
      <c r="AM498">
        <f>INDIRECT(ADDRESS(498,38))+INDIRECT(ADDRESS(496,39))-INDIRECT(ADDRESS(497,39))</f>
        <v>0</v>
      </c>
      <c r="AN498">
        <f>INDIRECT(ADDRESS(498,39))+INDIRECT(ADDRESS(496,40))-INDIRECT(ADDRESS(497,40))</f>
        <v>0</v>
      </c>
      <c r="AO498">
        <f>SUM(INDIRECT(ADDRESS(497,8)):INDIRECT(ADDRESS(497,39)))</f>
        <v>0</v>
      </c>
    </row>
    <row r="499" spans="1:41">
      <c r="A499" t="s">
        <v>180</v>
      </c>
      <c r="B499" t="s">
        <v>40</v>
      </c>
      <c r="C499" t="s">
        <v>348</v>
      </c>
      <c r="E499">
        <v>1.32</v>
      </c>
      <c r="I499" t="s">
        <v>177</v>
      </c>
    </row>
    <row r="500" spans="1:41">
      <c r="I500" t="s">
        <v>178</v>
      </c>
      <c r="J500">
        <f>IFERROR(VLOOKUP("924-701000-100",B:AB,1+8,0),0)</f>
        <v>0</v>
      </c>
      <c r="K500">
        <f>IFERROR(VLOOKUP("924-701000-100",B:AB,2+8,0),0)</f>
        <v>0</v>
      </c>
      <c r="L500">
        <f>IFERROR(VLOOKUP("924-701000-100",B:AB,3+8,0),0)</f>
        <v>0</v>
      </c>
      <c r="M500">
        <f>IFERROR(VLOOKUP("924-701000-100",B:AB,4+8,0),0)</f>
        <v>0</v>
      </c>
      <c r="N500">
        <f>IFERROR(VLOOKUP("924-701000-100",B:AB,5+8,0),0)</f>
        <v>0</v>
      </c>
      <c r="O500">
        <f>IFERROR(VLOOKUP("924-701000-100",B:AB,6+8,0),0)</f>
        <v>0</v>
      </c>
      <c r="P500">
        <f>IFERROR(VLOOKUP("924-701000-100",B:AB,7+8,0),0)</f>
        <v>0</v>
      </c>
      <c r="Q500">
        <f>IFERROR(VLOOKUP("924-701000-100",B:AB,8+8,0),0)</f>
        <v>0</v>
      </c>
      <c r="R500">
        <f>IFERROR(VLOOKUP("924-701000-100",B:AB,9+8,0),0)</f>
        <v>0</v>
      </c>
      <c r="S500">
        <f>IFERROR(VLOOKUP("924-701000-100",B:AB,10+8,0),0)</f>
        <v>0</v>
      </c>
      <c r="T500">
        <f>IFERROR(VLOOKUP("924-701000-100",B:AB,11+8,0),0)</f>
        <v>0</v>
      </c>
      <c r="U500">
        <f>IFERROR(VLOOKUP("924-701000-100",B:AB,12+8,0),0)</f>
        <v>0</v>
      </c>
      <c r="V500">
        <f>IFERROR(VLOOKUP("924-701000-100",B:AB,13+8,0),0)</f>
        <v>0</v>
      </c>
      <c r="W500">
        <f>IFERROR(VLOOKUP("924-701000-100",B:AB,14+8,0),0)</f>
        <v>0</v>
      </c>
      <c r="X500">
        <f>IFERROR(VLOOKUP("924-701000-100",B:AB,15+8,0),0)</f>
        <v>0</v>
      </c>
      <c r="Y500">
        <f>IFERROR(VLOOKUP("924-701000-100",B:AB,16+8,0),0)</f>
        <v>0</v>
      </c>
      <c r="Z500">
        <f>IFERROR(VLOOKUP("924-701000-100",B:AB,17+8,0),0)</f>
        <v>0</v>
      </c>
      <c r="AA500">
        <f>IFERROR(VLOOKUP("924-701000-100",B:AB,18+8,0),0)</f>
        <v>0</v>
      </c>
      <c r="AB500">
        <f>IFERROR(VLOOKUP("924-701000-100",B:AB,19+8,0),0)</f>
        <v>0</v>
      </c>
      <c r="AC500">
        <f>IFERROR(VLOOKUP("924-701000-100",B:AB,20+8,0),0)</f>
        <v>0</v>
      </c>
      <c r="AD500">
        <f>IFERROR(VLOOKUP("924-701000-100",B:AB,21+8,0),0)</f>
        <v>0</v>
      </c>
      <c r="AE500">
        <f>IFERROR(VLOOKUP("924-701000-100",B:AB,22+8,0),0)</f>
        <v>0</v>
      </c>
      <c r="AF500">
        <f>IFERROR(VLOOKUP("924-701000-100",B:AB,23+8,0),0)</f>
        <v>0</v>
      </c>
      <c r="AG500">
        <f>IFERROR(VLOOKUP("924-701000-100",B:AB,24+8,0),0)</f>
        <v>0</v>
      </c>
      <c r="AH500">
        <f>IFERROR(VLOOKUP("924-701000-100",B:AB,25+8,0),0)</f>
        <v>0</v>
      </c>
      <c r="AI500">
        <f>IFERROR(VLOOKUP("924-701000-100",B:AB,26+8,0),0)</f>
        <v>0</v>
      </c>
      <c r="AJ500">
        <f>IFERROR(VLOOKUP("924-701000-100",B:AB,27+8,0),0)</f>
        <v>0</v>
      </c>
      <c r="AK500">
        <f>IFERROR(VLOOKUP("924-701000-100",B:AB,28+8,0),0)</f>
        <v>0</v>
      </c>
      <c r="AL500">
        <f>IFERROR(VLOOKUP("924-701000-100",B:AB,29+8,0),0)</f>
        <v>0</v>
      </c>
      <c r="AM500">
        <f>IFERROR(VLOOKUP("924-701000-100",B:AB,30+8,0),0)</f>
        <v>0</v>
      </c>
      <c r="AN500">
        <f>IFERROR(VLOOKUP("924-701000-100",B:AB,31+8,0),0)</f>
        <v>0</v>
      </c>
      <c r="AO500">
        <f>SUN(INDIRECT(ADDRESS(499,8)):INDIRECT(ADDRESS(499,39)))</f>
        <v>0</v>
      </c>
    </row>
    <row r="501" spans="1:41">
      <c r="H501" t="s">
        <v>179</v>
      </c>
      <c r="J501">
        <f>INDIRECT(ADDRESS(501,9))+INDIRECT(ADDRESS(499,10))-INDIRECT(ADDRESS(500,10))</f>
        <v>0</v>
      </c>
      <c r="K501">
        <f>INDIRECT(ADDRESS(501,10))+INDIRECT(ADDRESS(499,11))-INDIRECT(ADDRESS(500,11))</f>
        <v>0</v>
      </c>
      <c r="L501">
        <f>INDIRECT(ADDRESS(501,11))+INDIRECT(ADDRESS(499,12))-INDIRECT(ADDRESS(500,12))</f>
        <v>0</v>
      </c>
      <c r="M501">
        <f>INDIRECT(ADDRESS(501,12))+INDIRECT(ADDRESS(499,13))-INDIRECT(ADDRESS(500,13))</f>
        <v>0</v>
      </c>
      <c r="N501">
        <f>INDIRECT(ADDRESS(501,13))+INDIRECT(ADDRESS(499,14))-INDIRECT(ADDRESS(500,14))</f>
        <v>0</v>
      </c>
      <c r="O501">
        <f>INDIRECT(ADDRESS(501,14))+INDIRECT(ADDRESS(499,15))-INDIRECT(ADDRESS(500,15))</f>
        <v>0</v>
      </c>
      <c r="P501">
        <f>INDIRECT(ADDRESS(501,15))+INDIRECT(ADDRESS(499,16))-INDIRECT(ADDRESS(500,16))</f>
        <v>0</v>
      </c>
      <c r="Q501">
        <f>INDIRECT(ADDRESS(501,16))+INDIRECT(ADDRESS(499,17))-INDIRECT(ADDRESS(500,17))</f>
        <v>0</v>
      </c>
      <c r="R501">
        <f>INDIRECT(ADDRESS(501,17))+INDIRECT(ADDRESS(499,18))-INDIRECT(ADDRESS(500,18))</f>
        <v>0</v>
      </c>
      <c r="S501">
        <f>INDIRECT(ADDRESS(501,18))+INDIRECT(ADDRESS(499,19))-INDIRECT(ADDRESS(500,19))</f>
        <v>0</v>
      </c>
      <c r="T501">
        <f>INDIRECT(ADDRESS(501,19))+INDIRECT(ADDRESS(499,20))-INDIRECT(ADDRESS(500,20))</f>
        <v>0</v>
      </c>
      <c r="U501">
        <f>INDIRECT(ADDRESS(501,20))+INDIRECT(ADDRESS(499,21))-INDIRECT(ADDRESS(500,21))</f>
        <v>0</v>
      </c>
      <c r="V501">
        <f>INDIRECT(ADDRESS(501,21))+INDIRECT(ADDRESS(499,22))-INDIRECT(ADDRESS(500,22))</f>
        <v>0</v>
      </c>
      <c r="W501">
        <f>INDIRECT(ADDRESS(501,22))+INDIRECT(ADDRESS(499,23))-INDIRECT(ADDRESS(500,23))</f>
        <v>0</v>
      </c>
      <c r="X501">
        <f>INDIRECT(ADDRESS(501,23))+INDIRECT(ADDRESS(499,24))-INDIRECT(ADDRESS(500,24))</f>
        <v>0</v>
      </c>
      <c r="Y501">
        <f>INDIRECT(ADDRESS(501,24))+INDIRECT(ADDRESS(499,25))-INDIRECT(ADDRESS(500,25))</f>
        <v>0</v>
      </c>
      <c r="Z501">
        <f>INDIRECT(ADDRESS(501,25))+INDIRECT(ADDRESS(499,26))-INDIRECT(ADDRESS(500,26))</f>
        <v>0</v>
      </c>
      <c r="AA501">
        <f>INDIRECT(ADDRESS(501,26))+INDIRECT(ADDRESS(499,27))-INDIRECT(ADDRESS(500,27))</f>
        <v>0</v>
      </c>
      <c r="AB501">
        <f>INDIRECT(ADDRESS(501,27))+INDIRECT(ADDRESS(499,28))-INDIRECT(ADDRESS(500,28))</f>
        <v>0</v>
      </c>
      <c r="AC501">
        <f>INDIRECT(ADDRESS(501,28))+INDIRECT(ADDRESS(499,29))-INDIRECT(ADDRESS(500,29))</f>
        <v>0</v>
      </c>
      <c r="AD501">
        <f>INDIRECT(ADDRESS(501,29))+INDIRECT(ADDRESS(499,30))-INDIRECT(ADDRESS(500,30))</f>
        <v>0</v>
      </c>
      <c r="AE501">
        <f>INDIRECT(ADDRESS(501,30))+INDIRECT(ADDRESS(499,31))-INDIRECT(ADDRESS(500,31))</f>
        <v>0</v>
      </c>
      <c r="AF501">
        <f>INDIRECT(ADDRESS(501,31))+INDIRECT(ADDRESS(499,32))-INDIRECT(ADDRESS(500,32))</f>
        <v>0</v>
      </c>
      <c r="AG501">
        <f>INDIRECT(ADDRESS(501,32))+INDIRECT(ADDRESS(499,33))-INDIRECT(ADDRESS(500,33))</f>
        <v>0</v>
      </c>
      <c r="AH501">
        <f>INDIRECT(ADDRESS(501,33))+INDIRECT(ADDRESS(499,34))-INDIRECT(ADDRESS(500,34))</f>
        <v>0</v>
      </c>
      <c r="AI501">
        <f>INDIRECT(ADDRESS(501,34))+INDIRECT(ADDRESS(499,35))-INDIRECT(ADDRESS(500,35))</f>
        <v>0</v>
      </c>
      <c r="AJ501">
        <f>INDIRECT(ADDRESS(501,35))+INDIRECT(ADDRESS(499,36))-INDIRECT(ADDRESS(500,36))</f>
        <v>0</v>
      </c>
      <c r="AK501">
        <f>INDIRECT(ADDRESS(501,36))+INDIRECT(ADDRESS(499,37))-INDIRECT(ADDRESS(500,37))</f>
        <v>0</v>
      </c>
      <c r="AL501">
        <f>INDIRECT(ADDRESS(501,37))+INDIRECT(ADDRESS(499,38))-INDIRECT(ADDRESS(500,38))</f>
        <v>0</v>
      </c>
      <c r="AM501">
        <f>INDIRECT(ADDRESS(501,38))+INDIRECT(ADDRESS(499,39))-INDIRECT(ADDRESS(500,39))</f>
        <v>0</v>
      </c>
      <c r="AN501">
        <f>INDIRECT(ADDRESS(501,39))+INDIRECT(ADDRESS(499,40))-INDIRECT(ADDRESS(500,40))</f>
        <v>0</v>
      </c>
      <c r="AO501">
        <f>SUM(INDIRECT(ADDRESS(500,8)):INDIRECT(ADDRESS(500,39)))</f>
        <v>0</v>
      </c>
    </row>
    <row r="502" spans="1:41">
      <c r="A502" t="s">
        <v>180</v>
      </c>
      <c r="B502" t="s">
        <v>349</v>
      </c>
      <c r="C502" t="s">
        <v>367</v>
      </c>
      <c r="E502">
        <v>1</v>
      </c>
      <c r="I502" t="s">
        <v>177</v>
      </c>
    </row>
    <row r="503" spans="1:41">
      <c r="I503" t="s">
        <v>178</v>
      </c>
      <c r="J503">
        <f>IFERROR(VLOOKUP("924-701000-100",B:AB,1+8,0),0)</f>
        <v>0</v>
      </c>
      <c r="K503">
        <f>IFERROR(VLOOKUP("924-701000-100",B:AB,2+8,0),0)</f>
        <v>0</v>
      </c>
      <c r="L503">
        <f>IFERROR(VLOOKUP("924-701000-100",B:AB,3+8,0),0)</f>
        <v>0</v>
      </c>
      <c r="M503">
        <f>IFERROR(VLOOKUP("924-701000-100",B:AB,4+8,0),0)</f>
        <v>0</v>
      </c>
      <c r="N503">
        <f>IFERROR(VLOOKUP("924-701000-100",B:AB,5+8,0),0)</f>
        <v>0</v>
      </c>
      <c r="O503">
        <f>IFERROR(VLOOKUP("924-701000-100",B:AB,6+8,0),0)</f>
        <v>0</v>
      </c>
      <c r="P503">
        <f>IFERROR(VLOOKUP("924-701000-100",B:AB,7+8,0),0)</f>
        <v>0</v>
      </c>
      <c r="Q503">
        <f>IFERROR(VLOOKUP("924-701000-100",B:AB,8+8,0),0)</f>
        <v>0</v>
      </c>
      <c r="R503">
        <f>IFERROR(VLOOKUP("924-701000-100",B:AB,9+8,0),0)</f>
        <v>0</v>
      </c>
      <c r="S503">
        <f>IFERROR(VLOOKUP("924-701000-100",B:AB,10+8,0),0)</f>
        <v>0</v>
      </c>
      <c r="T503">
        <f>IFERROR(VLOOKUP("924-701000-100",B:AB,11+8,0),0)</f>
        <v>0</v>
      </c>
      <c r="U503">
        <f>IFERROR(VLOOKUP("924-701000-100",B:AB,12+8,0),0)</f>
        <v>0</v>
      </c>
      <c r="V503">
        <f>IFERROR(VLOOKUP("924-701000-100",B:AB,13+8,0),0)</f>
        <v>0</v>
      </c>
      <c r="W503">
        <f>IFERROR(VLOOKUP("924-701000-100",B:AB,14+8,0),0)</f>
        <v>0</v>
      </c>
      <c r="X503">
        <f>IFERROR(VLOOKUP("924-701000-100",B:AB,15+8,0),0)</f>
        <v>0</v>
      </c>
      <c r="Y503">
        <f>IFERROR(VLOOKUP("924-701000-100",B:AB,16+8,0),0)</f>
        <v>0</v>
      </c>
      <c r="Z503">
        <f>IFERROR(VLOOKUP("924-701000-100",B:AB,17+8,0),0)</f>
        <v>0</v>
      </c>
      <c r="AA503">
        <f>IFERROR(VLOOKUP("924-701000-100",B:AB,18+8,0),0)</f>
        <v>0</v>
      </c>
      <c r="AB503">
        <f>IFERROR(VLOOKUP("924-701000-100",B:AB,19+8,0),0)</f>
        <v>0</v>
      </c>
      <c r="AC503">
        <f>IFERROR(VLOOKUP("924-701000-100",B:AB,20+8,0),0)</f>
        <v>0</v>
      </c>
      <c r="AD503">
        <f>IFERROR(VLOOKUP("924-701000-100",B:AB,21+8,0),0)</f>
        <v>0</v>
      </c>
      <c r="AE503">
        <f>IFERROR(VLOOKUP("924-701000-100",B:AB,22+8,0),0)</f>
        <v>0</v>
      </c>
      <c r="AF503">
        <f>IFERROR(VLOOKUP("924-701000-100",B:AB,23+8,0),0)</f>
        <v>0</v>
      </c>
      <c r="AG503">
        <f>IFERROR(VLOOKUP("924-701000-100",B:AB,24+8,0),0)</f>
        <v>0</v>
      </c>
      <c r="AH503">
        <f>IFERROR(VLOOKUP("924-701000-100",B:AB,25+8,0),0)</f>
        <v>0</v>
      </c>
      <c r="AI503">
        <f>IFERROR(VLOOKUP("924-701000-100",B:AB,26+8,0),0)</f>
        <v>0</v>
      </c>
      <c r="AJ503">
        <f>IFERROR(VLOOKUP("924-701000-100",B:AB,27+8,0),0)</f>
        <v>0</v>
      </c>
      <c r="AK503">
        <f>IFERROR(VLOOKUP("924-701000-100",B:AB,28+8,0),0)</f>
        <v>0</v>
      </c>
      <c r="AL503">
        <f>IFERROR(VLOOKUP("924-701000-100",B:AB,29+8,0),0)</f>
        <v>0</v>
      </c>
      <c r="AM503">
        <f>IFERROR(VLOOKUP("924-701000-100",B:AB,30+8,0),0)</f>
        <v>0</v>
      </c>
      <c r="AN503">
        <f>IFERROR(VLOOKUP("924-701000-100",B:AB,31+8,0),0)</f>
        <v>0</v>
      </c>
      <c r="AO503">
        <f>SUN(INDIRECT(ADDRESS(502,8)):INDIRECT(ADDRESS(502,39)))</f>
        <v>0</v>
      </c>
    </row>
    <row r="504" spans="1:41">
      <c r="H504" t="s">
        <v>179</v>
      </c>
      <c r="J504">
        <f>INDIRECT(ADDRESS(504,9))+INDIRECT(ADDRESS(502,10))-INDIRECT(ADDRESS(503,10))</f>
        <v>0</v>
      </c>
      <c r="K504">
        <f>INDIRECT(ADDRESS(504,10))+INDIRECT(ADDRESS(502,11))-INDIRECT(ADDRESS(503,11))</f>
        <v>0</v>
      </c>
      <c r="L504">
        <f>INDIRECT(ADDRESS(504,11))+INDIRECT(ADDRESS(502,12))-INDIRECT(ADDRESS(503,12))</f>
        <v>0</v>
      </c>
      <c r="M504">
        <f>INDIRECT(ADDRESS(504,12))+INDIRECT(ADDRESS(502,13))-INDIRECT(ADDRESS(503,13))</f>
        <v>0</v>
      </c>
      <c r="N504">
        <f>INDIRECT(ADDRESS(504,13))+INDIRECT(ADDRESS(502,14))-INDIRECT(ADDRESS(503,14))</f>
        <v>0</v>
      </c>
      <c r="O504">
        <f>INDIRECT(ADDRESS(504,14))+INDIRECT(ADDRESS(502,15))-INDIRECT(ADDRESS(503,15))</f>
        <v>0</v>
      </c>
      <c r="P504">
        <f>INDIRECT(ADDRESS(504,15))+INDIRECT(ADDRESS(502,16))-INDIRECT(ADDRESS(503,16))</f>
        <v>0</v>
      </c>
      <c r="Q504">
        <f>INDIRECT(ADDRESS(504,16))+INDIRECT(ADDRESS(502,17))-INDIRECT(ADDRESS(503,17))</f>
        <v>0</v>
      </c>
      <c r="R504">
        <f>INDIRECT(ADDRESS(504,17))+INDIRECT(ADDRESS(502,18))-INDIRECT(ADDRESS(503,18))</f>
        <v>0</v>
      </c>
      <c r="S504">
        <f>INDIRECT(ADDRESS(504,18))+INDIRECT(ADDRESS(502,19))-INDIRECT(ADDRESS(503,19))</f>
        <v>0</v>
      </c>
      <c r="T504">
        <f>INDIRECT(ADDRESS(504,19))+INDIRECT(ADDRESS(502,20))-INDIRECT(ADDRESS(503,20))</f>
        <v>0</v>
      </c>
      <c r="U504">
        <f>INDIRECT(ADDRESS(504,20))+INDIRECT(ADDRESS(502,21))-INDIRECT(ADDRESS(503,21))</f>
        <v>0</v>
      </c>
      <c r="V504">
        <f>INDIRECT(ADDRESS(504,21))+INDIRECT(ADDRESS(502,22))-INDIRECT(ADDRESS(503,22))</f>
        <v>0</v>
      </c>
      <c r="W504">
        <f>INDIRECT(ADDRESS(504,22))+INDIRECT(ADDRESS(502,23))-INDIRECT(ADDRESS(503,23))</f>
        <v>0</v>
      </c>
      <c r="X504">
        <f>INDIRECT(ADDRESS(504,23))+INDIRECT(ADDRESS(502,24))-INDIRECT(ADDRESS(503,24))</f>
        <v>0</v>
      </c>
      <c r="Y504">
        <f>INDIRECT(ADDRESS(504,24))+INDIRECT(ADDRESS(502,25))-INDIRECT(ADDRESS(503,25))</f>
        <v>0</v>
      </c>
      <c r="Z504">
        <f>INDIRECT(ADDRESS(504,25))+INDIRECT(ADDRESS(502,26))-INDIRECT(ADDRESS(503,26))</f>
        <v>0</v>
      </c>
      <c r="AA504">
        <f>INDIRECT(ADDRESS(504,26))+INDIRECT(ADDRESS(502,27))-INDIRECT(ADDRESS(503,27))</f>
        <v>0</v>
      </c>
      <c r="AB504">
        <f>INDIRECT(ADDRESS(504,27))+INDIRECT(ADDRESS(502,28))-INDIRECT(ADDRESS(503,28))</f>
        <v>0</v>
      </c>
      <c r="AC504">
        <f>INDIRECT(ADDRESS(504,28))+INDIRECT(ADDRESS(502,29))-INDIRECT(ADDRESS(503,29))</f>
        <v>0</v>
      </c>
      <c r="AD504">
        <f>INDIRECT(ADDRESS(504,29))+INDIRECT(ADDRESS(502,30))-INDIRECT(ADDRESS(503,30))</f>
        <v>0</v>
      </c>
      <c r="AE504">
        <f>INDIRECT(ADDRESS(504,30))+INDIRECT(ADDRESS(502,31))-INDIRECT(ADDRESS(503,31))</f>
        <v>0</v>
      </c>
      <c r="AF504">
        <f>INDIRECT(ADDRESS(504,31))+INDIRECT(ADDRESS(502,32))-INDIRECT(ADDRESS(503,32))</f>
        <v>0</v>
      </c>
      <c r="AG504">
        <f>INDIRECT(ADDRESS(504,32))+INDIRECT(ADDRESS(502,33))-INDIRECT(ADDRESS(503,33))</f>
        <v>0</v>
      </c>
      <c r="AH504">
        <f>INDIRECT(ADDRESS(504,33))+INDIRECT(ADDRESS(502,34))-INDIRECT(ADDRESS(503,34))</f>
        <v>0</v>
      </c>
      <c r="AI504">
        <f>INDIRECT(ADDRESS(504,34))+INDIRECT(ADDRESS(502,35))-INDIRECT(ADDRESS(503,35))</f>
        <v>0</v>
      </c>
      <c r="AJ504">
        <f>INDIRECT(ADDRESS(504,35))+INDIRECT(ADDRESS(502,36))-INDIRECT(ADDRESS(503,36))</f>
        <v>0</v>
      </c>
      <c r="AK504">
        <f>INDIRECT(ADDRESS(504,36))+INDIRECT(ADDRESS(502,37))-INDIRECT(ADDRESS(503,37))</f>
        <v>0</v>
      </c>
      <c r="AL504">
        <f>INDIRECT(ADDRESS(504,37))+INDIRECT(ADDRESS(502,38))-INDIRECT(ADDRESS(503,38))</f>
        <v>0</v>
      </c>
      <c r="AM504">
        <f>INDIRECT(ADDRESS(504,38))+INDIRECT(ADDRESS(502,39))-INDIRECT(ADDRESS(503,39))</f>
        <v>0</v>
      </c>
      <c r="AN504">
        <f>INDIRECT(ADDRESS(504,39))+INDIRECT(ADDRESS(502,40))-INDIRECT(ADDRESS(503,40))</f>
        <v>0</v>
      </c>
      <c r="AO504">
        <f>SUM(INDIRECT(ADDRESS(503,8)):INDIRECT(ADDRESS(503,39)))</f>
        <v>0</v>
      </c>
    </row>
    <row r="505" spans="1:41">
      <c r="A505" t="s">
        <v>180</v>
      </c>
      <c r="B505" t="s">
        <v>351</v>
      </c>
      <c r="C505" t="s">
        <v>368</v>
      </c>
      <c r="E505">
        <v>1</v>
      </c>
      <c r="I505" t="s">
        <v>177</v>
      </c>
    </row>
    <row r="506" spans="1:41">
      <c r="I506" t="s">
        <v>178</v>
      </c>
      <c r="J506">
        <f>IFERROR(VLOOKUP("924-701000-100",B:AB,1+8,0),0)</f>
        <v>0</v>
      </c>
      <c r="K506">
        <f>IFERROR(VLOOKUP("924-701000-100",B:AB,2+8,0),0)</f>
        <v>0</v>
      </c>
      <c r="L506">
        <f>IFERROR(VLOOKUP("924-701000-100",B:AB,3+8,0),0)</f>
        <v>0</v>
      </c>
      <c r="M506">
        <f>IFERROR(VLOOKUP("924-701000-100",B:AB,4+8,0),0)</f>
        <v>0</v>
      </c>
      <c r="N506">
        <f>IFERROR(VLOOKUP("924-701000-100",B:AB,5+8,0),0)</f>
        <v>0</v>
      </c>
      <c r="O506">
        <f>IFERROR(VLOOKUP("924-701000-100",B:AB,6+8,0),0)</f>
        <v>0</v>
      </c>
      <c r="P506">
        <f>IFERROR(VLOOKUP("924-701000-100",B:AB,7+8,0),0)</f>
        <v>0</v>
      </c>
      <c r="Q506">
        <f>IFERROR(VLOOKUP("924-701000-100",B:AB,8+8,0),0)</f>
        <v>0</v>
      </c>
      <c r="R506">
        <f>IFERROR(VLOOKUP("924-701000-100",B:AB,9+8,0),0)</f>
        <v>0</v>
      </c>
      <c r="S506">
        <f>IFERROR(VLOOKUP("924-701000-100",B:AB,10+8,0),0)</f>
        <v>0</v>
      </c>
      <c r="T506">
        <f>IFERROR(VLOOKUP("924-701000-100",B:AB,11+8,0),0)</f>
        <v>0</v>
      </c>
      <c r="U506">
        <f>IFERROR(VLOOKUP("924-701000-100",B:AB,12+8,0),0)</f>
        <v>0</v>
      </c>
      <c r="V506">
        <f>IFERROR(VLOOKUP("924-701000-100",B:AB,13+8,0),0)</f>
        <v>0</v>
      </c>
      <c r="W506">
        <f>IFERROR(VLOOKUP("924-701000-100",B:AB,14+8,0),0)</f>
        <v>0</v>
      </c>
      <c r="X506">
        <f>IFERROR(VLOOKUP("924-701000-100",B:AB,15+8,0),0)</f>
        <v>0</v>
      </c>
      <c r="Y506">
        <f>IFERROR(VLOOKUP("924-701000-100",B:AB,16+8,0),0)</f>
        <v>0</v>
      </c>
      <c r="Z506">
        <f>IFERROR(VLOOKUP("924-701000-100",B:AB,17+8,0),0)</f>
        <v>0</v>
      </c>
      <c r="AA506">
        <f>IFERROR(VLOOKUP("924-701000-100",B:AB,18+8,0),0)</f>
        <v>0</v>
      </c>
      <c r="AB506">
        <f>IFERROR(VLOOKUP("924-701000-100",B:AB,19+8,0),0)</f>
        <v>0</v>
      </c>
      <c r="AC506">
        <f>IFERROR(VLOOKUP("924-701000-100",B:AB,20+8,0),0)</f>
        <v>0</v>
      </c>
      <c r="AD506">
        <f>IFERROR(VLOOKUP("924-701000-100",B:AB,21+8,0),0)</f>
        <v>0</v>
      </c>
      <c r="AE506">
        <f>IFERROR(VLOOKUP("924-701000-100",B:AB,22+8,0),0)</f>
        <v>0</v>
      </c>
      <c r="AF506">
        <f>IFERROR(VLOOKUP("924-701000-100",B:AB,23+8,0),0)</f>
        <v>0</v>
      </c>
      <c r="AG506">
        <f>IFERROR(VLOOKUP("924-701000-100",B:AB,24+8,0),0)</f>
        <v>0</v>
      </c>
      <c r="AH506">
        <f>IFERROR(VLOOKUP("924-701000-100",B:AB,25+8,0),0)</f>
        <v>0</v>
      </c>
      <c r="AI506">
        <f>IFERROR(VLOOKUP("924-701000-100",B:AB,26+8,0),0)</f>
        <v>0</v>
      </c>
      <c r="AJ506">
        <f>IFERROR(VLOOKUP("924-701000-100",B:AB,27+8,0),0)</f>
        <v>0</v>
      </c>
      <c r="AK506">
        <f>IFERROR(VLOOKUP("924-701000-100",B:AB,28+8,0),0)</f>
        <v>0</v>
      </c>
      <c r="AL506">
        <f>IFERROR(VLOOKUP("924-701000-100",B:AB,29+8,0),0)</f>
        <v>0</v>
      </c>
      <c r="AM506">
        <f>IFERROR(VLOOKUP("924-701000-100",B:AB,30+8,0),0)</f>
        <v>0</v>
      </c>
      <c r="AN506">
        <f>IFERROR(VLOOKUP("924-701000-100",B:AB,31+8,0),0)</f>
        <v>0</v>
      </c>
      <c r="AO506">
        <f>SUN(INDIRECT(ADDRESS(505,8)):INDIRECT(ADDRESS(505,39)))</f>
        <v>0</v>
      </c>
    </row>
    <row r="507" spans="1:41">
      <c r="H507" t="s">
        <v>179</v>
      </c>
      <c r="J507">
        <f>INDIRECT(ADDRESS(507,9))+INDIRECT(ADDRESS(505,10))-INDIRECT(ADDRESS(506,10))</f>
        <v>0</v>
      </c>
      <c r="K507">
        <f>INDIRECT(ADDRESS(507,10))+INDIRECT(ADDRESS(505,11))-INDIRECT(ADDRESS(506,11))</f>
        <v>0</v>
      </c>
      <c r="L507">
        <f>INDIRECT(ADDRESS(507,11))+INDIRECT(ADDRESS(505,12))-INDIRECT(ADDRESS(506,12))</f>
        <v>0</v>
      </c>
      <c r="M507">
        <f>INDIRECT(ADDRESS(507,12))+INDIRECT(ADDRESS(505,13))-INDIRECT(ADDRESS(506,13))</f>
        <v>0</v>
      </c>
      <c r="N507">
        <f>INDIRECT(ADDRESS(507,13))+INDIRECT(ADDRESS(505,14))-INDIRECT(ADDRESS(506,14))</f>
        <v>0</v>
      </c>
      <c r="O507">
        <f>INDIRECT(ADDRESS(507,14))+INDIRECT(ADDRESS(505,15))-INDIRECT(ADDRESS(506,15))</f>
        <v>0</v>
      </c>
      <c r="P507">
        <f>INDIRECT(ADDRESS(507,15))+INDIRECT(ADDRESS(505,16))-INDIRECT(ADDRESS(506,16))</f>
        <v>0</v>
      </c>
      <c r="Q507">
        <f>INDIRECT(ADDRESS(507,16))+INDIRECT(ADDRESS(505,17))-INDIRECT(ADDRESS(506,17))</f>
        <v>0</v>
      </c>
      <c r="R507">
        <f>INDIRECT(ADDRESS(507,17))+INDIRECT(ADDRESS(505,18))-INDIRECT(ADDRESS(506,18))</f>
        <v>0</v>
      </c>
      <c r="S507">
        <f>INDIRECT(ADDRESS(507,18))+INDIRECT(ADDRESS(505,19))-INDIRECT(ADDRESS(506,19))</f>
        <v>0</v>
      </c>
      <c r="T507">
        <f>INDIRECT(ADDRESS(507,19))+INDIRECT(ADDRESS(505,20))-INDIRECT(ADDRESS(506,20))</f>
        <v>0</v>
      </c>
      <c r="U507">
        <f>INDIRECT(ADDRESS(507,20))+INDIRECT(ADDRESS(505,21))-INDIRECT(ADDRESS(506,21))</f>
        <v>0</v>
      </c>
      <c r="V507">
        <f>INDIRECT(ADDRESS(507,21))+INDIRECT(ADDRESS(505,22))-INDIRECT(ADDRESS(506,22))</f>
        <v>0</v>
      </c>
      <c r="W507">
        <f>INDIRECT(ADDRESS(507,22))+INDIRECT(ADDRESS(505,23))-INDIRECT(ADDRESS(506,23))</f>
        <v>0</v>
      </c>
      <c r="X507">
        <f>INDIRECT(ADDRESS(507,23))+INDIRECT(ADDRESS(505,24))-INDIRECT(ADDRESS(506,24))</f>
        <v>0</v>
      </c>
      <c r="Y507">
        <f>INDIRECT(ADDRESS(507,24))+INDIRECT(ADDRESS(505,25))-INDIRECT(ADDRESS(506,25))</f>
        <v>0</v>
      </c>
      <c r="Z507">
        <f>INDIRECT(ADDRESS(507,25))+INDIRECT(ADDRESS(505,26))-INDIRECT(ADDRESS(506,26))</f>
        <v>0</v>
      </c>
      <c r="AA507">
        <f>INDIRECT(ADDRESS(507,26))+INDIRECT(ADDRESS(505,27))-INDIRECT(ADDRESS(506,27))</f>
        <v>0</v>
      </c>
      <c r="AB507">
        <f>INDIRECT(ADDRESS(507,27))+INDIRECT(ADDRESS(505,28))-INDIRECT(ADDRESS(506,28))</f>
        <v>0</v>
      </c>
      <c r="AC507">
        <f>INDIRECT(ADDRESS(507,28))+INDIRECT(ADDRESS(505,29))-INDIRECT(ADDRESS(506,29))</f>
        <v>0</v>
      </c>
      <c r="AD507">
        <f>INDIRECT(ADDRESS(507,29))+INDIRECT(ADDRESS(505,30))-INDIRECT(ADDRESS(506,30))</f>
        <v>0</v>
      </c>
      <c r="AE507">
        <f>INDIRECT(ADDRESS(507,30))+INDIRECT(ADDRESS(505,31))-INDIRECT(ADDRESS(506,31))</f>
        <v>0</v>
      </c>
      <c r="AF507">
        <f>INDIRECT(ADDRESS(507,31))+INDIRECT(ADDRESS(505,32))-INDIRECT(ADDRESS(506,32))</f>
        <v>0</v>
      </c>
      <c r="AG507">
        <f>INDIRECT(ADDRESS(507,32))+INDIRECT(ADDRESS(505,33))-INDIRECT(ADDRESS(506,33))</f>
        <v>0</v>
      </c>
      <c r="AH507">
        <f>INDIRECT(ADDRESS(507,33))+INDIRECT(ADDRESS(505,34))-INDIRECT(ADDRESS(506,34))</f>
        <v>0</v>
      </c>
      <c r="AI507">
        <f>INDIRECT(ADDRESS(507,34))+INDIRECT(ADDRESS(505,35))-INDIRECT(ADDRESS(506,35))</f>
        <v>0</v>
      </c>
      <c r="AJ507">
        <f>INDIRECT(ADDRESS(507,35))+INDIRECT(ADDRESS(505,36))-INDIRECT(ADDRESS(506,36))</f>
        <v>0</v>
      </c>
      <c r="AK507">
        <f>INDIRECT(ADDRESS(507,36))+INDIRECT(ADDRESS(505,37))-INDIRECT(ADDRESS(506,37))</f>
        <v>0</v>
      </c>
      <c r="AL507">
        <f>INDIRECT(ADDRESS(507,37))+INDIRECT(ADDRESS(505,38))-INDIRECT(ADDRESS(506,38))</f>
        <v>0</v>
      </c>
      <c r="AM507">
        <f>INDIRECT(ADDRESS(507,38))+INDIRECT(ADDRESS(505,39))-INDIRECT(ADDRESS(506,39))</f>
        <v>0</v>
      </c>
      <c r="AN507">
        <f>INDIRECT(ADDRESS(507,39))+INDIRECT(ADDRESS(505,40))-INDIRECT(ADDRESS(506,40))</f>
        <v>0</v>
      </c>
      <c r="AO507">
        <f>SUM(INDIRECT(ADDRESS(506,8)):INDIRECT(ADDRESS(506,39)))</f>
        <v>0</v>
      </c>
    </row>
    <row r="508" spans="1:41">
      <c r="A508" t="s">
        <v>180</v>
      </c>
      <c r="B508" t="s">
        <v>353</v>
      </c>
      <c r="C508" t="s">
        <v>354</v>
      </c>
      <c r="E508">
        <v>2</v>
      </c>
      <c r="I508" t="s">
        <v>177</v>
      </c>
    </row>
    <row r="509" spans="1:41">
      <c r="I509" t="s">
        <v>178</v>
      </c>
      <c r="J509">
        <f>IFERROR(VLOOKUP("924-701000-100",B:AB,1+8,0),0)</f>
        <v>0</v>
      </c>
      <c r="K509">
        <f>IFERROR(VLOOKUP("924-701000-100",B:AB,2+8,0),0)</f>
        <v>0</v>
      </c>
      <c r="L509">
        <f>IFERROR(VLOOKUP("924-701000-100",B:AB,3+8,0),0)</f>
        <v>0</v>
      </c>
      <c r="M509">
        <f>IFERROR(VLOOKUP("924-701000-100",B:AB,4+8,0),0)</f>
        <v>0</v>
      </c>
      <c r="N509">
        <f>IFERROR(VLOOKUP("924-701000-100",B:AB,5+8,0),0)</f>
        <v>0</v>
      </c>
      <c r="O509">
        <f>IFERROR(VLOOKUP("924-701000-100",B:AB,6+8,0),0)</f>
        <v>0</v>
      </c>
      <c r="P509">
        <f>IFERROR(VLOOKUP("924-701000-100",B:AB,7+8,0),0)</f>
        <v>0</v>
      </c>
      <c r="Q509">
        <f>IFERROR(VLOOKUP("924-701000-100",B:AB,8+8,0),0)</f>
        <v>0</v>
      </c>
      <c r="R509">
        <f>IFERROR(VLOOKUP("924-701000-100",B:AB,9+8,0),0)</f>
        <v>0</v>
      </c>
      <c r="S509">
        <f>IFERROR(VLOOKUP("924-701000-100",B:AB,10+8,0),0)</f>
        <v>0</v>
      </c>
      <c r="T509">
        <f>IFERROR(VLOOKUP("924-701000-100",B:AB,11+8,0),0)</f>
        <v>0</v>
      </c>
      <c r="U509">
        <f>IFERROR(VLOOKUP("924-701000-100",B:AB,12+8,0),0)</f>
        <v>0</v>
      </c>
      <c r="V509">
        <f>IFERROR(VLOOKUP("924-701000-100",B:AB,13+8,0),0)</f>
        <v>0</v>
      </c>
      <c r="W509">
        <f>IFERROR(VLOOKUP("924-701000-100",B:AB,14+8,0),0)</f>
        <v>0</v>
      </c>
      <c r="X509">
        <f>IFERROR(VLOOKUP("924-701000-100",B:AB,15+8,0),0)</f>
        <v>0</v>
      </c>
      <c r="Y509">
        <f>IFERROR(VLOOKUP("924-701000-100",B:AB,16+8,0),0)</f>
        <v>0</v>
      </c>
      <c r="Z509">
        <f>IFERROR(VLOOKUP("924-701000-100",B:AB,17+8,0),0)</f>
        <v>0</v>
      </c>
      <c r="AA509">
        <f>IFERROR(VLOOKUP("924-701000-100",B:AB,18+8,0),0)</f>
        <v>0</v>
      </c>
      <c r="AB509">
        <f>IFERROR(VLOOKUP("924-701000-100",B:AB,19+8,0),0)</f>
        <v>0</v>
      </c>
      <c r="AC509">
        <f>IFERROR(VLOOKUP("924-701000-100",B:AB,20+8,0),0)</f>
        <v>0</v>
      </c>
      <c r="AD509">
        <f>IFERROR(VLOOKUP("924-701000-100",B:AB,21+8,0),0)</f>
        <v>0</v>
      </c>
      <c r="AE509">
        <f>IFERROR(VLOOKUP("924-701000-100",B:AB,22+8,0),0)</f>
        <v>0</v>
      </c>
      <c r="AF509">
        <f>IFERROR(VLOOKUP("924-701000-100",B:AB,23+8,0),0)</f>
        <v>0</v>
      </c>
      <c r="AG509">
        <f>IFERROR(VLOOKUP("924-701000-100",B:AB,24+8,0),0)</f>
        <v>0</v>
      </c>
      <c r="AH509">
        <f>IFERROR(VLOOKUP("924-701000-100",B:AB,25+8,0),0)</f>
        <v>0</v>
      </c>
      <c r="AI509">
        <f>IFERROR(VLOOKUP("924-701000-100",B:AB,26+8,0),0)</f>
        <v>0</v>
      </c>
      <c r="AJ509">
        <f>IFERROR(VLOOKUP("924-701000-100",B:AB,27+8,0),0)</f>
        <v>0</v>
      </c>
      <c r="AK509">
        <f>IFERROR(VLOOKUP("924-701000-100",B:AB,28+8,0),0)</f>
        <v>0</v>
      </c>
      <c r="AL509">
        <f>IFERROR(VLOOKUP("924-701000-100",B:AB,29+8,0),0)</f>
        <v>0</v>
      </c>
      <c r="AM509">
        <f>IFERROR(VLOOKUP("924-701000-100",B:AB,30+8,0),0)</f>
        <v>0</v>
      </c>
      <c r="AN509">
        <f>IFERROR(VLOOKUP("924-701000-100",B:AB,31+8,0),0)</f>
        <v>0</v>
      </c>
      <c r="AO509">
        <f>SUN(INDIRECT(ADDRESS(508,8)):INDIRECT(ADDRESS(508,39)))</f>
        <v>0</v>
      </c>
    </row>
    <row r="510" spans="1:41">
      <c r="H510" t="s">
        <v>179</v>
      </c>
      <c r="J510">
        <f>INDIRECT(ADDRESS(510,9))+INDIRECT(ADDRESS(508,10))-INDIRECT(ADDRESS(509,10))</f>
        <v>0</v>
      </c>
      <c r="K510">
        <f>INDIRECT(ADDRESS(510,10))+INDIRECT(ADDRESS(508,11))-INDIRECT(ADDRESS(509,11))</f>
        <v>0</v>
      </c>
      <c r="L510">
        <f>INDIRECT(ADDRESS(510,11))+INDIRECT(ADDRESS(508,12))-INDIRECT(ADDRESS(509,12))</f>
        <v>0</v>
      </c>
      <c r="M510">
        <f>INDIRECT(ADDRESS(510,12))+INDIRECT(ADDRESS(508,13))-INDIRECT(ADDRESS(509,13))</f>
        <v>0</v>
      </c>
      <c r="N510">
        <f>INDIRECT(ADDRESS(510,13))+INDIRECT(ADDRESS(508,14))-INDIRECT(ADDRESS(509,14))</f>
        <v>0</v>
      </c>
      <c r="O510">
        <f>INDIRECT(ADDRESS(510,14))+INDIRECT(ADDRESS(508,15))-INDIRECT(ADDRESS(509,15))</f>
        <v>0</v>
      </c>
      <c r="P510">
        <f>INDIRECT(ADDRESS(510,15))+INDIRECT(ADDRESS(508,16))-INDIRECT(ADDRESS(509,16))</f>
        <v>0</v>
      </c>
      <c r="Q510">
        <f>INDIRECT(ADDRESS(510,16))+INDIRECT(ADDRESS(508,17))-INDIRECT(ADDRESS(509,17))</f>
        <v>0</v>
      </c>
      <c r="R510">
        <f>INDIRECT(ADDRESS(510,17))+INDIRECT(ADDRESS(508,18))-INDIRECT(ADDRESS(509,18))</f>
        <v>0</v>
      </c>
      <c r="S510">
        <f>INDIRECT(ADDRESS(510,18))+INDIRECT(ADDRESS(508,19))-INDIRECT(ADDRESS(509,19))</f>
        <v>0</v>
      </c>
      <c r="T510">
        <f>INDIRECT(ADDRESS(510,19))+INDIRECT(ADDRESS(508,20))-INDIRECT(ADDRESS(509,20))</f>
        <v>0</v>
      </c>
      <c r="U510">
        <f>INDIRECT(ADDRESS(510,20))+INDIRECT(ADDRESS(508,21))-INDIRECT(ADDRESS(509,21))</f>
        <v>0</v>
      </c>
      <c r="V510">
        <f>INDIRECT(ADDRESS(510,21))+INDIRECT(ADDRESS(508,22))-INDIRECT(ADDRESS(509,22))</f>
        <v>0</v>
      </c>
      <c r="W510">
        <f>INDIRECT(ADDRESS(510,22))+INDIRECT(ADDRESS(508,23))-INDIRECT(ADDRESS(509,23))</f>
        <v>0</v>
      </c>
      <c r="X510">
        <f>INDIRECT(ADDRESS(510,23))+INDIRECT(ADDRESS(508,24))-INDIRECT(ADDRESS(509,24))</f>
        <v>0</v>
      </c>
      <c r="Y510">
        <f>INDIRECT(ADDRESS(510,24))+INDIRECT(ADDRESS(508,25))-INDIRECT(ADDRESS(509,25))</f>
        <v>0</v>
      </c>
      <c r="Z510">
        <f>INDIRECT(ADDRESS(510,25))+INDIRECT(ADDRESS(508,26))-INDIRECT(ADDRESS(509,26))</f>
        <v>0</v>
      </c>
      <c r="AA510">
        <f>INDIRECT(ADDRESS(510,26))+INDIRECT(ADDRESS(508,27))-INDIRECT(ADDRESS(509,27))</f>
        <v>0</v>
      </c>
      <c r="AB510">
        <f>INDIRECT(ADDRESS(510,27))+INDIRECT(ADDRESS(508,28))-INDIRECT(ADDRESS(509,28))</f>
        <v>0</v>
      </c>
      <c r="AC510">
        <f>INDIRECT(ADDRESS(510,28))+INDIRECT(ADDRESS(508,29))-INDIRECT(ADDRESS(509,29))</f>
        <v>0</v>
      </c>
      <c r="AD510">
        <f>INDIRECT(ADDRESS(510,29))+INDIRECT(ADDRESS(508,30))-INDIRECT(ADDRESS(509,30))</f>
        <v>0</v>
      </c>
      <c r="AE510">
        <f>INDIRECT(ADDRESS(510,30))+INDIRECT(ADDRESS(508,31))-INDIRECT(ADDRESS(509,31))</f>
        <v>0</v>
      </c>
      <c r="AF510">
        <f>INDIRECT(ADDRESS(510,31))+INDIRECT(ADDRESS(508,32))-INDIRECT(ADDRESS(509,32))</f>
        <v>0</v>
      </c>
      <c r="AG510">
        <f>INDIRECT(ADDRESS(510,32))+INDIRECT(ADDRESS(508,33))-INDIRECT(ADDRESS(509,33))</f>
        <v>0</v>
      </c>
      <c r="AH510">
        <f>INDIRECT(ADDRESS(510,33))+INDIRECT(ADDRESS(508,34))-INDIRECT(ADDRESS(509,34))</f>
        <v>0</v>
      </c>
      <c r="AI510">
        <f>INDIRECT(ADDRESS(510,34))+INDIRECT(ADDRESS(508,35))-INDIRECT(ADDRESS(509,35))</f>
        <v>0</v>
      </c>
      <c r="AJ510">
        <f>INDIRECT(ADDRESS(510,35))+INDIRECT(ADDRESS(508,36))-INDIRECT(ADDRESS(509,36))</f>
        <v>0</v>
      </c>
      <c r="AK510">
        <f>INDIRECT(ADDRESS(510,36))+INDIRECT(ADDRESS(508,37))-INDIRECT(ADDRESS(509,37))</f>
        <v>0</v>
      </c>
      <c r="AL510">
        <f>INDIRECT(ADDRESS(510,37))+INDIRECT(ADDRESS(508,38))-INDIRECT(ADDRESS(509,38))</f>
        <v>0</v>
      </c>
      <c r="AM510">
        <f>INDIRECT(ADDRESS(510,38))+INDIRECT(ADDRESS(508,39))-INDIRECT(ADDRESS(509,39))</f>
        <v>0</v>
      </c>
      <c r="AN510">
        <f>INDIRECT(ADDRESS(510,39))+INDIRECT(ADDRESS(508,40))-INDIRECT(ADDRESS(509,40))</f>
        <v>0</v>
      </c>
      <c r="AO510">
        <f>SUM(INDIRECT(ADDRESS(509,8)):INDIRECT(ADDRESS(509,39)))</f>
        <v>0</v>
      </c>
    </row>
    <row r="511" spans="1:41">
      <c r="A511" t="s">
        <v>185</v>
      </c>
      <c r="B511" t="s">
        <v>344</v>
      </c>
      <c r="C511" t="s">
        <v>369</v>
      </c>
      <c r="E511">
        <v>8</v>
      </c>
      <c r="I511" t="s">
        <v>177</v>
      </c>
    </row>
    <row r="512" spans="1:41">
      <c r="I512" t="s">
        <v>178</v>
      </c>
      <c r="J512">
        <f>IFERROR(VLOOKUP("924-701000-100",B:AB,1+8,0),0)</f>
        <v>0</v>
      </c>
      <c r="K512">
        <f>IFERROR(VLOOKUP("924-701000-100",B:AB,2+8,0),0)</f>
        <v>0</v>
      </c>
      <c r="L512">
        <f>IFERROR(VLOOKUP("924-701000-100",B:AB,3+8,0),0)</f>
        <v>0</v>
      </c>
      <c r="M512">
        <f>IFERROR(VLOOKUP("924-701000-100",B:AB,4+8,0),0)</f>
        <v>0</v>
      </c>
      <c r="N512">
        <f>IFERROR(VLOOKUP("924-701000-100",B:AB,5+8,0),0)</f>
        <v>0</v>
      </c>
      <c r="O512">
        <f>IFERROR(VLOOKUP("924-701000-100",B:AB,6+8,0),0)</f>
        <v>0</v>
      </c>
      <c r="P512">
        <f>IFERROR(VLOOKUP("924-701000-100",B:AB,7+8,0),0)</f>
        <v>0</v>
      </c>
      <c r="Q512">
        <f>IFERROR(VLOOKUP("924-701000-100",B:AB,8+8,0),0)</f>
        <v>0</v>
      </c>
      <c r="R512">
        <f>IFERROR(VLOOKUP("924-701000-100",B:AB,9+8,0),0)</f>
        <v>0</v>
      </c>
      <c r="S512">
        <f>IFERROR(VLOOKUP("924-701000-100",B:AB,10+8,0),0)</f>
        <v>0</v>
      </c>
      <c r="T512">
        <f>IFERROR(VLOOKUP("924-701000-100",B:AB,11+8,0),0)</f>
        <v>0</v>
      </c>
      <c r="U512">
        <f>IFERROR(VLOOKUP("924-701000-100",B:AB,12+8,0),0)</f>
        <v>0</v>
      </c>
      <c r="V512">
        <f>IFERROR(VLOOKUP("924-701000-100",B:AB,13+8,0),0)</f>
        <v>0</v>
      </c>
      <c r="W512">
        <f>IFERROR(VLOOKUP("924-701000-100",B:AB,14+8,0),0)</f>
        <v>0</v>
      </c>
      <c r="X512">
        <f>IFERROR(VLOOKUP("924-701000-100",B:AB,15+8,0),0)</f>
        <v>0</v>
      </c>
      <c r="Y512">
        <f>IFERROR(VLOOKUP("924-701000-100",B:AB,16+8,0),0)</f>
        <v>0</v>
      </c>
      <c r="Z512">
        <f>IFERROR(VLOOKUP("924-701000-100",B:AB,17+8,0),0)</f>
        <v>0</v>
      </c>
      <c r="AA512">
        <f>IFERROR(VLOOKUP("924-701000-100",B:AB,18+8,0),0)</f>
        <v>0</v>
      </c>
      <c r="AB512">
        <f>IFERROR(VLOOKUP("924-701000-100",B:AB,19+8,0),0)</f>
        <v>0</v>
      </c>
      <c r="AC512">
        <f>IFERROR(VLOOKUP("924-701000-100",B:AB,20+8,0),0)</f>
        <v>0</v>
      </c>
      <c r="AD512">
        <f>IFERROR(VLOOKUP("924-701000-100",B:AB,21+8,0),0)</f>
        <v>0</v>
      </c>
      <c r="AE512">
        <f>IFERROR(VLOOKUP("924-701000-100",B:AB,22+8,0),0)</f>
        <v>0</v>
      </c>
      <c r="AF512">
        <f>IFERROR(VLOOKUP("924-701000-100",B:AB,23+8,0),0)</f>
        <v>0</v>
      </c>
      <c r="AG512">
        <f>IFERROR(VLOOKUP("924-701000-100",B:AB,24+8,0),0)</f>
        <v>0</v>
      </c>
      <c r="AH512">
        <f>IFERROR(VLOOKUP("924-701000-100",B:AB,25+8,0),0)</f>
        <v>0</v>
      </c>
      <c r="AI512">
        <f>IFERROR(VLOOKUP("924-701000-100",B:AB,26+8,0),0)</f>
        <v>0</v>
      </c>
      <c r="AJ512">
        <f>IFERROR(VLOOKUP("924-701000-100",B:AB,27+8,0),0)</f>
        <v>0</v>
      </c>
      <c r="AK512">
        <f>IFERROR(VLOOKUP("924-701000-100",B:AB,28+8,0),0)</f>
        <v>0</v>
      </c>
      <c r="AL512">
        <f>IFERROR(VLOOKUP("924-701000-100",B:AB,29+8,0),0)</f>
        <v>0</v>
      </c>
      <c r="AM512">
        <f>IFERROR(VLOOKUP("924-701000-100",B:AB,30+8,0),0)</f>
        <v>0</v>
      </c>
      <c r="AN512">
        <f>IFERROR(VLOOKUP("924-701000-100",B:AB,31+8,0),0)</f>
        <v>0</v>
      </c>
      <c r="AO512">
        <f>SUN(INDIRECT(ADDRESS(511,8)):INDIRECT(ADDRESS(511,39)))</f>
        <v>0</v>
      </c>
    </row>
    <row r="513" spans="1:41">
      <c r="H513" t="s">
        <v>179</v>
      </c>
      <c r="J513">
        <f>INDIRECT(ADDRESS(513,9))+INDIRECT(ADDRESS(511,10))-INDIRECT(ADDRESS(512,10))</f>
        <v>0</v>
      </c>
      <c r="K513">
        <f>INDIRECT(ADDRESS(513,10))+INDIRECT(ADDRESS(511,11))-INDIRECT(ADDRESS(512,11))</f>
        <v>0</v>
      </c>
      <c r="L513">
        <f>INDIRECT(ADDRESS(513,11))+INDIRECT(ADDRESS(511,12))-INDIRECT(ADDRESS(512,12))</f>
        <v>0</v>
      </c>
      <c r="M513">
        <f>INDIRECT(ADDRESS(513,12))+INDIRECT(ADDRESS(511,13))-INDIRECT(ADDRESS(512,13))</f>
        <v>0</v>
      </c>
      <c r="N513">
        <f>INDIRECT(ADDRESS(513,13))+INDIRECT(ADDRESS(511,14))-INDIRECT(ADDRESS(512,14))</f>
        <v>0</v>
      </c>
      <c r="O513">
        <f>INDIRECT(ADDRESS(513,14))+INDIRECT(ADDRESS(511,15))-INDIRECT(ADDRESS(512,15))</f>
        <v>0</v>
      </c>
      <c r="P513">
        <f>INDIRECT(ADDRESS(513,15))+INDIRECT(ADDRESS(511,16))-INDIRECT(ADDRESS(512,16))</f>
        <v>0</v>
      </c>
      <c r="Q513">
        <f>INDIRECT(ADDRESS(513,16))+INDIRECT(ADDRESS(511,17))-INDIRECT(ADDRESS(512,17))</f>
        <v>0</v>
      </c>
      <c r="R513">
        <f>INDIRECT(ADDRESS(513,17))+INDIRECT(ADDRESS(511,18))-INDIRECT(ADDRESS(512,18))</f>
        <v>0</v>
      </c>
      <c r="S513">
        <f>INDIRECT(ADDRESS(513,18))+INDIRECT(ADDRESS(511,19))-INDIRECT(ADDRESS(512,19))</f>
        <v>0</v>
      </c>
      <c r="T513">
        <f>INDIRECT(ADDRESS(513,19))+INDIRECT(ADDRESS(511,20))-INDIRECT(ADDRESS(512,20))</f>
        <v>0</v>
      </c>
      <c r="U513">
        <f>INDIRECT(ADDRESS(513,20))+INDIRECT(ADDRESS(511,21))-INDIRECT(ADDRESS(512,21))</f>
        <v>0</v>
      </c>
      <c r="V513">
        <f>INDIRECT(ADDRESS(513,21))+INDIRECT(ADDRESS(511,22))-INDIRECT(ADDRESS(512,22))</f>
        <v>0</v>
      </c>
      <c r="W513">
        <f>INDIRECT(ADDRESS(513,22))+INDIRECT(ADDRESS(511,23))-INDIRECT(ADDRESS(512,23))</f>
        <v>0</v>
      </c>
      <c r="X513">
        <f>INDIRECT(ADDRESS(513,23))+INDIRECT(ADDRESS(511,24))-INDIRECT(ADDRESS(512,24))</f>
        <v>0</v>
      </c>
      <c r="Y513">
        <f>INDIRECT(ADDRESS(513,24))+INDIRECT(ADDRESS(511,25))-INDIRECT(ADDRESS(512,25))</f>
        <v>0</v>
      </c>
      <c r="Z513">
        <f>INDIRECT(ADDRESS(513,25))+INDIRECT(ADDRESS(511,26))-INDIRECT(ADDRESS(512,26))</f>
        <v>0</v>
      </c>
      <c r="AA513">
        <f>INDIRECT(ADDRESS(513,26))+INDIRECT(ADDRESS(511,27))-INDIRECT(ADDRESS(512,27))</f>
        <v>0</v>
      </c>
      <c r="AB513">
        <f>INDIRECT(ADDRESS(513,27))+INDIRECT(ADDRESS(511,28))-INDIRECT(ADDRESS(512,28))</f>
        <v>0</v>
      </c>
      <c r="AC513">
        <f>INDIRECT(ADDRESS(513,28))+INDIRECT(ADDRESS(511,29))-INDIRECT(ADDRESS(512,29))</f>
        <v>0</v>
      </c>
      <c r="AD513">
        <f>INDIRECT(ADDRESS(513,29))+INDIRECT(ADDRESS(511,30))-INDIRECT(ADDRESS(512,30))</f>
        <v>0</v>
      </c>
      <c r="AE513">
        <f>INDIRECT(ADDRESS(513,30))+INDIRECT(ADDRESS(511,31))-INDIRECT(ADDRESS(512,31))</f>
        <v>0</v>
      </c>
      <c r="AF513">
        <f>INDIRECT(ADDRESS(513,31))+INDIRECT(ADDRESS(511,32))-INDIRECT(ADDRESS(512,32))</f>
        <v>0</v>
      </c>
      <c r="AG513">
        <f>INDIRECT(ADDRESS(513,32))+INDIRECT(ADDRESS(511,33))-INDIRECT(ADDRESS(512,33))</f>
        <v>0</v>
      </c>
      <c r="AH513">
        <f>INDIRECT(ADDRESS(513,33))+INDIRECT(ADDRESS(511,34))-INDIRECT(ADDRESS(512,34))</f>
        <v>0</v>
      </c>
      <c r="AI513">
        <f>INDIRECT(ADDRESS(513,34))+INDIRECT(ADDRESS(511,35))-INDIRECT(ADDRESS(512,35))</f>
        <v>0</v>
      </c>
      <c r="AJ513">
        <f>INDIRECT(ADDRESS(513,35))+INDIRECT(ADDRESS(511,36))-INDIRECT(ADDRESS(512,36))</f>
        <v>0</v>
      </c>
      <c r="AK513">
        <f>INDIRECT(ADDRESS(513,36))+INDIRECT(ADDRESS(511,37))-INDIRECT(ADDRESS(512,37))</f>
        <v>0</v>
      </c>
      <c r="AL513">
        <f>INDIRECT(ADDRESS(513,37))+INDIRECT(ADDRESS(511,38))-INDIRECT(ADDRESS(512,38))</f>
        <v>0</v>
      </c>
      <c r="AM513">
        <f>INDIRECT(ADDRESS(513,38))+INDIRECT(ADDRESS(511,39))-INDIRECT(ADDRESS(512,39))</f>
        <v>0</v>
      </c>
      <c r="AN513">
        <f>INDIRECT(ADDRESS(513,39))+INDIRECT(ADDRESS(511,40))-INDIRECT(ADDRESS(512,40))</f>
        <v>0</v>
      </c>
      <c r="AO513">
        <f>SUM(INDIRECT(ADDRESS(512,8)):INDIRECT(ADDRESS(512,39)))</f>
        <v>0</v>
      </c>
    </row>
    <row r="514" spans="1:41">
      <c r="A514" t="s">
        <v>185</v>
      </c>
      <c r="B514" t="s">
        <v>355</v>
      </c>
      <c r="C514" t="s">
        <v>370</v>
      </c>
      <c r="E514">
        <v>2</v>
      </c>
      <c r="I514" t="s">
        <v>177</v>
      </c>
    </row>
    <row r="515" spans="1:41">
      <c r="I515" t="s">
        <v>178</v>
      </c>
      <c r="J515">
        <f>IFERROR(VLOOKUP("924-701000-100",B:AB,1+8,0),0)</f>
        <v>0</v>
      </c>
      <c r="K515">
        <f>IFERROR(VLOOKUP("924-701000-100",B:AB,2+8,0),0)</f>
        <v>0</v>
      </c>
      <c r="L515">
        <f>IFERROR(VLOOKUP("924-701000-100",B:AB,3+8,0),0)</f>
        <v>0</v>
      </c>
      <c r="M515">
        <f>IFERROR(VLOOKUP("924-701000-100",B:AB,4+8,0),0)</f>
        <v>0</v>
      </c>
      <c r="N515">
        <f>IFERROR(VLOOKUP("924-701000-100",B:AB,5+8,0),0)</f>
        <v>0</v>
      </c>
      <c r="O515">
        <f>IFERROR(VLOOKUP("924-701000-100",B:AB,6+8,0),0)</f>
        <v>0</v>
      </c>
      <c r="P515">
        <f>IFERROR(VLOOKUP("924-701000-100",B:AB,7+8,0),0)</f>
        <v>0</v>
      </c>
      <c r="Q515">
        <f>IFERROR(VLOOKUP("924-701000-100",B:AB,8+8,0),0)</f>
        <v>0</v>
      </c>
      <c r="R515">
        <f>IFERROR(VLOOKUP("924-701000-100",B:AB,9+8,0),0)</f>
        <v>0</v>
      </c>
      <c r="S515">
        <f>IFERROR(VLOOKUP("924-701000-100",B:AB,10+8,0),0)</f>
        <v>0</v>
      </c>
      <c r="T515">
        <f>IFERROR(VLOOKUP("924-701000-100",B:AB,11+8,0),0)</f>
        <v>0</v>
      </c>
      <c r="U515">
        <f>IFERROR(VLOOKUP("924-701000-100",B:AB,12+8,0),0)</f>
        <v>0</v>
      </c>
      <c r="V515">
        <f>IFERROR(VLOOKUP("924-701000-100",B:AB,13+8,0),0)</f>
        <v>0</v>
      </c>
      <c r="W515">
        <f>IFERROR(VLOOKUP("924-701000-100",B:AB,14+8,0),0)</f>
        <v>0</v>
      </c>
      <c r="X515">
        <f>IFERROR(VLOOKUP("924-701000-100",B:AB,15+8,0),0)</f>
        <v>0</v>
      </c>
      <c r="Y515">
        <f>IFERROR(VLOOKUP("924-701000-100",B:AB,16+8,0),0)</f>
        <v>0</v>
      </c>
      <c r="Z515">
        <f>IFERROR(VLOOKUP("924-701000-100",B:AB,17+8,0),0)</f>
        <v>0</v>
      </c>
      <c r="AA515">
        <f>IFERROR(VLOOKUP("924-701000-100",B:AB,18+8,0),0)</f>
        <v>0</v>
      </c>
      <c r="AB515">
        <f>IFERROR(VLOOKUP("924-701000-100",B:AB,19+8,0),0)</f>
        <v>0</v>
      </c>
      <c r="AC515">
        <f>IFERROR(VLOOKUP("924-701000-100",B:AB,20+8,0),0)</f>
        <v>0</v>
      </c>
      <c r="AD515">
        <f>IFERROR(VLOOKUP("924-701000-100",B:AB,21+8,0),0)</f>
        <v>0</v>
      </c>
      <c r="AE515">
        <f>IFERROR(VLOOKUP("924-701000-100",B:AB,22+8,0),0)</f>
        <v>0</v>
      </c>
      <c r="AF515">
        <f>IFERROR(VLOOKUP("924-701000-100",B:AB,23+8,0),0)</f>
        <v>0</v>
      </c>
      <c r="AG515">
        <f>IFERROR(VLOOKUP("924-701000-100",B:AB,24+8,0),0)</f>
        <v>0</v>
      </c>
      <c r="AH515">
        <f>IFERROR(VLOOKUP("924-701000-100",B:AB,25+8,0),0)</f>
        <v>0</v>
      </c>
      <c r="AI515">
        <f>IFERROR(VLOOKUP("924-701000-100",B:AB,26+8,0),0)</f>
        <v>0</v>
      </c>
      <c r="AJ515">
        <f>IFERROR(VLOOKUP("924-701000-100",B:AB,27+8,0),0)</f>
        <v>0</v>
      </c>
      <c r="AK515">
        <f>IFERROR(VLOOKUP("924-701000-100",B:AB,28+8,0),0)</f>
        <v>0</v>
      </c>
      <c r="AL515">
        <f>IFERROR(VLOOKUP("924-701000-100",B:AB,29+8,0),0)</f>
        <v>0</v>
      </c>
      <c r="AM515">
        <f>IFERROR(VLOOKUP("924-701000-100",B:AB,30+8,0),0)</f>
        <v>0</v>
      </c>
      <c r="AN515">
        <f>IFERROR(VLOOKUP("924-701000-100",B:AB,31+8,0),0)</f>
        <v>0</v>
      </c>
      <c r="AO515">
        <f>SUN(INDIRECT(ADDRESS(514,8)):INDIRECT(ADDRESS(514,39)))</f>
        <v>0</v>
      </c>
    </row>
    <row r="516" spans="1:41">
      <c r="H516" t="s">
        <v>179</v>
      </c>
      <c r="J516">
        <f>INDIRECT(ADDRESS(516,9))+INDIRECT(ADDRESS(514,10))-INDIRECT(ADDRESS(515,10))</f>
        <v>0</v>
      </c>
      <c r="K516">
        <f>INDIRECT(ADDRESS(516,10))+INDIRECT(ADDRESS(514,11))-INDIRECT(ADDRESS(515,11))</f>
        <v>0</v>
      </c>
      <c r="L516">
        <f>INDIRECT(ADDRESS(516,11))+INDIRECT(ADDRESS(514,12))-INDIRECT(ADDRESS(515,12))</f>
        <v>0</v>
      </c>
      <c r="M516">
        <f>INDIRECT(ADDRESS(516,12))+INDIRECT(ADDRESS(514,13))-INDIRECT(ADDRESS(515,13))</f>
        <v>0</v>
      </c>
      <c r="N516">
        <f>INDIRECT(ADDRESS(516,13))+INDIRECT(ADDRESS(514,14))-INDIRECT(ADDRESS(515,14))</f>
        <v>0</v>
      </c>
      <c r="O516">
        <f>INDIRECT(ADDRESS(516,14))+INDIRECT(ADDRESS(514,15))-INDIRECT(ADDRESS(515,15))</f>
        <v>0</v>
      </c>
      <c r="P516">
        <f>INDIRECT(ADDRESS(516,15))+INDIRECT(ADDRESS(514,16))-INDIRECT(ADDRESS(515,16))</f>
        <v>0</v>
      </c>
      <c r="Q516">
        <f>INDIRECT(ADDRESS(516,16))+INDIRECT(ADDRESS(514,17))-INDIRECT(ADDRESS(515,17))</f>
        <v>0</v>
      </c>
      <c r="R516">
        <f>INDIRECT(ADDRESS(516,17))+INDIRECT(ADDRESS(514,18))-INDIRECT(ADDRESS(515,18))</f>
        <v>0</v>
      </c>
      <c r="S516">
        <f>INDIRECT(ADDRESS(516,18))+INDIRECT(ADDRESS(514,19))-INDIRECT(ADDRESS(515,19))</f>
        <v>0</v>
      </c>
      <c r="T516">
        <f>INDIRECT(ADDRESS(516,19))+INDIRECT(ADDRESS(514,20))-INDIRECT(ADDRESS(515,20))</f>
        <v>0</v>
      </c>
      <c r="U516">
        <f>INDIRECT(ADDRESS(516,20))+INDIRECT(ADDRESS(514,21))-INDIRECT(ADDRESS(515,21))</f>
        <v>0</v>
      </c>
      <c r="V516">
        <f>INDIRECT(ADDRESS(516,21))+INDIRECT(ADDRESS(514,22))-INDIRECT(ADDRESS(515,22))</f>
        <v>0</v>
      </c>
      <c r="W516">
        <f>INDIRECT(ADDRESS(516,22))+INDIRECT(ADDRESS(514,23))-INDIRECT(ADDRESS(515,23))</f>
        <v>0</v>
      </c>
      <c r="X516">
        <f>INDIRECT(ADDRESS(516,23))+INDIRECT(ADDRESS(514,24))-INDIRECT(ADDRESS(515,24))</f>
        <v>0</v>
      </c>
      <c r="Y516">
        <f>INDIRECT(ADDRESS(516,24))+INDIRECT(ADDRESS(514,25))-INDIRECT(ADDRESS(515,25))</f>
        <v>0</v>
      </c>
      <c r="Z516">
        <f>INDIRECT(ADDRESS(516,25))+INDIRECT(ADDRESS(514,26))-INDIRECT(ADDRESS(515,26))</f>
        <v>0</v>
      </c>
      <c r="AA516">
        <f>INDIRECT(ADDRESS(516,26))+INDIRECT(ADDRESS(514,27))-INDIRECT(ADDRESS(515,27))</f>
        <v>0</v>
      </c>
      <c r="AB516">
        <f>INDIRECT(ADDRESS(516,27))+INDIRECT(ADDRESS(514,28))-INDIRECT(ADDRESS(515,28))</f>
        <v>0</v>
      </c>
      <c r="AC516">
        <f>INDIRECT(ADDRESS(516,28))+INDIRECT(ADDRESS(514,29))-INDIRECT(ADDRESS(515,29))</f>
        <v>0</v>
      </c>
      <c r="AD516">
        <f>INDIRECT(ADDRESS(516,29))+INDIRECT(ADDRESS(514,30))-INDIRECT(ADDRESS(515,30))</f>
        <v>0</v>
      </c>
      <c r="AE516">
        <f>INDIRECT(ADDRESS(516,30))+INDIRECT(ADDRESS(514,31))-INDIRECT(ADDRESS(515,31))</f>
        <v>0</v>
      </c>
      <c r="AF516">
        <f>INDIRECT(ADDRESS(516,31))+INDIRECT(ADDRESS(514,32))-INDIRECT(ADDRESS(515,32))</f>
        <v>0</v>
      </c>
      <c r="AG516">
        <f>INDIRECT(ADDRESS(516,32))+INDIRECT(ADDRESS(514,33))-INDIRECT(ADDRESS(515,33))</f>
        <v>0</v>
      </c>
      <c r="AH516">
        <f>INDIRECT(ADDRESS(516,33))+INDIRECT(ADDRESS(514,34))-INDIRECT(ADDRESS(515,34))</f>
        <v>0</v>
      </c>
      <c r="AI516">
        <f>INDIRECT(ADDRESS(516,34))+INDIRECT(ADDRESS(514,35))-INDIRECT(ADDRESS(515,35))</f>
        <v>0</v>
      </c>
      <c r="AJ516">
        <f>INDIRECT(ADDRESS(516,35))+INDIRECT(ADDRESS(514,36))-INDIRECT(ADDRESS(515,36))</f>
        <v>0</v>
      </c>
      <c r="AK516">
        <f>INDIRECT(ADDRESS(516,36))+INDIRECT(ADDRESS(514,37))-INDIRECT(ADDRESS(515,37))</f>
        <v>0</v>
      </c>
      <c r="AL516">
        <f>INDIRECT(ADDRESS(516,37))+INDIRECT(ADDRESS(514,38))-INDIRECT(ADDRESS(515,38))</f>
        <v>0</v>
      </c>
      <c r="AM516">
        <f>INDIRECT(ADDRESS(516,38))+INDIRECT(ADDRESS(514,39))-INDIRECT(ADDRESS(515,39))</f>
        <v>0</v>
      </c>
      <c r="AN516">
        <f>INDIRECT(ADDRESS(516,39))+INDIRECT(ADDRESS(514,40))-INDIRECT(ADDRESS(515,40))</f>
        <v>0</v>
      </c>
      <c r="AO516">
        <f>SUM(INDIRECT(ADDRESS(515,8)):INDIRECT(ADDRESS(515,39)))</f>
        <v>0</v>
      </c>
    </row>
    <row r="517" spans="1:41">
      <c r="A517" t="s">
        <v>185</v>
      </c>
      <c r="B517" t="s">
        <v>357</v>
      </c>
      <c r="C517" t="s">
        <v>371</v>
      </c>
      <c r="E517">
        <v>8</v>
      </c>
      <c r="I517" t="s">
        <v>177</v>
      </c>
    </row>
    <row r="518" spans="1:41">
      <c r="I518" t="s">
        <v>178</v>
      </c>
      <c r="J518">
        <f>IFERROR(VLOOKUP("924-701000-100",B:AB,1+8,0),0)</f>
        <v>0</v>
      </c>
      <c r="K518">
        <f>IFERROR(VLOOKUP("924-701000-100",B:AB,2+8,0),0)</f>
        <v>0</v>
      </c>
      <c r="L518">
        <f>IFERROR(VLOOKUP("924-701000-100",B:AB,3+8,0),0)</f>
        <v>0</v>
      </c>
      <c r="M518">
        <f>IFERROR(VLOOKUP("924-701000-100",B:AB,4+8,0),0)</f>
        <v>0</v>
      </c>
      <c r="N518">
        <f>IFERROR(VLOOKUP("924-701000-100",B:AB,5+8,0),0)</f>
        <v>0</v>
      </c>
      <c r="O518">
        <f>IFERROR(VLOOKUP("924-701000-100",B:AB,6+8,0),0)</f>
        <v>0</v>
      </c>
      <c r="P518">
        <f>IFERROR(VLOOKUP("924-701000-100",B:AB,7+8,0),0)</f>
        <v>0</v>
      </c>
      <c r="Q518">
        <f>IFERROR(VLOOKUP("924-701000-100",B:AB,8+8,0),0)</f>
        <v>0</v>
      </c>
      <c r="R518">
        <f>IFERROR(VLOOKUP("924-701000-100",B:AB,9+8,0),0)</f>
        <v>0</v>
      </c>
      <c r="S518">
        <f>IFERROR(VLOOKUP("924-701000-100",B:AB,10+8,0),0)</f>
        <v>0</v>
      </c>
      <c r="T518">
        <f>IFERROR(VLOOKUP("924-701000-100",B:AB,11+8,0),0)</f>
        <v>0</v>
      </c>
      <c r="U518">
        <f>IFERROR(VLOOKUP("924-701000-100",B:AB,12+8,0),0)</f>
        <v>0</v>
      </c>
      <c r="V518">
        <f>IFERROR(VLOOKUP("924-701000-100",B:AB,13+8,0),0)</f>
        <v>0</v>
      </c>
      <c r="W518">
        <f>IFERROR(VLOOKUP("924-701000-100",B:AB,14+8,0),0)</f>
        <v>0</v>
      </c>
      <c r="X518">
        <f>IFERROR(VLOOKUP("924-701000-100",B:AB,15+8,0),0)</f>
        <v>0</v>
      </c>
      <c r="Y518">
        <f>IFERROR(VLOOKUP("924-701000-100",B:AB,16+8,0),0)</f>
        <v>0</v>
      </c>
      <c r="Z518">
        <f>IFERROR(VLOOKUP("924-701000-100",B:AB,17+8,0),0)</f>
        <v>0</v>
      </c>
      <c r="AA518">
        <f>IFERROR(VLOOKUP("924-701000-100",B:AB,18+8,0),0)</f>
        <v>0</v>
      </c>
      <c r="AB518">
        <f>IFERROR(VLOOKUP("924-701000-100",B:AB,19+8,0),0)</f>
        <v>0</v>
      </c>
      <c r="AC518">
        <f>IFERROR(VLOOKUP("924-701000-100",B:AB,20+8,0),0)</f>
        <v>0</v>
      </c>
      <c r="AD518">
        <f>IFERROR(VLOOKUP("924-701000-100",B:AB,21+8,0),0)</f>
        <v>0</v>
      </c>
      <c r="AE518">
        <f>IFERROR(VLOOKUP("924-701000-100",B:AB,22+8,0),0)</f>
        <v>0</v>
      </c>
      <c r="AF518">
        <f>IFERROR(VLOOKUP("924-701000-100",B:AB,23+8,0),0)</f>
        <v>0</v>
      </c>
      <c r="AG518">
        <f>IFERROR(VLOOKUP("924-701000-100",B:AB,24+8,0),0)</f>
        <v>0</v>
      </c>
      <c r="AH518">
        <f>IFERROR(VLOOKUP("924-701000-100",B:AB,25+8,0),0)</f>
        <v>0</v>
      </c>
      <c r="AI518">
        <f>IFERROR(VLOOKUP("924-701000-100",B:AB,26+8,0),0)</f>
        <v>0</v>
      </c>
      <c r="AJ518">
        <f>IFERROR(VLOOKUP("924-701000-100",B:AB,27+8,0),0)</f>
        <v>0</v>
      </c>
      <c r="AK518">
        <f>IFERROR(VLOOKUP("924-701000-100",B:AB,28+8,0),0)</f>
        <v>0</v>
      </c>
      <c r="AL518">
        <f>IFERROR(VLOOKUP("924-701000-100",B:AB,29+8,0),0)</f>
        <v>0</v>
      </c>
      <c r="AM518">
        <f>IFERROR(VLOOKUP("924-701000-100",B:AB,30+8,0),0)</f>
        <v>0</v>
      </c>
      <c r="AN518">
        <f>IFERROR(VLOOKUP("924-701000-100",B:AB,31+8,0),0)</f>
        <v>0</v>
      </c>
      <c r="AO518">
        <f>SUN(INDIRECT(ADDRESS(517,8)):INDIRECT(ADDRESS(517,39)))</f>
        <v>0</v>
      </c>
    </row>
    <row r="519" spans="1:41">
      <c r="H519" t="s">
        <v>179</v>
      </c>
      <c r="J519">
        <f>INDIRECT(ADDRESS(519,9))+INDIRECT(ADDRESS(517,10))-INDIRECT(ADDRESS(518,10))</f>
        <v>0</v>
      </c>
      <c r="K519">
        <f>INDIRECT(ADDRESS(519,10))+INDIRECT(ADDRESS(517,11))-INDIRECT(ADDRESS(518,11))</f>
        <v>0</v>
      </c>
      <c r="L519">
        <f>INDIRECT(ADDRESS(519,11))+INDIRECT(ADDRESS(517,12))-INDIRECT(ADDRESS(518,12))</f>
        <v>0</v>
      </c>
      <c r="M519">
        <f>INDIRECT(ADDRESS(519,12))+INDIRECT(ADDRESS(517,13))-INDIRECT(ADDRESS(518,13))</f>
        <v>0</v>
      </c>
      <c r="N519">
        <f>INDIRECT(ADDRESS(519,13))+INDIRECT(ADDRESS(517,14))-INDIRECT(ADDRESS(518,14))</f>
        <v>0</v>
      </c>
      <c r="O519">
        <f>INDIRECT(ADDRESS(519,14))+INDIRECT(ADDRESS(517,15))-INDIRECT(ADDRESS(518,15))</f>
        <v>0</v>
      </c>
      <c r="P519">
        <f>INDIRECT(ADDRESS(519,15))+INDIRECT(ADDRESS(517,16))-INDIRECT(ADDRESS(518,16))</f>
        <v>0</v>
      </c>
      <c r="Q519">
        <f>INDIRECT(ADDRESS(519,16))+INDIRECT(ADDRESS(517,17))-INDIRECT(ADDRESS(518,17))</f>
        <v>0</v>
      </c>
      <c r="R519">
        <f>INDIRECT(ADDRESS(519,17))+INDIRECT(ADDRESS(517,18))-INDIRECT(ADDRESS(518,18))</f>
        <v>0</v>
      </c>
      <c r="S519">
        <f>INDIRECT(ADDRESS(519,18))+INDIRECT(ADDRESS(517,19))-INDIRECT(ADDRESS(518,19))</f>
        <v>0</v>
      </c>
      <c r="T519">
        <f>INDIRECT(ADDRESS(519,19))+INDIRECT(ADDRESS(517,20))-INDIRECT(ADDRESS(518,20))</f>
        <v>0</v>
      </c>
      <c r="U519">
        <f>INDIRECT(ADDRESS(519,20))+INDIRECT(ADDRESS(517,21))-INDIRECT(ADDRESS(518,21))</f>
        <v>0</v>
      </c>
      <c r="V519">
        <f>INDIRECT(ADDRESS(519,21))+INDIRECT(ADDRESS(517,22))-INDIRECT(ADDRESS(518,22))</f>
        <v>0</v>
      </c>
      <c r="W519">
        <f>INDIRECT(ADDRESS(519,22))+INDIRECT(ADDRESS(517,23))-INDIRECT(ADDRESS(518,23))</f>
        <v>0</v>
      </c>
      <c r="X519">
        <f>INDIRECT(ADDRESS(519,23))+INDIRECT(ADDRESS(517,24))-INDIRECT(ADDRESS(518,24))</f>
        <v>0</v>
      </c>
      <c r="Y519">
        <f>INDIRECT(ADDRESS(519,24))+INDIRECT(ADDRESS(517,25))-INDIRECT(ADDRESS(518,25))</f>
        <v>0</v>
      </c>
      <c r="Z519">
        <f>INDIRECT(ADDRESS(519,25))+INDIRECT(ADDRESS(517,26))-INDIRECT(ADDRESS(518,26))</f>
        <v>0</v>
      </c>
      <c r="AA519">
        <f>INDIRECT(ADDRESS(519,26))+INDIRECT(ADDRESS(517,27))-INDIRECT(ADDRESS(518,27))</f>
        <v>0</v>
      </c>
      <c r="AB519">
        <f>INDIRECT(ADDRESS(519,27))+INDIRECT(ADDRESS(517,28))-INDIRECT(ADDRESS(518,28))</f>
        <v>0</v>
      </c>
      <c r="AC519">
        <f>INDIRECT(ADDRESS(519,28))+INDIRECT(ADDRESS(517,29))-INDIRECT(ADDRESS(518,29))</f>
        <v>0</v>
      </c>
      <c r="AD519">
        <f>INDIRECT(ADDRESS(519,29))+INDIRECT(ADDRESS(517,30))-INDIRECT(ADDRESS(518,30))</f>
        <v>0</v>
      </c>
      <c r="AE519">
        <f>INDIRECT(ADDRESS(519,30))+INDIRECT(ADDRESS(517,31))-INDIRECT(ADDRESS(518,31))</f>
        <v>0</v>
      </c>
      <c r="AF519">
        <f>INDIRECT(ADDRESS(519,31))+INDIRECT(ADDRESS(517,32))-INDIRECT(ADDRESS(518,32))</f>
        <v>0</v>
      </c>
      <c r="AG519">
        <f>INDIRECT(ADDRESS(519,32))+INDIRECT(ADDRESS(517,33))-INDIRECT(ADDRESS(518,33))</f>
        <v>0</v>
      </c>
      <c r="AH519">
        <f>INDIRECT(ADDRESS(519,33))+INDIRECT(ADDRESS(517,34))-INDIRECT(ADDRESS(518,34))</f>
        <v>0</v>
      </c>
      <c r="AI519">
        <f>INDIRECT(ADDRESS(519,34))+INDIRECT(ADDRESS(517,35))-INDIRECT(ADDRESS(518,35))</f>
        <v>0</v>
      </c>
      <c r="AJ519">
        <f>INDIRECT(ADDRESS(519,35))+INDIRECT(ADDRESS(517,36))-INDIRECT(ADDRESS(518,36))</f>
        <v>0</v>
      </c>
      <c r="AK519">
        <f>INDIRECT(ADDRESS(519,36))+INDIRECT(ADDRESS(517,37))-INDIRECT(ADDRESS(518,37))</f>
        <v>0</v>
      </c>
      <c r="AL519">
        <f>INDIRECT(ADDRESS(519,37))+INDIRECT(ADDRESS(517,38))-INDIRECT(ADDRESS(518,38))</f>
        <v>0</v>
      </c>
      <c r="AM519">
        <f>INDIRECT(ADDRESS(519,38))+INDIRECT(ADDRESS(517,39))-INDIRECT(ADDRESS(518,39))</f>
        <v>0</v>
      </c>
      <c r="AN519">
        <f>INDIRECT(ADDRESS(519,39))+INDIRECT(ADDRESS(517,40))-INDIRECT(ADDRESS(518,40))</f>
        <v>0</v>
      </c>
      <c r="AO519">
        <f>SUM(INDIRECT(ADDRESS(518,8)):INDIRECT(ADDRESS(518,39)))</f>
        <v>0</v>
      </c>
    </row>
    <row r="520" spans="1:41">
      <c r="A520" t="s">
        <v>185</v>
      </c>
      <c r="B520" t="s">
        <v>359</v>
      </c>
      <c r="C520" t="s">
        <v>372</v>
      </c>
      <c r="E520">
        <v>1</v>
      </c>
      <c r="I520" t="s">
        <v>177</v>
      </c>
    </row>
    <row r="521" spans="1:41">
      <c r="I521" t="s">
        <v>178</v>
      </c>
      <c r="J521">
        <f>IFERROR(VLOOKUP("924-701000-100",B:AB,1+8,0),0)</f>
        <v>0</v>
      </c>
      <c r="K521">
        <f>IFERROR(VLOOKUP("924-701000-100",B:AB,2+8,0),0)</f>
        <v>0</v>
      </c>
      <c r="L521">
        <f>IFERROR(VLOOKUP("924-701000-100",B:AB,3+8,0),0)</f>
        <v>0</v>
      </c>
      <c r="M521">
        <f>IFERROR(VLOOKUP("924-701000-100",B:AB,4+8,0),0)</f>
        <v>0</v>
      </c>
      <c r="N521">
        <f>IFERROR(VLOOKUP("924-701000-100",B:AB,5+8,0),0)</f>
        <v>0</v>
      </c>
      <c r="O521">
        <f>IFERROR(VLOOKUP("924-701000-100",B:AB,6+8,0),0)</f>
        <v>0</v>
      </c>
      <c r="P521">
        <f>IFERROR(VLOOKUP("924-701000-100",B:AB,7+8,0),0)</f>
        <v>0</v>
      </c>
      <c r="Q521">
        <f>IFERROR(VLOOKUP("924-701000-100",B:AB,8+8,0),0)</f>
        <v>0</v>
      </c>
      <c r="R521">
        <f>IFERROR(VLOOKUP("924-701000-100",B:AB,9+8,0),0)</f>
        <v>0</v>
      </c>
      <c r="S521">
        <f>IFERROR(VLOOKUP("924-701000-100",B:AB,10+8,0),0)</f>
        <v>0</v>
      </c>
      <c r="T521">
        <f>IFERROR(VLOOKUP("924-701000-100",B:AB,11+8,0),0)</f>
        <v>0</v>
      </c>
      <c r="U521">
        <f>IFERROR(VLOOKUP("924-701000-100",B:AB,12+8,0),0)</f>
        <v>0</v>
      </c>
      <c r="V521">
        <f>IFERROR(VLOOKUP("924-701000-100",B:AB,13+8,0),0)</f>
        <v>0</v>
      </c>
      <c r="W521">
        <f>IFERROR(VLOOKUP("924-701000-100",B:AB,14+8,0),0)</f>
        <v>0</v>
      </c>
      <c r="X521">
        <f>IFERROR(VLOOKUP("924-701000-100",B:AB,15+8,0),0)</f>
        <v>0</v>
      </c>
      <c r="Y521">
        <f>IFERROR(VLOOKUP("924-701000-100",B:AB,16+8,0),0)</f>
        <v>0</v>
      </c>
      <c r="Z521">
        <f>IFERROR(VLOOKUP("924-701000-100",B:AB,17+8,0),0)</f>
        <v>0</v>
      </c>
      <c r="AA521">
        <f>IFERROR(VLOOKUP("924-701000-100",B:AB,18+8,0),0)</f>
        <v>0</v>
      </c>
      <c r="AB521">
        <f>IFERROR(VLOOKUP("924-701000-100",B:AB,19+8,0),0)</f>
        <v>0</v>
      </c>
      <c r="AC521">
        <f>IFERROR(VLOOKUP("924-701000-100",B:AB,20+8,0),0)</f>
        <v>0</v>
      </c>
      <c r="AD521">
        <f>IFERROR(VLOOKUP("924-701000-100",B:AB,21+8,0),0)</f>
        <v>0</v>
      </c>
      <c r="AE521">
        <f>IFERROR(VLOOKUP("924-701000-100",B:AB,22+8,0),0)</f>
        <v>0</v>
      </c>
      <c r="AF521">
        <f>IFERROR(VLOOKUP("924-701000-100",B:AB,23+8,0),0)</f>
        <v>0</v>
      </c>
      <c r="AG521">
        <f>IFERROR(VLOOKUP("924-701000-100",B:AB,24+8,0),0)</f>
        <v>0</v>
      </c>
      <c r="AH521">
        <f>IFERROR(VLOOKUP("924-701000-100",B:AB,25+8,0),0)</f>
        <v>0</v>
      </c>
      <c r="AI521">
        <f>IFERROR(VLOOKUP("924-701000-100",B:AB,26+8,0),0)</f>
        <v>0</v>
      </c>
      <c r="AJ521">
        <f>IFERROR(VLOOKUP("924-701000-100",B:AB,27+8,0),0)</f>
        <v>0</v>
      </c>
      <c r="AK521">
        <f>IFERROR(VLOOKUP("924-701000-100",B:AB,28+8,0),0)</f>
        <v>0</v>
      </c>
      <c r="AL521">
        <f>IFERROR(VLOOKUP("924-701000-100",B:AB,29+8,0),0)</f>
        <v>0</v>
      </c>
      <c r="AM521">
        <f>IFERROR(VLOOKUP("924-701000-100",B:AB,30+8,0),0)</f>
        <v>0</v>
      </c>
      <c r="AN521">
        <f>IFERROR(VLOOKUP("924-701000-100",B:AB,31+8,0),0)</f>
        <v>0</v>
      </c>
      <c r="AO521">
        <f>SUN(INDIRECT(ADDRESS(520,8)):INDIRECT(ADDRESS(520,39)))</f>
        <v>0</v>
      </c>
    </row>
    <row r="522" spans="1:41">
      <c r="H522" t="s">
        <v>179</v>
      </c>
      <c r="J522">
        <f>INDIRECT(ADDRESS(522,9))+INDIRECT(ADDRESS(520,10))-INDIRECT(ADDRESS(521,10))</f>
        <v>0</v>
      </c>
      <c r="K522">
        <f>INDIRECT(ADDRESS(522,10))+INDIRECT(ADDRESS(520,11))-INDIRECT(ADDRESS(521,11))</f>
        <v>0</v>
      </c>
      <c r="L522">
        <f>INDIRECT(ADDRESS(522,11))+INDIRECT(ADDRESS(520,12))-INDIRECT(ADDRESS(521,12))</f>
        <v>0</v>
      </c>
      <c r="M522">
        <f>INDIRECT(ADDRESS(522,12))+INDIRECT(ADDRESS(520,13))-INDIRECT(ADDRESS(521,13))</f>
        <v>0</v>
      </c>
      <c r="N522">
        <f>INDIRECT(ADDRESS(522,13))+INDIRECT(ADDRESS(520,14))-INDIRECT(ADDRESS(521,14))</f>
        <v>0</v>
      </c>
      <c r="O522">
        <f>INDIRECT(ADDRESS(522,14))+INDIRECT(ADDRESS(520,15))-INDIRECT(ADDRESS(521,15))</f>
        <v>0</v>
      </c>
      <c r="P522">
        <f>INDIRECT(ADDRESS(522,15))+INDIRECT(ADDRESS(520,16))-INDIRECT(ADDRESS(521,16))</f>
        <v>0</v>
      </c>
      <c r="Q522">
        <f>INDIRECT(ADDRESS(522,16))+INDIRECT(ADDRESS(520,17))-INDIRECT(ADDRESS(521,17))</f>
        <v>0</v>
      </c>
      <c r="R522">
        <f>INDIRECT(ADDRESS(522,17))+INDIRECT(ADDRESS(520,18))-INDIRECT(ADDRESS(521,18))</f>
        <v>0</v>
      </c>
      <c r="S522">
        <f>INDIRECT(ADDRESS(522,18))+INDIRECT(ADDRESS(520,19))-INDIRECT(ADDRESS(521,19))</f>
        <v>0</v>
      </c>
      <c r="T522">
        <f>INDIRECT(ADDRESS(522,19))+INDIRECT(ADDRESS(520,20))-INDIRECT(ADDRESS(521,20))</f>
        <v>0</v>
      </c>
      <c r="U522">
        <f>INDIRECT(ADDRESS(522,20))+INDIRECT(ADDRESS(520,21))-INDIRECT(ADDRESS(521,21))</f>
        <v>0</v>
      </c>
      <c r="V522">
        <f>INDIRECT(ADDRESS(522,21))+INDIRECT(ADDRESS(520,22))-INDIRECT(ADDRESS(521,22))</f>
        <v>0</v>
      </c>
      <c r="W522">
        <f>INDIRECT(ADDRESS(522,22))+INDIRECT(ADDRESS(520,23))-INDIRECT(ADDRESS(521,23))</f>
        <v>0</v>
      </c>
      <c r="X522">
        <f>INDIRECT(ADDRESS(522,23))+INDIRECT(ADDRESS(520,24))-INDIRECT(ADDRESS(521,24))</f>
        <v>0</v>
      </c>
      <c r="Y522">
        <f>INDIRECT(ADDRESS(522,24))+INDIRECT(ADDRESS(520,25))-INDIRECT(ADDRESS(521,25))</f>
        <v>0</v>
      </c>
      <c r="Z522">
        <f>INDIRECT(ADDRESS(522,25))+INDIRECT(ADDRESS(520,26))-INDIRECT(ADDRESS(521,26))</f>
        <v>0</v>
      </c>
      <c r="AA522">
        <f>INDIRECT(ADDRESS(522,26))+INDIRECT(ADDRESS(520,27))-INDIRECT(ADDRESS(521,27))</f>
        <v>0</v>
      </c>
      <c r="AB522">
        <f>INDIRECT(ADDRESS(522,27))+INDIRECT(ADDRESS(520,28))-INDIRECT(ADDRESS(521,28))</f>
        <v>0</v>
      </c>
      <c r="AC522">
        <f>INDIRECT(ADDRESS(522,28))+INDIRECT(ADDRESS(520,29))-INDIRECT(ADDRESS(521,29))</f>
        <v>0</v>
      </c>
      <c r="AD522">
        <f>INDIRECT(ADDRESS(522,29))+INDIRECT(ADDRESS(520,30))-INDIRECT(ADDRESS(521,30))</f>
        <v>0</v>
      </c>
      <c r="AE522">
        <f>INDIRECT(ADDRESS(522,30))+INDIRECT(ADDRESS(520,31))-INDIRECT(ADDRESS(521,31))</f>
        <v>0</v>
      </c>
      <c r="AF522">
        <f>INDIRECT(ADDRESS(522,31))+INDIRECT(ADDRESS(520,32))-INDIRECT(ADDRESS(521,32))</f>
        <v>0</v>
      </c>
      <c r="AG522">
        <f>INDIRECT(ADDRESS(522,32))+INDIRECT(ADDRESS(520,33))-INDIRECT(ADDRESS(521,33))</f>
        <v>0</v>
      </c>
      <c r="AH522">
        <f>INDIRECT(ADDRESS(522,33))+INDIRECT(ADDRESS(520,34))-INDIRECT(ADDRESS(521,34))</f>
        <v>0</v>
      </c>
      <c r="AI522">
        <f>INDIRECT(ADDRESS(522,34))+INDIRECT(ADDRESS(520,35))-INDIRECT(ADDRESS(521,35))</f>
        <v>0</v>
      </c>
      <c r="AJ522">
        <f>INDIRECT(ADDRESS(522,35))+INDIRECT(ADDRESS(520,36))-INDIRECT(ADDRESS(521,36))</f>
        <v>0</v>
      </c>
      <c r="AK522">
        <f>INDIRECT(ADDRESS(522,36))+INDIRECT(ADDRESS(520,37))-INDIRECT(ADDRESS(521,37))</f>
        <v>0</v>
      </c>
      <c r="AL522">
        <f>INDIRECT(ADDRESS(522,37))+INDIRECT(ADDRESS(520,38))-INDIRECT(ADDRESS(521,38))</f>
        <v>0</v>
      </c>
      <c r="AM522">
        <f>INDIRECT(ADDRESS(522,38))+INDIRECT(ADDRESS(520,39))-INDIRECT(ADDRESS(521,39))</f>
        <v>0</v>
      </c>
      <c r="AN522">
        <f>INDIRECT(ADDRESS(522,39))+INDIRECT(ADDRESS(520,40))-INDIRECT(ADDRESS(521,40))</f>
        <v>0</v>
      </c>
      <c r="AO522">
        <f>SUM(INDIRECT(ADDRESS(521,8)):INDIRECT(ADDRESS(521,39)))</f>
        <v>0</v>
      </c>
    </row>
    <row r="523" spans="1:41">
      <c r="A523" t="s">
        <v>185</v>
      </c>
      <c r="B523" t="s">
        <v>361</v>
      </c>
      <c r="C523" t="s">
        <v>373</v>
      </c>
      <c r="E523">
        <v>1</v>
      </c>
      <c r="I523" t="s">
        <v>177</v>
      </c>
    </row>
    <row r="524" spans="1:41">
      <c r="I524" t="s">
        <v>178</v>
      </c>
      <c r="J524">
        <f>IFERROR(VLOOKUP("924-701000-100",B:AB,1+8,0),0)</f>
        <v>0</v>
      </c>
      <c r="K524">
        <f>IFERROR(VLOOKUP("924-701000-100",B:AB,2+8,0),0)</f>
        <v>0</v>
      </c>
      <c r="L524">
        <f>IFERROR(VLOOKUP("924-701000-100",B:AB,3+8,0),0)</f>
        <v>0</v>
      </c>
      <c r="M524">
        <f>IFERROR(VLOOKUP("924-701000-100",B:AB,4+8,0),0)</f>
        <v>0</v>
      </c>
      <c r="N524">
        <f>IFERROR(VLOOKUP("924-701000-100",B:AB,5+8,0),0)</f>
        <v>0</v>
      </c>
      <c r="O524">
        <f>IFERROR(VLOOKUP("924-701000-100",B:AB,6+8,0),0)</f>
        <v>0</v>
      </c>
      <c r="P524">
        <f>IFERROR(VLOOKUP("924-701000-100",B:AB,7+8,0),0)</f>
        <v>0</v>
      </c>
      <c r="Q524">
        <f>IFERROR(VLOOKUP("924-701000-100",B:AB,8+8,0),0)</f>
        <v>0</v>
      </c>
      <c r="R524">
        <f>IFERROR(VLOOKUP("924-701000-100",B:AB,9+8,0),0)</f>
        <v>0</v>
      </c>
      <c r="S524">
        <f>IFERROR(VLOOKUP("924-701000-100",B:AB,10+8,0),0)</f>
        <v>0</v>
      </c>
      <c r="T524">
        <f>IFERROR(VLOOKUP("924-701000-100",B:AB,11+8,0),0)</f>
        <v>0</v>
      </c>
      <c r="U524">
        <f>IFERROR(VLOOKUP("924-701000-100",B:AB,12+8,0),0)</f>
        <v>0</v>
      </c>
      <c r="V524">
        <f>IFERROR(VLOOKUP("924-701000-100",B:AB,13+8,0),0)</f>
        <v>0</v>
      </c>
      <c r="W524">
        <f>IFERROR(VLOOKUP("924-701000-100",B:AB,14+8,0),0)</f>
        <v>0</v>
      </c>
      <c r="X524">
        <f>IFERROR(VLOOKUP("924-701000-100",B:AB,15+8,0),0)</f>
        <v>0</v>
      </c>
      <c r="Y524">
        <f>IFERROR(VLOOKUP("924-701000-100",B:AB,16+8,0),0)</f>
        <v>0</v>
      </c>
      <c r="Z524">
        <f>IFERROR(VLOOKUP("924-701000-100",B:AB,17+8,0),0)</f>
        <v>0</v>
      </c>
      <c r="AA524">
        <f>IFERROR(VLOOKUP("924-701000-100",B:AB,18+8,0),0)</f>
        <v>0</v>
      </c>
      <c r="AB524">
        <f>IFERROR(VLOOKUP("924-701000-100",B:AB,19+8,0),0)</f>
        <v>0</v>
      </c>
      <c r="AC524">
        <f>IFERROR(VLOOKUP("924-701000-100",B:AB,20+8,0),0)</f>
        <v>0</v>
      </c>
      <c r="AD524">
        <f>IFERROR(VLOOKUP("924-701000-100",B:AB,21+8,0),0)</f>
        <v>0</v>
      </c>
      <c r="AE524">
        <f>IFERROR(VLOOKUP("924-701000-100",B:AB,22+8,0),0)</f>
        <v>0</v>
      </c>
      <c r="AF524">
        <f>IFERROR(VLOOKUP("924-701000-100",B:AB,23+8,0),0)</f>
        <v>0</v>
      </c>
      <c r="AG524">
        <f>IFERROR(VLOOKUP("924-701000-100",B:AB,24+8,0),0)</f>
        <v>0</v>
      </c>
      <c r="AH524">
        <f>IFERROR(VLOOKUP("924-701000-100",B:AB,25+8,0),0)</f>
        <v>0</v>
      </c>
      <c r="AI524">
        <f>IFERROR(VLOOKUP("924-701000-100",B:AB,26+8,0),0)</f>
        <v>0</v>
      </c>
      <c r="AJ524">
        <f>IFERROR(VLOOKUP("924-701000-100",B:AB,27+8,0),0)</f>
        <v>0</v>
      </c>
      <c r="AK524">
        <f>IFERROR(VLOOKUP("924-701000-100",B:AB,28+8,0),0)</f>
        <v>0</v>
      </c>
      <c r="AL524">
        <f>IFERROR(VLOOKUP("924-701000-100",B:AB,29+8,0),0)</f>
        <v>0</v>
      </c>
      <c r="AM524">
        <f>IFERROR(VLOOKUP("924-701000-100",B:AB,30+8,0),0)</f>
        <v>0</v>
      </c>
      <c r="AN524">
        <f>IFERROR(VLOOKUP("924-701000-100",B:AB,31+8,0),0)</f>
        <v>0</v>
      </c>
      <c r="AO524">
        <f>SUN(INDIRECT(ADDRESS(523,8)):INDIRECT(ADDRESS(523,39)))</f>
        <v>0</v>
      </c>
    </row>
    <row r="525" spans="1:41">
      <c r="H525" t="s">
        <v>179</v>
      </c>
      <c r="J525">
        <f>INDIRECT(ADDRESS(525,9))+INDIRECT(ADDRESS(523,10))-INDIRECT(ADDRESS(524,10))</f>
        <v>0</v>
      </c>
      <c r="K525">
        <f>INDIRECT(ADDRESS(525,10))+INDIRECT(ADDRESS(523,11))-INDIRECT(ADDRESS(524,11))</f>
        <v>0</v>
      </c>
      <c r="L525">
        <f>INDIRECT(ADDRESS(525,11))+INDIRECT(ADDRESS(523,12))-INDIRECT(ADDRESS(524,12))</f>
        <v>0</v>
      </c>
      <c r="M525">
        <f>INDIRECT(ADDRESS(525,12))+INDIRECT(ADDRESS(523,13))-INDIRECT(ADDRESS(524,13))</f>
        <v>0</v>
      </c>
      <c r="N525">
        <f>INDIRECT(ADDRESS(525,13))+INDIRECT(ADDRESS(523,14))-INDIRECT(ADDRESS(524,14))</f>
        <v>0</v>
      </c>
      <c r="O525">
        <f>INDIRECT(ADDRESS(525,14))+INDIRECT(ADDRESS(523,15))-INDIRECT(ADDRESS(524,15))</f>
        <v>0</v>
      </c>
      <c r="P525">
        <f>INDIRECT(ADDRESS(525,15))+INDIRECT(ADDRESS(523,16))-INDIRECT(ADDRESS(524,16))</f>
        <v>0</v>
      </c>
      <c r="Q525">
        <f>INDIRECT(ADDRESS(525,16))+INDIRECT(ADDRESS(523,17))-INDIRECT(ADDRESS(524,17))</f>
        <v>0</v>
      </c>
      <c r="R525">
        <f>INDIRECT(ADDRESS(525,17))+INDIRECT(ADDRESS(523,18))-INDIRECT(ADDRESS(524,18))</f>
        <v>0</v>
      </c>
      <c r="S525">
        <f>INDIRECT(ADDRESS(525,18))+INDIRECT(ADDRESS(523,19))-INDIRECT(ADDRESS(524,19))</f>
        <v>0</v>
      </c>
      <c r="T525">
        <f>INDIRECT(ADDRESS(525,19))+INDIRECT(ADDRESS(523,20))-INDIRECT(ADDRESS(524,20))</f>
        <v>0</v>
      </c>
      <c r="U525">
        <f>INDIRECT(ADDRESS(525,20))+INDIRECT(ADDRESS(523,21))-INDIRECT(ADDRESS(524,21))</f>
        <v>0</v>
      </c>
      <c r="V525">
        <f>INDIRECT(ADDRESS(525,21))+INDIRECT(ADDRESS(523,22))-INDIRECT(ADDRESS(524,22))</f>
        <v>0</v>
      </c>
      <c r="W525">
        <f>INDIRECT(ADDRESS(525,22))+INDIRECT(ADDRESS(523,23))-INDIRECT(ADDRESS(524,23))</f>
        <v>0</v>
      </c>
      <c r="X525">
        <f>INDIRECT(ADDRESS(525,23))+INDIRECT(ADDRESS(523,24))-INDIRECT(ADDRESS(524,24))</f>
        <v>0</v>
      </c>
      <c r="Y525">
        <f>INDIRECT(ADDRESS(525,24))+INDIRECT(ADDRESS(523,25))-INDIRECT(ADDRESS(524,25))</f>
        <v>0</v>
      </c>
      <c r="Z525">
        <f>INDIRECT(ADDRESS(525,25))+INDIRECT(ADDRESS(523,26))-INDIRECT(ADDRESS(524,26))</f>
        <v>0</v>
      </c>
      <c r="AA525">
        <f>INDIRECT(ADDRESS(525,26))+INDIRECT(ADDRESS(523,27))-INDIRECT(ADDRESS(524,27))</f>
        <v>0</v>
      </c>
      <c r="AB525">
        <f>INDIRECT(ADDRESS(525,27))+INDIRECT(ADDRESS(523,28))-INDIRECT(ADDRESS(524,28))</f>
        <v>0</v>
      </c>
      <c r="AC525">
        <f>INDIRECT(ADDRESS(525,28))+INDIRECT(ADDRESS(523,29))-INDIRECT(ADDRESS(524,29))</f>
        <v>0</v>
      </c>
      <c r="AD525">
        <f>INDIRECT(ADDRESS(525,29))+INDIRECT(ADDRESS(523,30))-INDIRECT(ADDRESS(524,30))</f>
        <v>0</v>
      </c>
      <c r="AE525">
        <f>INDIRECT(ADDRESS(525,30))+INDIRECT(ADDRESS(523,31))-INDIRECT(ADDRESS(524,31))</f>
        <v>0</v>
      </c>
      <c r="AF525">
        <f>INDIRECT(ADDRESS(525,31))+INDIRECT(ADDRESS(523,32))-INDIRECT(ADDRESS(524,32))</f>
        <v>0</v>
      </c>
      <c r="AG525">
        <f>INDIRECT(ADDRESS(525,32))+INDIRECT(ADDRESS(523,33))-INDIRECT(ADDRESS(524,33))</f>
        <v>0</v>
      </c>
      <c r="AH525">
        <f>INDIRECT(ADDRESS(525,33))+INDIRECT(ADDRESS(523,34))-INDIRECT(ADDRESS(524,34))</f>
        <v>0</v>
      </c>
      <c r="AI525">
        <f>INDIRECT(ADDRESS(525,34))+INDIRECT(ADDRESS(523,35))-INDIRECT(ADDRESS(524,35))</f>
        <v>0</v>
      </c>
      <c r="AJ525">
        <f>INDIRECT(ADDRESS(525,35))+INDIRECT(ADDRESS(523,36))-INDIRECT(ADDRESS(524,36))</f>
        <v>0</v>
      </c>
      <c r="AK525">
        <f>INDIRECT(ADDRESS(525,36))+INDIRECT(ADDRESS(523,37))-INDIRECT(ADDRESS(524,37))</f>
        <v>0</v>
      </c>
      <c r="AL525">
        <f>INDIRECT(ADDRESS(525,37))+INDIRECT(ADDRESS(523,38))-INDIRECT(ADDRESS(524,38))</f>
        <v>0</v>
      </c>
      <c r="AM525">
        <f>INDIRECT(ADDRESS(525,38))+INDIRECT(ADDRESS(523,39))-INDIRECT(ADDRESS(524,39))</f>
        <v>0</v>
      </c>
      <c r="AN525">
        <f>INDIRECT(ADDRESS(525,39))+INDIRECT(ADDRESS(523,40))-INDIRECT(ADDRESS(524,40))</f>
        <v>0</v>
      </c>
      <c r="AO525">
        <f>SUM(INDIRECT(ADDRESS(524,8)):INDIRECT(ADDRESS(524,39)))</f>
        <v>0</v>
      </c>
    </row>
    <row r="526" spans="1:41">
      <c r="A526" t="s">
        <v>185</v>
      </c>
      <c r="B526" t="s">
        <v>363</v>
      </c>
      <c r="C526" t="s">
        <v>374</v>
      </c>
      <c r="E526">
        <v>2</v>
      </c>
      <c r="I526" t="s">
        <v>177</v>
      </c>
    </row>
    <row r="527" spans="1:41">
      <c r="I527" t="s">
        <v>178</v>
      </c>
      <c r="J527">
        <f>IFERROR(VLOOKUP("924-701000-100",B:AB,1+8,0),0)</f>
        <v>0</v>
      </c>
      <c r="K527">
        <f>IFERROR(VLOOKUP("924-701000-100",B:AB,2+8,0),0)</f>
        <v>0</v>
      </c>
      <c r="L527">
        <f>IFERROR(VLOOKUP("924-701000-100",B:AB,3+8,0),0)</f>
        <v>0</v>
      </c>
      <c r="M527">
        <f>IFERROR(VLOOKUP("924-701000-100",B:AB,4+8,0),0)</f>
        <v>0</v>
      </c>
      <c r="N527">
        <f>IFERROR(VLOOKUP("924-701000-100",B:AB,5+8,0),0)</f>
        <v>0</v>
      </c>
      <c r="O527">
        <f>IFERROR(VLOOKUP("924-701000-100",B:AB,6+8,0),0)</f>
        <v>0</v>
      </c>
      <c r="P527">
        <f>IFERROR(VLOOKUP("924-701000-100",B:AB,7+8,0),0)</f>
        <v>0</v>
      </c>
      <c r="Q527">
        <f>IFERROR(VLOOKUP("924-701000-100",B:AB,8+8,0),0)</f>
        <v>0</v>
      </c>
      <c r="R527">
        <f>IFERROR(VLOOKUP("924-701000-100",B:AB,9+8,0),0)</f>
        <v>0</v>
      </c>
      <c r="S527">
        <f>IFERROR(VLOOKUP("924-701000-100",B:AB,10+8,0),0)</f>
        <v>0</v>
      </c>
      <c r="T527">
        <f>IFERROR(VLOOKUP("924-701000-100",B:AB,11+8,0),0)</f>
        <v>0</v>
      </c>
      <c r="U527">
        <f>IFERROR(VLOOKUP("924-701000-100",B:AB,12+8,0),0)</f>
        <v>0</v>
      </c>
      <c r="V527">
        <f>IFERROR(VLOOKUP("924-701000-100",B:AB,13+8,0),0)</f>
        <v>0</v>
      </c>
      <c r="W527">
        <f>IFERROR(VLOOKUP("924-701000-100",B:AB,14+8,0),0)</f>
        <v>0</v>
      </c>
      <c r="X527">
        <f>IFERROR(VLOOKUP("924-701000-100",B:AB,15+8,0),0)</f>
        <v>0</v>
      </c>
      <c r="Y527">
        <f>IFERROR(VLOOKUP("924-701000-100",B:AB,16+8,0),0)</f>
        <v>0</v>
      </c>
      <c r="Z527">
        <f>IFERROR(VLOOKUP("924-701000-100",B:AB,17+8,0),0)</f>
        <v>0</v>
      </c>
      <c r="AA527">
        <f>IFERROR(VLOOKUP("924-701000-100",B:AB,18+8,0),0)</f>
        <v>0</v>
      </c>
      <c r="AB527">
        <f>IFERROR(VLOOKUP("924-701000-100",B:AB,19+8,0),0)</f>
        <v>0</v>
      </c>
      <c r="AC527">
        <f>IFERROR(VLOOKUP("924-701000-100",B:AB,20+8,0),0)</f>
        <v>0</v>
      </c>
      <c r="AD527">
        <f>IFERROR(VLOOKUP("924-701000-100",B:AB,21+8,0),0)</f>
        <v>0</v>
      </c>
      <c r="AE527">
        <f>IFERROR(VLOOKUP("924-701000-100",B:AB,22+8,0),0)</f>
        <v>0</v>
      </c>
      <c r="AF527">
        <f>IFERROR(VLOOKUP("924-701000-100",B:AB,23+8,0),0)</f>
        <v>0</v>
      </c>
      <c r="AG527">
        <f>IFERROR(VLOOKUP("924-701000-100",B:AB,24+8,0),0)</f>
        <v>0</v>
      </c>
      <c r="AH527">
        <f>IFERROR(VLOOKUP("924-701000-100",B:AB,25+8,0),0)</f>
        <v>0</v>
      </c>
      <c r="AI527">
        <f>IFERROR(VLOOKUP("924-701000-100",B:AB,26+8,0),0)</f>
        <v>0</v>
      </c>
      <c r="AJ527">
        <f>IFERROR(VLOOKUP("924-701000-100",B:AB,27+8,0),0)</f>
        <v>0</v>
      </c>
      <c r="AK527">
        <f>IFERROR(VLOOKUP("924-701000-100",B:AB,28+8,0),0)</f>
        <v>0</v>
      </c>
      <c r="AL527">
        <f>IFERROR(VLOOKUP("924-701000-100",B:AB,29+8,0),0)</f>
        <v>0</v>
      </c>
      <c r="AM527">
        <f>IFERROR(VLOOKUP("924-701000-100",B:AB,30+8,0),0)</f>
        <v>0</v>
      </c>
      <c r="AN527">
        <f>IFERROR(VLOOKUP("924-701000-100",B:AB,31+8,0),0)</f>
        <v>0</v>
      </c>
      <c r="AO527">
        <f>SUN(INDIRECT(ADDRESS(526,8)):INDIRECT(ADDRESS(526,39)))</f>
        <v>0</v>
      </c>
    </row>
    <row r="528" spans="1:41">
      <c r="H528" t="s">
        <v>179</v>
      </c>
      <c r="J528">
        <f>INDIRECT(ADDRESS(528,9))+INDIRECT(ADDRESS(526,10))-INDIRECT(ADDRESS(527,10))</f>
        <v>0</v>
      </c>
      <c r="K528">
        <f>INDIRECT(ADDRESS(528,10))+INDIRECT(ADDRESS(526,11))-INDIRECT(ADDRESS(527,11))</f>
        <v>0</v>
      </c>
      <c r="L528">
        <f>INDIRECT(ADDRESS(528,11))+INDIRECT(ADDRESS(526,12))-INDIRECT(ADDRESS(527,12))</f>
        <v>0</v>
      </c>
      <c r="M528">
        <f>INDIRECT(ADDRESS(528,12))+INDIRECT(ADDRESS(526,13))-INDIRECT(ADDRESS(527,13))</f>
        <v>0</v>
      </c>
      <c r="N528">
        <f>INDIRECT(ADDRESS(528,13))+INDIRECT(ADDRESS(526,14))-INDIRECT(ADDRESS(527,14))</f>
        <v>0</v>
      </c>
      <c r="O528">
        <f>INDIRECT(ADDRESS(528,14))+INDIRECT(ADDRESS(526,15))-INDIRECT(ADDRESS(527,15))</f>
        <v>0</v>
      </c>
      <c r="P528">
        <f>INDIRECT(ADDRESS(528,15))+INDIRECT(ADDRESS(526,16))-INDIRECT(ADDRESS(527,16))</f>
        <v>0</v>
      </c>
      <c r="Q528">
        <f>INDIRECT(ADDRESS(528,16))+INDIRECT(ADDRESS(526,17))-INDIRECT(ADDRESS(527,17))</f>
        <v>0</v>
      </c>
      <c r="R528">
        <f>INDIRECT(ADDRESS(528,17))+INDIRECT(ADDRESS(526,18))-INDIRECT(ADDRESS(527,18))</f>
        <v>0</v>
      </c>
      <c r="S528">
        <f>INDIRECT(ADDRESS(528,18))+INDIRECT(ADDRESS(526,19))-INDIRECT(ADDRESS(527,19))</f>
        <v>0</v>
      </c>
      <c r="T528">
        <f>INDIRECT(ADDRESS(528,19))+INDIRECT(ADDRESS(526,20))-INDIRECT(ADDRESS(527,20))</f>
        <v>0</v>
      </c>
      <c r="U528">
        <f>INDIRECT(ADDRESS(528,20))+INDIRECT(ADDRESS(526,21))-INDIRECT(ADDRESS(527,21))</f>
        <v>0</v>
      </c>
      <c r="V528">
        <f>INDIRECT(ADDRESS(528,21))+INDIRECT(ADDRESS(526,22))-INDIRECT(ADDRESS(527,22))</f>
        <v>0</v>
      </c>
      <c r="W528">
        <f>INDIRECT(ADDRESS(528,22))+INDIRECT(ADDRESS(526,23))-INDIRECT(ADDRESS(527,23))</f>
        <v>0</v>
      </c>
      <c r="X528">
        <f>INDIRECT(ADDRESS(528,23))+INDIRECT(ADDRESS(526,24))-INDIRECT(ADDRESS(527,24))</f>
        <v>0</v>
      </c>
      <c r="Y528">
        <f>INDIRECT(ADDRESS(528,24))+INDIRECT(ADDRESS(526,25))-INDIRECT(ADDRESS(527,25))</f>
        <v>0</v>
      </c>
      <c r="Z528">
        <f>INDIRECT(ADDRESS(528,25))+INDIRECT(ADDRESS(526,26))-INDIRECT(ADDRESS(527,26))</f>
        <v>0</v>
      </c>
      <c r="AA528">
        <f>INDIRECT(ADDRESS(528,26))+INDIRECT(ADDRESS(526,27))-INDIRECT(ADDRESS(527,27))</f>
        <v>0</v>
      </c>
      <c r="AB528">
        <f>INDIRECT(ADDRESS(528,27))+INDIRECT(ADDRESS(526,28))-INDIRECT(ADDRESS(527,28))</f>
        <v>0</v>
      </c>
      <c r="AC528">
        <f>INDIRECT(ADDRESS(528,28))+INDIRECT(ADDRESS(526,29))-INDIRECT(ADDRESS(527,29))</f>
        <v>0</v>
      </c>
      <c r="AD528">
        <f>INDIRECT(ADDRESS(528,29))+INDIRECT(ADDRESS(526,30))-INDIRECT(ADDRESS(527,30))</f>
        <v>0</v>
      </c>
      <c r="AE528">
        <f>INDIRECT(ADDRESS(528,30))+INDIRECT(ADDRESS(526,31))-INDIRECT(ADDRESS(527,31))</f>
        <v>0</v>
      </c>
      <c r="AF528">
        <f>INDIRECT(ADDRESS(528,31))+INDIRECT(ADDRESS(526,32))-INDIRECT(ADDRESS(527,32))</f>
        <v>0</v>
      </c>
      <c r="AG528">
        <f>INDIRECT(ADDRESS(528,32))+INDIRECT(ADDRESS(526,33))-INDIRECT(ADDRESS(527,33))</f>
        <v>0</v>
      </c>
      <c r="AH528">
        <f>INDIRECT(ADDRESS(528,33))+INDIRECT(ADDRESS(526,34))-INDIRECT(ADDRESS(527,34))</f>
        <v>0</v>
      </c>
      <c r="AI528">
        <f>INDIRECT(ADDRESS(528,34))+INDIRECT(ADDRESS(526,35))-INDIRECT(ADDRESS(527,35))</f>
        <v>0</v>
      </c>
      <c r="AJ528">
        <f>INDIRECT(ADDRESS(528,35))+INDIRECT(ADDRESS(526,36))-INDIRECT(ADDRESS(527,36))</f>
        <v>0</v>
      </c>
      <c r="AK528">
        <f>INDIRECT(ADDRESS(528,36))+INDIRECT(ADDRESS(526,37))-INDIRECT(ADDRESS(527,37))</f>
        <v>0</v>
      </c>
      <c r="AL528">
        <f>INDIRECT(ADDRESS(528,37))+INDIRECT(ADDRESS(526,38))-INDIRECT(ADDRESS(527,38))</f>
        <v>0</v>
      </c>
      <c r="AM528">
        <f>INDIRECT(ADDRESS(528,38))+INDIRECT(ADDRESS(526,39))-INDIRECT(ADDRESS(527,39))</f>
        <v>0</v>
      </c>
      <c r="AN528">
        <f>INDIRECT(ADDRESS(528,39))+INDIRECT(ADDRESS(526,40))-INDIRECT(ADDRESS(527,40))</f>
        <v>0</v>
      </c>
      <c r="AO528">
        <f>SUM(INDIRECT(ADDRESS(527,8)):INDIRECT(ADDRESS(527,39)))</f>
        <v>0</v>
      </c>
    </row>
    <row r="529" spans="1:41">
      <c r="A529" t="s">
        <v>185</v>
      </c>
      <c r="B529" t="s">
        <v>375</v>
      </c>
      <c r="C529" t="s">
        <v>376</v>
      </c>
      <c r="E529">
        <v>12</v>
      </c>
      <c r="I529" t="s">
        <v>177</v>
      </c>
    </row>
    <row r="530" spans="1:41">
      <c r="I530" t="s">
        <v>178</v>
      </c>
      <c r="J530">
        <f>IFERROR(VLOOKUP("924-701000-100",B:AB,1+8,0),0)</f>
        <v>0</v>
      </c>
      <c r="K530">
        <f>IFERROR(VLOOKUP("924-701000-100",B:AB,2+8,0),0)</f>
        <v>0</v>
      </c>
      <c r="L530">
        <f>IFERROR(VLOOKUP("924-701000-100",B:AB,3+8,0),0)</f>
        <v>0</v>
      </c>
      <c r="M530">
        <f>IFERROR(VLOOKUP("924-701000-100",B:AB,4+8,0),0)</f>
        <v>0</v>
      </c>
      <c r="N530">
        <f>IFERROR(VLOOKUP("924-701000-100",B:AB,5+8,0),0)</f>
        <v>0</v>
      </c>
      <c r="O530">
        <f>IFERROR(VLOOKUP("924-701000-100",B:AB,6+8,0),0)</f>
        <v>0</v>
      </c>
      <c r="P530">
        <f>IFERROR(VLOOKUP("924-701000-100",B:AB,7+8,0),0)</f>
        <v>0</v>
      </c>
      <c r="Q530">
        <f>IFERROR(VLOOKUP("924-701000-100",B:AB,8+8,0),0)</f>
        <v>0</v>
      </c>
      <c r="R530">
        <f>IFERROR(VLOOKUP("924-701000-100",B:AB,9+8,0),0)</f>
        <v>0</v>
      </c>
      <c r="S530">
        <f>IFERROR(VLOOKUP("924-701000-100",B:AB,10+8,0),0)</f>
        <v>0</v>
      </c>
      <c r="T530">
        <f>IFERROR(VLOOKUP("924-701000-100",B:AB,11+8,0),0)</f>
        <v>0</v>
      </c>
      <c r="U530">
        <f>IFERROR(VLOOKUP("924-701000-100",B:AB,12+8,0),0)</f>
        <v>0</v>
      </c>
      <c r="V530">
        <f>IFERROR(VLOOKUP("924-701000-100",B:AB,13+8,0),0)</f>
        <v>0</v>
      </c>
      <c r="W530">
        <f>IFERROR(VLOOKUP("924-701000-100",B:AB,14+8,0),0)</f>
        <v>0</v>
      </c>
      <c r="X530">
        <f>IFERROR(VLOOKUP("924-701000-100",B:AB,15+8,0),0)</f>
        <v>0</v>
      </c>
      <c r="Y530">
        <f>IFERROR(VLOOKUP("924-701000-100",B:AB,16+8,0),0)</f>
        <v>0</v>
      </c>
      <c r="Z530">
        <f>IFERROR(VLOOKUP("924-701000-100",B:AB,17+8,0),0)</f>
        <v>0</v>
      </c>
      <c r="AA530">
        <f>IFERROR(VLOOKUP("924-701000-100",B:AB,18+8,0),0)</f>
        <v>0</v>
      </c>
      <c r="AB530">
        <f>IFERROR(VLOOKUP("924-701000-100",B:AB,19+8,0),0)</f>
        <v>0</v>
      </c>
      <c r="AC530">
        <f>IFERROR(VLOOKUP("924-701000-100",B:AB,20+8,0),0)</f>
        <v>0</v>
      </c>
      <c r="AD530">
        <f>IFERROR(VLOOKUP("924-701000-100",B:AB,21+8,0),0)</f>
        <v>0</v>
      </c>
      <c r="AE530">
        <f>IFERROR(VLOOKUP("924-701000-100",B:AB,22+8,0),0)</f>
        <v>0</v>
      </c>
      <c r="AF530">
        <f>IFERROR(VLOOKUP("924-701000-100",B:AB,23+8,0),0)</f>
        <v>0</v>
      </c>
      <c r="AG530">
        <f>IFERROR(VLOOKUP("924-701000-100",B:AB,24+8,0),0)</f>
        <v>0</v>
      </c>
      <c r="AH530">
        <f>IFERROR(VLOOKUP("924-701000-100",B:AB,25+8,0),0)</f>
        <v>0</v>
      </c>
      <c r="AI530">
        <f>IFERROR(VLOOKUP("924-701000-100",B:AB,26+8,0),0)</f>
        <v>0</v>
      </c>
      <c r="AJ530">
        <f>IFERROR(VLOOKUP("924-701000-100",B:AB,27+8,0),0)</f>
        <v>0</v>
      </c>
      <c r="AK530">
        <f>IFERROR(VLOOKUP("924-701000-100",B:AB,28+8,0),0)</f>
        <v>0</v>
      </c>
      <c r="AL530">
        <f>IFERROR(VLOOKUP("924-701000-100",B:AB,29+8,0),0)</f>
        <v>0</v>
      </c>
      <c r="AM530">
        <f>IFERROR(VLOOKUP("924-701000-100",B:AB,30+8,0),0)</f>
        <v>0</v>
      </c>
      <c r="AN530">
        <f>IFERROR(VLOOKUP("924-701000-100",B:AB,31+8,0),0)</f>
        <v>0</v>
      </c>
      <c r="AO530">
        <f>SUN(INDIRECT(ADDRESS(529,8)):INDIRECT(ADDRESS(529,39)))</f>
        <v>0</v>
      </c>
    </row>
    <row r="531" spans="1:41">
      <c r="H531" t="s">
        <v>179</v>
      </c>
      <c r="J531">
        <f>INDIRECT(ADDRESS(531,9))+INDIRECT(ADDRESS(529,10))-INDIRECT(ADDRESS(530,10))</f>
        <v>0</v>
      </c>
      <c r="K531">
        <f>INDIRECT(ADDRESS(531,10))+INDIRECT(ADDRESS(529,11))-INDIRECT(ADDRESS(530,11))</f>
        <v>0</v>
      </c>
      <c r="L531">
        <f>INDIRECT(ADDRESS(531,11))+INDIRECT(ADDRESS(529,12))-INDIRECT(ADDRESS(530,12))</f>
        <v>0</v>
      </c>
      <c r="M531">
        <f>INDIRECT(ADDRESS(531,12))+INDIRECT(ADDRESS(529,13))-INDIRECT(ADDRESS(530,13))</f>
        <v>0</v>
      </c>
      <c r="N531">
        <f>INDIRECT(ADDRESS(531,13))+INDIRECT(ADDRESS(529,14))-INDIRECT(ADDRESS(530,14))</f>
        <v>0</v>
      </c>
      <c r="O531">
        <f>INDIRECT(ADDRESS(531,14))+INDIRECT(ADDRESS(529,15))-INDIRECT(ADDRESS(530,15))</f>
        <v>0</v>
      </c>
      <c r="P531">
        <f>INDIRECT(ADDRESS(531,15))+INDIRECT(ADDRESS(529,16))-INDIRECT(ADDRESS(530,16))</f>
        <v>0</v>
      </c>
      <c r="Q531">
        <f>INDIRECT(ADDRESS(531,16))+INDIRECT(ADDRESS(529,17))-INDIRECT(ADDRESS(530,17))</f>
        <v>0</v>
      </c>
      <c r="R531">
        <f>INDIRECT(ADDRESS(531,17))+INDIRECT(ADDRESS(529,18))-INDIRECT(ADDRESS(530,18))</f>
        <v>0</v>
      </c>
      <c r="S531">
        <f>INDIRECT(ADDRESS(531,18))+INDIRECT(ADDRESS(529,19))-INDIRECT(ADDRESS(530,19))</f>
        <v>0</v>
      </c>
      <c r="T531">
        <f>INDIRECT(ADDRESS(531,19))+INDIRECT(ADDRESS(529,20))-INDIRECT(ADDRESS(530,20))</f>
        <v>0</v>
      </c>
      <c r="U531">
        <f>INDIRECT(ADDRESS(531,20))+INDIRECT(ADDRESS(529,21))-INDIRECT(ADDRESS(530,21))</f>
        <v>0</v>
      </c>
      <c r="V531">
        <f>INDIRECT(ADDRESS(531,21))+INDIRECT(ADDRESS(529,22))-INDIRECT(ADDRESS(530,22))</f>
        <v>0</v>
      </c>
      <c r="W531">
        <f>INDIRECT(ADDRESS(531,22))+INDIRECT(ADDRESS(529,23))-INDIRECT(ADDRESS(530,23))</f>
        <v>0</v>
      </c>
      <c r="X531">
        <f>INDIRECT(ADDRESS(531,23))+INDIRECT(ADDRESS(529,24))-INDIRECT(ADDRESS(530,24))</f>
        <v>0</v>
      </c>
      <c r="Y531">
        <f>INDIRECT(ADDRESS(531,24))+INDIRECT(ADDRESS(529,25))-INDIRECT(ADDRESS(530,25))</f>
        <v>0</v>
      </c>
      <c r="Z531">
        <f>INDIRECT(ADDRESS(531,25))+INDIRECT(ADDRESS(529,26))-INDIRECT(ADDRESS(530,26))</f>
        <v>0</v>
      </c>
      <c r="AA531">
        <f>INDIRECT(ADDRESS(531,26))+INDIRECT(ADDRESS(529,27))-INDIRECT(ADDRESS(530,27))</f>
        <v>0</v>
      </c>
      <c r="AB531">
        <f>INDIRECT(ADDRESS(531,27))+INDIRECT(ADDRESS(529,28))-INDIRECT(ADDRESS(530,28))</f>
        <v>0</v>
      </c>
      <c r="AC531">
        <f>INDIRECT(ADDRESS(531,28))+INDIRECT(ADDRESS(529,29))-INDIRECT(ADDRESS(530,29))</f>
        <v>0</v>
      </c>
      <c r="AD531">
        <f>INDIRECT(ADDRESS(531,29))+INDIRECT(ADDRESS(529,30))-INDIRECT(ADDRESS(530,30))</f>
        <v>0</v>
      </c>
      <c r="AE531">
        <f>INDIRECT(ADDRESS(531,30))+INDIRECT(ADDRESS(529,31))-INDIRECT(ADDRESS(530,31))</f>
        <v>0</v>
      </c>
      <c r="AF531">
        <f>INDIRECT(ADDRESS(531,31))+INDIRECT(ADDRESS(529,32))-INDIRECT(ADDRESS(530,32))</f>
        <v>0</v>
      </c>
      <c r="AG531">
        <f>INDIRECT(ADDRESS(531,32))+INDIRECT(ADDRESS(529,33))-INDIRECT(ADDRESS(530,33))</f>
        <v>0</v>
      </c>
      <c r="AH531">
        <f>INDIRECT(ADDRESS(531,33))+INDIRECT(ADDRESS(529,34))-INDIRECT(ADDRESS(530,34))</f>
        <v>0</v>
      </c>
      <c r="AI531">
        <f>INDIRECT(ADDRESS(531,34))+INDIRECT(ADDRESS(529,35))-INDIRECT(ADDRESS(530,35))</f>
        <v>0</v>
      </c>
      <c r="AJ531">
        <f>INDIRECT(ADDRESS(531,35))+INDIRECT(ADDRESS(529,36))-INDIRECT(ADDRESS(530,36))</f>
        <v>0</v>
      </c>
      <c r="AK531">
        <f>INDIRECT(ADDRESS(531,36))+INDIRECT(ADDRESS(529,37))-INDIRECT(ADDRESS(530,37))</f>
        <v>0</v>
      </c>
      <c r="AL531">
        <f>INDIRECT(ADDRESS(531,37))+INDIRECT(ADDRESS(529,38))-INDIRECT(ADDRESS(530,38))</f>
        <v>0</v>
      </c>
      <c r="AM531">
        <f>INDIRECT(ADDRESS(531,38))+INDIRECT(ADDRESS(529,39))-INDIRECT(ADDRESS(530,39))</f>
        <v>0</v>
      </c>
      <c r="AN531">
        <f>INDIRECT(ADDRESS(531,39))+INDIRECT(ADDRESS(529,40))-INDIRECT(ADDRESS(530,40))</f>
        <v>0</v>
      </c>
      <c r="AO531">
        <f>SUM(INDIRECT(ADDRESS(530,8)):INDIRECT(ADDRESS(530,39)))</f>
        <v>0</v>
      </c>
    </row>
    <row r="532" spans="1:41">
      <c r="A532" t="s">
        <v>185</v>
      </c>
      <c r="B532" t="s">
        <v>377</v>
      </c>
      <c r="C532" t="s">
        <v>378</v>
      </c>
      <c r="E532">
        <v>1</v>
      </c>
      <c r="I532" t="s">
        <v>177</v>
      </c>
    </row>
    <row r="533" spans="1:41">
      <c r="I533" t="s">
        <v>178</v>
      </c>
      <c r="J533">
        <f>IFERROR(VLOOKUP("924-701000-100",B:AB,1+8,0),0)</f>
        <v>0</v>
      </c>
      <c r="K533">
        <f>IFERROR(VLOOKUP("924-701000-100",B:AB,2+8,0),0)</f>
        <v>0</v>
      </c>
      <c r="L533">
        <f>IFERROR(VLOOKUP("924-701000-100",B:AB,3+8,0),0)</f>
        <v>0</v>
      </c>
      <c r="M533">
        <f>IFERROR(VLOOKUP("924-701000-100",B:AB,4+8,0),0)</f>
        <v>0</v>
      </c>
      <c r="N533">
        <f>IFERROR(VLOOKUP("924-701000-100",B:AB,5+8,0),0)</f>
        <v>0</v>
      </c>
      <c r="O533">
        <f>IFERROR(VLOOKUP("924-701000-100",B:AB,6+8,0),0)</f>
        <v>0</v>
      </c>
      <c r="P533">
        <f>IFERROR(VLOOKUP("924-701000-100",B:AB,7+8,0),0)</f>
        <v>0</v>
      </c>
      <c r="Q533">
        <f>IFERROR(VLOOKUP("924-701000-100",B:AB,8+8,0),0)</f>
        <v>0</v>
      </c>
      <c r="R533">
        <f>IFERROR(VLOOKUP("924-701000-100",B:AB,9+8,0),0)</f>
        <v>0</v>
      </c>
      <c r="S533">
        <f>IFERROR(VLOOKUP("924-701000-100",B:AB,10+8,0),0)</f>
        <v>0</v>
      </c>
      <c r="T533">
        <f>IFERROR(VLOOKUP("924-701000-100",B:AB,11+8,0),0)</f>
        <v>0</v>
      </c>
      <c r="U533">
        <f>IFERROR(VLOOKUP("924-701000-100",B:AB,12+8,0),0)</f>
        <v>0</v>
      </c>
      <c r="V533">
        <f>IFERROR(VLOOKUP("924-701000-100",B:AB,13+8,0),0)</f>
        <v>0</v>
      </c>
      <c r="W533">
        <f>IFERROR(VLOOKUP("924-701000-100",B:AB,14+8,0),0)</f>
        <v>0</v>
      </c>
      <c r="X533">
        <f>IFERROR(VLOOKUP("924-701000-100",B:AB,15+8,0),0)</f>
        <v>0</v>
      </c>
      <c r="Y533">
        <f>IFERROR(VLOOKUP("924-701000-100",B:AB,16+8,0),0)</f>
        <v>0</v>
      </c>
      <c r="Z533">
        <f>IFERROR(VLOOKUP("924-701000-100",B:AB,17+8,0),0)</f>
        <v>0</v>
      </c>
      <c r="AA533">
        <f>IFERROR(VLOOKUP("924-701000-100",B:AB,18+8,0),0)</f>
        <v>0</v>
      </c>
      <c r="AB533">
        <f>IFERROR(VLOOKUP("924-701000-100",B:AB,19+8,0),0)</f>
        <v>0</v>
      </c>
      <c r="AC533">
        <f>IFERROR(VLOOKUP("924-701000-100",B:AB,20+8,0),0)</f>
        <v>0</v>
      </c>
      <c r="AD533">
        <f>IFERROR(VLOOKUP("924-701000-100",B:AB,21+8,0),0)</f>
        <v>0</v>
      </c>
      <c r="AE533">
        <f>IFERROR(VLOOKUP("924-701000-100",B:AB,22+8,0),0)</f>
        <v>0</v>
      </c>
      <c r="AF533">
        <f>IFERROR(VLOOKUP("924-701000-100",B:AB,23+8,0),0)</f>
        <v>0</v>
      </c>
      <c r="AG533">
        <f>IFERROR(VLOOKUP("924-701000-100",B:AB,24+8,0),0)</f>
        <v>0</v>
      </c>
      <c r="AH533">
        <f>IFERROR(VLOOKUP("924-701000-100",B:AB,25+8,0),0)</f>
        <v>0</v>
      </c>
      <c r="AI533">
        <f>IFERROR(VLOOKUP("924-701000-100",B:AB,26+8,0),0)</f>
        <v>0</v>
      </c>
      <c r="AJ533">
        <f>IFERROR(VLOOKUP("924-701000-100",B:AB,27+8,0),0)</f>
        <v>0</v>
      </c>
      <c r="AK533">
        <f>IFERROR(VLOOKUP("924-701000-100",B:AB,28+8,0),0)</f>
        <v>0</v>
      </c>
      <c r="AL533">
        <f>IFERROR(VLOOKUP("924-701000-100",B:AB,29+8,0),0)</f>
        <v>0</v>
      </c>
      <c r="AM533">
        <f>IFERROR(VLOOKUP("924-701000-100",B:AB,30+8,0),0)</f>
        <v>0</v>
      </c>
      <c r="AN533">
        <f>IFERROR(VLOOKUP("924-701000-100",B:AB,31+8,0),0)</f>
        <v>0</v>
      </c>
      <c r="AO533">
        <f>SUN(INDIRECT(ADDRESS(532,8)):INDIRECT(ADDRESS(532,39)))</f>
        <v>0</v>
      </c>
    </row>
    <row r="534" spans="1:41">
      <c r="H534" t="s">
        <v>179</v>
      </c>
      <c r="J534">
        <f>INDIRECT(ADDRESS(534,9))+INDIRECT(ADDRESS(532,10))-INDIRECT(ADDRESS(533,10))</f>
        <v>0</v>
      </c>
      <c r="K534">
        <f>INDIRECT(ADDRESS(534,10))+INDIRECT(ADDRESS(532,11))-INDIRECT(ADDRESS(533,11))</f>
        <v>0</v>
      </c>
      <c r="L534">
        <f>INDIRECT(ADDRESS(534,11))+INDIRECT(ADDRESS(532,12))-INDIRECT(ADDRESS(533,12))</f>
        <v>0</v>
      </c>
      <c r="M534">
        <f>INDIRECT(ADDRESS(534,12))+INDIRECT(ADDRESS(532,13))-INDIRECT(ADDRESS(533,13))</f>
        <v>0</v>
      </c>
      <c r="N534">
        <f>INDIRECT(ADDRESS(534,13))+INDIRECT(ADDRESS(532,14))-INDIRECT(ADDRESS(533,14))</f>
        <v>0</v>
      </c>
      <c r="O534">
        <f>INDIRECT(ADDRESS(534,14))+INDIRECT(ADDRESS(532,15))-INDIRECT(ADDRESS(533,15))</f>
        <v>0</v>
      </c>
      <c r="P534">
        <f>INDIRECT(ADDRESS(534,15))+INDIRECT(ADDRESS(532,16))-INDIRECT(ADDRESS(533,16))</f>
        <v>0</v>
      </c>
      <c r="Q534">
        <f>INDIRECT(ADDRESS(534,16))+INDIRECT(ADDRESS(532,17))-INDIRECT(ADDRESS(533,17))</f>
        <v>0</v>
      </c>
      <c r="R534">
        <f>INDIRECT(ADDRESS(534,17))+INDIRECT(ADDRESS(532,18))-INDIRECT(ADDRESS(533,18))</f>
        <v>0</v>
      </c>
      <c r="S534">
        <f>INDIRECT(ADDRESS(534,18))+INDIRECT(ADDRESS(532,19))-INDIRECT(ADDRESS(533,19))</f>
        <v>0</v>
      </c>
      <c r="T534">
        <f>INDIRECT(ADDRESS(534,19))+INDIRECT(ADDRESS(532,20))-INDIRECT(ADDRESS(533,20))</f>
        <v>0</v>
      </c>
      <c r="U534">
        <f>INDIRECT(ADDRESS(534,20))+INDIRECT(ADDRESS(532,21))-INDIRECT(ADDRESS(533,21))</f>
        <v>0</v>
      </c>
      <c r="V534">
        <f>INDIRECT(ADDRESS(534,21))+INDIRECT(ADDRESS(532,22))-INDIRECT(ADDRESS(533,22))</f>
        <v>0</v>
      </c>
      <c r="W534">
        <f>INDIRECT(ADDRESS(534,22))+INDIRECT(ADDRESS(532,23))-INDIRECT(ADDRESS(533,23))</f>
        <v>0</v>
      </c>
      <c r="X534">
        <f>INDIRECT(ADDRESS(534,23))+INDIRECT(ADDRESS(532,24))-INDIRECT(ADDRESS(533,24))</f>
        <v>0</v>
      </c>
      <c r="Y534">
        <f>INDIRECT(ADDRESS(534,24))+INDIRECT(ADDRESS(532,25))-INDIRECT(ADDRESS(533,25))</f>
        <v>0</v>
      </c>
      <c r="Z534">
        <f>INDIRECT(ADDRESS(534,25))+INDIRECT(ADDRESS(532,26))-INDIRECT(ADDRESS(533,26))</f>
        <v>0</v>
      </c>
      <c r="AA534">
        <f>INDIRECT(ADDRESS(534,26))+INDIRECT(ADDRESS(532,27))-INDIRECT(ADDRESS(533,27))</f>
        <v>0</v>
      </c>
      <c r="AB534">
        <f>INDIRECT(ADDRESS(534,27))+INDIRECT(ADDRESS(532,28))-INDIRECT(ADDRESS(533,28))</f>
        <v>0</v>
      </c>
      <c r="AC534">
        <f>INDIRECT(ADDRESS(534,28))+INDIRECT(ADDRESS(532,29))-INDIRECT(ADDRESS(533,29))</f>
        <v>0</v>
      </c>
      <c r="AD534">
        <f>INDIRECT(ADDRESS(534,29))+INDIRECT(ADDRESS(532,30))-INDIRECT(ADDRESS(533,30))</f>
        <v>0</v>
      </c>
      <c r="AE534">
        <f>INDIRECT(ADDRESS(534,30))+INDIRECT(ADDRESS(532,31))-INDIRECT(ADDRESS(533,31))</f>
        <v>0</v>
      </c>
      <c r="AF534">
        <f>INDIRECT(ADDRESS(534,31))+INDIRECT(ADDRESS(532,32))-INDIRECT(ADDRESS(533,32))</f>
        <v>0</v>
      </c>
      <c r="AG534">
        <f>INDIRECT(ADDRESS(534,32))+INDIRECT(ADDRESS(532,33))-INDIRECT(ADDRESS(533,33))</f>
        <v>0</v>
      </c>
      <c r="AH534">
        <f>INDIRECT(ADDRESS(534,33))+INDIRECT(ADDRESS(532,34))-INDIRECT(ADDRESS(533,34))</f>
        <v>0</v>
      </c>
      <c r="AI534">
        <f>INDIRECT(ADDRESS(534,34))+INDIRECT(ADDRESS(532,35))-INDIRECT(ADDRESS(533,35))</f>
        <v>0</v>
      </c>
      <c r="AJ534">
        <f>INDIRECT(ADDRESS(534,35))+INDIRECT(ADDRESS(532,36))-INDIRECT(ADDRESS(533,36))</f>
        <v>0</v>
      </c>
      <c r="AK534">
        <f>INDIRECT(ADDRESS(534,36))+INDIRECT(ADDRESS(532,37))-INDIRECT(ADDRESS(533,37))</f>
        <v>0</v>
      </c>
      <c r="AL534">
        <f>INDIRECT(ADDRESS(534,37))+INDIRECT(ADDRESS(532,38))-INDIRECT(ADDRESS(533,38))</f>
        <v>0</v>
      </c>
      <c r="AM534">
        <f>INDIRECT(ADDRESS(534,38))+INDIRECT(ADDRESS(532,39))-INDIRECT(ADDRESS(533,39))</f>
        <v>0</v>
      </c>
      <c r="AN534">
        <f>INDIRECT(ADDRESS(534,39))+INDIRECT(ADDRESS(532,40))-INDIRECT(ADDRESS(533,40))</f>
        <v>0</v>
      </c>
      <c r="AO534">
        <f>SUM(INDIRECT(ADDRESS(533,8)):INDIRECT(ADDRESS(533,39)))</f>
        <v>0</v>
      </c>
    </row>
    <row r="535" spans="1:41">
      <c r="A535" t="s">
        <v>185</v>
      </c>
      <c r="B535" t="s">
        <v>377</v>
      </c>
      <c r="C535" t="s">
        <v>379</v>
      </c>
      <c r="E535">
        <v>1</v>
      </c>
      <c r="I535" t="s">
        <v>177</v>
      </c>
    </row>
    <row r="536" spans="1:41">
      <c r="I536" t="s">
        <v>178</v>
      </c>
      <c r="J536">
        <f>IFERROR(VLOOKUP("924-701000-100",B:AB,1+8,0),0)</f>
        <v>0</v>
      </c>
      <c r="K536">
        <f>IFERROR(VLOOKUP("924-701000-100",B:AB,2+8,0),0)</f>
        <v>0</v>
      </c>
      <c r="L536">
        <f>IFERROR(VLOOKUP("924-701000-100",B:AB,3+8,0),0)</f>
        <v>0</v>
      </c>
      <c r="M536">
        <f>IFERROR(VLOOKUP("924-701000-100",B:AB,4+8,0),0)</f>
        <v>0</v>
      </c>
      <c r="N536">
        <f>IFERROR(VLOOKUP("924-701000-100",B:AB,5+8,0),0)</f>
        <v>0</v>
      </c>
      <c r="O536">
        <f>IFERROR(VLOOKUP("924-701000-100",B:AB,6+8,0),0)</f>
        <v>0</v>
      </c>
      <c r="P536">
        <f>IFERROR(VLOOKUP("924-701000-100",B:AB,7+8,0),0)</f>
        <v>0</v>
      </c>
      <c r="Q536">
        <f>IFERROR(VLOOKUP("924-701000-100",B:AB,8+8,0),0)</f>
        <v>0</v>
      </c>
      <c r="R536">
        <f>IFERROR(VLOOKUP("924-701000-100",B:AB,9+8,0),0)</f>
        <v>0</v>
      </c>
      <c r="S536">
        <f>IFERROR(VLOOKUP("924-701000-100",B:AB,10+8,0),0)</f>
        <v>0</v>
      </c>
      <c r="T536">
        <f>IFERROR(VLOOKUP("924-701000-100",B:AB,11+8,0),0)</f>
        <v>0</v>
      </c>
      <c r="U536">
        <f>IFERROR(VLOOKUP("924-701000-100",B:AB,12+8,0),0)</f>
        <v>0</v>
      </c>
      <c r="V536">
        <f>IFERROR(VLOOKUP("924-701000-100",B:AB,13+8,0),0)</f>
        <v>0</v>
      </c>
      <c r="W536">
        <f>IFERROR(VLOOKUP("924-701000-100",B:AB,14+8,0),0)</f>
        <v>0</v>
      </c>
      <c r="X536">
        <f>IFERROR(VLOOKUP("924-701000-100",B:AB,15+8,0),0)</f>
        <v>0</v>
      </c>
      <c r="Y536">
        <f>IFERROR(VLOOKUP("924-701000-100",B:AB,16+8,0),0)</f>
        <v>0</v>
      </c>
      <c r="Z536">
        <f>IFERROR(VLOOKUP("924-701000-100",B:AB,17+8,0),0)</f>
        <v>0</v>
      </c>
      <c r="AA536">
        <f>IFERROR(VLOOKUP("924-701000-100",B:AB,18+8,0),0)</f>
        <v>0</v>
      </c>
      <c r="AB536">
        <f>IFERROR(VLOOKUP("924-701000-100",B:AB,19+8,0),0)</f>
        <v>0</v>
      </c>
      <c r="AC536">
        <f>IFERROR(VLOOKUP("924-701000-100",B:AB,20+8,0),0)</f>
        <v>0</v>
      </c>
      <c r="AD536">
        <f>IFERROR(VLOOKUP("924-701000-100",B:AB,21+8,0),0)</f>
        <v>0</v>
      </c>
      <c r="AE536">
        <f>IFERROR(VLOOKUP("924-701000-100",B:AB,22+8,0),0)</f>
        <v>0</v>
      </c>
      <c r="AF536">
        <f>IFERROR(VLOOKUP("924-701000-100",B:AB,23+8,0),0)</f>
        <v>0</v>
      </c>
      <c r="AG536">
        <f>IFERROR(VLOOKUP("924-701000-100",B:AB,24+8,0),0)</f>
        <v>0</v>
      </c>
      <c r="AH536">
        <f>IFERROR(VLOOKUP("924-701000-100",B:AB,25+8,0),0)</f>
        <v>0</v>
      </c>
      <c r="AI536">
        <f>IFERROR(VLOOKUP("924-701000-100",B:AB,26+8,0),0)</f>
        <v>0</v>
      </c>
      <c r="AJ536">
        <f>IFERROR(VLOOKUP("924-701000-100",B:AB,27+8,0),0)</f>
        <v>0</v>
      </c>
      <c r="AK536">
        <f>IFERROR(VLOOKUP("924-701000-100",B:AB,28+8,0),0)</f>
        <v>0</v>
      </c>
      <c r="AL536">
        <f>IFERROR(VLOOKUP("924-701000-100",B:AB,29+8,0),0)</f>
        <v>0</v>
      </c>
      <c r="AM536">
        <f>IFERROR(VLOOKUP("924-701000-100",B:AB,30+8,0),0)</f>
        <v>0</v>
      </c>
      <c r="AN536">
        <f>IFERROR(VLOOKUP("924-701000-100",B:AB,31+8,0),0)</f>
        <v>0</v>
      </c>
      <c r="AO536">
        <f>SUN(INDIRECT(ADDRESS(535,8)):INDIRECT(ADDRESS(535,39)))</f>
        <v>0</v>
      </c>
    </row>
    <row r="537" spans="1:41">
      <c r="H537" t="s">
        <v>179</v>
      </c>
      <c r="J537">
        <f>INDIRECT(ADDRESS(537,9))+INDIRECT(ADDRESS(535,10))-INDIRECT(ADDRESS(536,10))</f>
        <v>0</v>
      </c>
      <c r="K537">
        <f>INDIRECT(ADDRESS(537,10))+INDIRECT(ADDRESS(535,11))-INDIRECT(ADDRESS(536,11))</f>
        <v>0</v>
      </c>
      <c r="L537">
        <f>INDIRECT(ADDRESS(537,11))+INDIRECT(ADDRESS(535,12))-INDIRECT(ADDRESS(536,12))</f>
        <v>0</v>
      </c>
      <c r="M537">
        <f>INDIRECT(ADDRESS(537,12))+INDIRECT(ADDRESS(535,13))-INDIRECT(ADDRESS(536,13))</f>
        <v>0</v>
      </c>
      <c r="N537">
        <f>INDIRECT(ADDRESS(537,13))+INDIRECT(ADDRESS(535,14))-INDIRECT(ADDRESS(536,14))</f>
        <v>0</v>
      </c>
      <c r="O537">
        <f>INDIRECT(ADDRESS(537,14))+INDIRECT(ADDRESS(535,15))-INDIRECT(ADDRESS(536,15))</f>
        <v>0</v>
      </c>
      <c r="P537">
        <f>INDIRECT(ADDRESS(537,15))+INDIRECT(ADDRESS(535,16))-INDIRECT(ADDRESS(536,16))</f>
        <v>0</v>
      </c>
      <c r="Q537">
        <f>INDIRECT(ADDRESS(537,16))+INDIRECT(ADDRESS(535,17))-INDIRECT(ADDRESS(536,17))</f>
        <v>0</v>
      </c>
      <c r="R537">
        <f>INDIRECT(ADDRESS(537,17))+INDIRECT(ADDRESS(535,18))-INDIRECT(ADDRESS(536,18))</f>
        <v>0</v>
      </c>
      <c r="S537">
        <f>INDIRECT(ADDRESS(537,18))+INDIRECT(ADDRESS(535,19))-INDIRECT(ADDRESS(536,19))</f>
        <v>0</v>
      </c>
      <c r="T537">
        <f>INDIRECT(ADDRESS(537,19))+INDIRECT(ADDRESS(535,20))-INDIRECT(ADDRESS(536,20))</f>
        <v>0</v>
      </c>
      <c r="U537">
        <f>INDIRECT(ADDRESS(537,20))+INDIRECT(ADDRESS(535,21))-INDIRECT(ADDRESS(536,21))</f>
        <v>0</v>
      </c>
      <c r="V537">
        <f>INDIRECT(ADDRESS(537,21))+INDIRECT(ADDRESS(535,22))-INDIRECT(ADDRESS(536,22))</f>
        <v>0</v>
      </c>
      <c r="W537">
        <f>INDIRECT(ADDRESS(537,22))+INDIRECT(ADDRESS(535,23))-INDIRECT(ADDRESS(536,23))</f>
        <v>0</v>
      </c>
      <c r="X537">
        <f>INDIRECT(ADDRESS(537,23))+INDIRECT(ADDRESS(535,24))-INDIRECT(ADDRESS(536,24))</f>
        <v>0</v>
      </c>
      <c r="Y537">
        <f>INDIRECT(ADDRESS(537,24))+INDIRECT(ADDRESS(535,25))-INDIRECT(ADDRESS(536,25))</f>
        <v>0</v>
      </c>
      <c r="Z537">
        <f>INDIRECT(ADDRESS(537,25))+INDIRECT(ADDRESS(535,26))-INDIRECT(ADDRESS(536,26))</f>
        <v>0</v>
      </c>
      <c r="AA537">
        <f>INDIRECT(ADDRESS(537,26))+INDIRECT(ADDRESS(535,27))-INDIRECT(ADDRESS(536,27))</f>
        <v>0</v>
      </c>
      <c r="AB537">
        <f>INDIRECT(ADDRESS(537,27))+INDIRECT(ADDRESS(535,28))-INDIRECT(ADDRESS(536,28))</f>
        <v>0</v>
      </c>
      <c r="AC537">
        <f>INDIRECT(ADDRESS(537,28))+INDIRECT(ADDRESS(535,29))-INDIRECT(ADDRESS(536,29))</f>
        <v>0</v>
      </c>
      <c r="AD537">
        <f>INDIRECT(ADDRESS(537,29))+INDIRECT(ADDRESS(535,30))-INDIRECT(ADDRESS(536,30))</f>
        <v>0</v>
      </c>
      <c r="AE537">
        <f>INDIRECT(ADDRESS(537,30))+INDIRECT(ADDRESS(535,31))-INDIRECT(ADDRESS(536,31))</f>
        <v>0</v>
      </c>
      <c r="AF537">
        <f>INDIRECT(ADDRESS(537,31))+INDIRECT(ADDRESS(535,32))-INDIRECT(ADDRESS(536,32))</f>
        <v>0</v>
      </c>
      <c r="AG537">
        <f>INDIRECT(ADDRESS(537,32))+INDIRECT(ADDRESS(535,33))-INDIRECT(ADDRESS(536,33))</f>
        <v>0</v>
      </c>
      <c r="AH537">
        <f>INDIRECT(ADDRESS(537,33))+INDIRECT(ADDRESS(535,34))-INDIRECT(ADDRESS(536,34))</f>
        <v>0</v>
      </c>
      <c r="AI537">
        <f>INDIRECT(ADDRESS(537,34))+INDIRECT(ADDRESS(535,35))-INDIRECT(ADDRESS(536,35))</f>
        <v>0</v>
      </c>
      <c r="AJ537">
        <f>INDIRECT(ADDRESS(537,35))+INDIRECT(ADDRESS(535,36))-INDIRECT(ADDRESS(536,36))</f>
        <v>0</v>
      </c>
      <c r="AK537">
        <f>INDIRECT(ADDRESS(537,36))+INDIRECT(ADDRESS(535,37))-INDIRECT(ADDRESS(536,37))</f>
        <v>0</v>
      </c>
      <c r="AL537">
        <f>INDIRECT(ADDRESS(537,37))+INDIRECT(ADDRESS(535,38))-INDIRECT(ADDRESS(536,38))</f>
        <v>0</v>
      </c>
      <c r="AM537">
        <f>INDIRECT(ADDRESS(537,38))+INDIRECT(ADDRESS(535,39))-INDIRECT(ADDRESS(536,39))</f>
        <v>0</v>
      </c>
      <c r="AN537">
        <f>INDIRECT(ADDRESS(537,39))+INDIRECT(ADDRESS(535,40))-INDIRECT(ADDRESS(536,40))</f>
        <v>0</v>
      </c>
      <c r="AO537">
        <f>SUM(INDIRECT(ADDRESS(536,8)):INDIRECT(ADDRESS(536,39)))</f>
        <v>0</v>
      </c>
    </row>
    <row r="538" spans="1:41">
      <c r="A538" t="s">
        <v>185</v>
      </c>
      <c r="B538" t="s">
        <v>380</v>
      </c>
      <c r="C538" t="s">
        <v>381</v>
      </c>
      <c r="E538">
        <v>0.083333333</v>
      </c>
      <c r="I538" t="s">
        <v>177</v>
      </c>
    </row>
    <row r="539" spans="1:41">
      <c r="I539" t="s">
        <v>178</v>
      </c>
      <c r="J539">
        <f>IFERROR(VLOOKUP("924-701000-100",B:AB,1+8,0),0)</f>
        <v>0</v>
      </c>
      <c r="K539">
        <f>IFERROR(VLOOKUP("924-701000-100",B:AB,2+8,0),0)</f>
        <v>0</v>
      </c>
      <c r="L539">
        <f>IFERROR(VLOOKUP("924-701000-100",B:AB,3+8,0),0)</f>
        <v>0</v>
      </c>
      <c r="M539">
        <f>IFERROR(VLOOKUP("924-701000-100",B:AB,4+8,0),0)</f>
        <v>0</v>
      </c>
      <c r="N539">
        <f>IFERROR(VLOOKUP("924-701000-100",B:AB,5+8,0),0)</f>
        <v>0</v>
      </c>
      <c r="O539">
        <f>IFERROR(VLOOKUP("924-701000-100",B:AB,6+8,0),0)</f>
        <v>0</v>
      </c>
      <c r="P539">
        <f>IFERROR(VLOOKUP("924-701000-100",B:AB,7+8,0),0)</f>
        <v>0</v>
      </c>
      <c r="Q539">
        <f>IFERROR(VLOOKUP("924-701000-100",B:AB,8+8,0),0)</f>
        <v>0</v>
      </c>
      <c r="R539">
        <f>IFERROR(VLOOKUP("924-701000-100",B:AB,9+8,0),0)</f>
        <v>0</v>
      </c>
      <c r="S539">
        <f>IFERROR(VLOOKUP("924-701000-100",B:AB,10+8,0),0)</f>
        <v>0</v>
      </c>
      <c r="T539">
        <f>IFERROR(VLOOKUP("924-701000-100",B:AB,11+8,0),0)</f>
        <v>0</v>
      </c>
      <c r="U539">
        <f>IFERROR(VLOOKUP("924-701000-100",B:AB,12+8,0),0)</f>
        <v>0</v>
      </c>
      <c r="V539">
        <f>IFERROR(VLOOKUP("924-701000-100",B:AB,13+8,0),0)</f>
        <v>0</v>
      </c>
      <c r="W539">
        <f>IFERROR(VLOOKUP("924-701000-100",B:AB,14+8,0),0)</f>
        <v>0</v>
      </c>
      <c r="X539">
        <f>IFERROR(VLOOKUP("924-701000-100",B:AB,15+8,0),0)</f>
        <v>0</v>
      </c>
      <c r="Y539">
        <f>IFERROR(VLOOKUP("924-701000-100",B:AB,16+8,0),0)</f>
        <v>0</v>
      </c>
      <c r="Z539">
        <f>IFERROR(VLOOKUP("924-701000-100",B:AB,17+8,0),0)</f>
        <v>0</v>
      </c>
      <c r="AA539">
        <f>IFERROR(VLOOKUP("924-701000-100",B:AB,18+8,0),0)</f>
        <v>0</v>
      </c>
      <c r="AB539">
        <f>IFERROR(VLOOKUP("924-701000-100",B:AB,19+8,0),0)</f>
        <v>0</v>
      </c>
      <c r="AC539">
        <f>IFERROR(VLOOKUP("924-701000-100",B:AB,20+8,0),0)</f>
        <v>0</v>
      </c>
      <c r="AD539">
        <f>IFERROR(VLOOKUP("924-701000-100",B:AB,21+8,0),0)</f>
        <v>0</v>
      </c>
      <c r="AE539">
        <f>IFERROR(VLOOKUP("924-701000-100",B:AB,22+8,0),0)</f>
        <v>0</v>
      </c>
      <c r="AF539">
        <f>IFERROR(VLOOKUP("924-701000-100",B:AB,23+8,0),0)</f>
        <v>0</v>
      </c>
      <c r="AG539">
        <f>IFERROR(VLOOKUP("924-701000-100",B:AB,24+8,0),0)</f>
        <v>0</v>
      </c>
      <c r="AH539">
        <f>IFERROR(VLOOKUP("924-701000-100",B:AB,25+8,0),0)</f>
        <v>0</v>
      </c>
      <c r="AI539">
        <f>IFERROR(VLOOKUP("924-701000-100",B:AB,26+8,0),0)</f>
        <v>0</v>
      </c>
      <c r="AJ539">
        <f>IFERROR(VLOOKUP("924-701000-100",B:AB,27+8,0),0)</f>
        <v>0</v>
      </c>
      <c r="AK539">
        <f>IFERROR(VLOOKUP("924-701000-100",B:AB,28+8,0),0)</f>
        <v>0</v>
      </c>
      <c r="AL539">
        <f>IFERROR(VLOOKUP("924-701000-100",B:AB,29+8,0),0)</f>
        <v>0</v>
      </c>
      <c r="AM539">
        <f>IFERROR(VLOOKUP("924-701000-100",B:AB,30+8,0),0)</f>
        <v>0</v>
      </c>
      <c r="AN539">
        <f>IFERROR(VLOOKUP("924-701000-100",B:AB,31+8,0),0)</f>
        <v>0</v>
      </c>
      <c r="AO539">
        <f>SUN(INDIRECT(ADDRESS(538,8)):INDIRECT(ADDRESS(538,39)))</f>
        <v>0</v>
      </c>
    </row>
    <row r="540" spans="1:41">
      <c r="H540" t="s">
        <v>179</v>
      </c>
      <c r="J540">
        <f>INDIRECT(ADDRESS(540,9))+INDIRECT(ADDRESS(538,10))-INDIRECT(ADDRESS(539,10))</f>
        <v>0</v>
      </c>
      <c r="K540">
        <f>INDIRECT(ADDRESS(540,10))+INDIRECT(ADDRESS(538,11))-INDIRECT(ADDRESS(539,11))</f>
        <v>0</v>
      </c>
      <c r="L540">
        <f>INDIRECT(ADDRESS(540,11))+INDIRECT(ADDRESS(538,12))-INDIRECT(ADDRESS(539,12))</f>
        <v>0</v>
      </c>
      <c r="M540">
        <f>INDIRECT(ADDRESS(540,12))+INDIRECT(ADDRESS(538,13))-INDIRECT(ADDRESS(539,13))</f>
        <v>0</v>
      </c>
      <c r="N540">
        <f>INDIRECT(ADDRESS(540,13))+INDIRECT(ADDRESS(538,14))-INDIRECT(ADDRESS(539,14))</f>
        <v>0</v>
      </c>
      <c r="O540">
        <f>INDIRECT(ADDRESS(540,14))+INDIRECT(ADDRESS(538,15))-INDIRECT(ADDRESS(539,15))</f>
        <v>0</v>
      </c>
      <c r="P540">
        <f>INDIRECT(ADDRESS(540,15))+INDIRECT(ADDRESS(538,16))-INDIRECT(ADDRESS(539,16))</f>
        <v>0</v>
      </c>
      <c r="Q540">
        <f>INDIRECT(ADDRESS(540,16))+INDIRECT(ADDRESS(538,17))-INDIRECT(ADDRESS(539,17))</f>
        <v>0</v>
      </c>
      <c r="R540">
        <f>INDIRECT(ADDRESS(540,17))+INDIRECT(ADDRESS(538,18))-INDIRECT(ADDRESS(539,18))</f>
        <v>0</v>
      </c>
      <c r="S540">
        <f>INDIRECT(ADDRESS(540,18))+INDIRECT(ADDRESS(538,19))-INDIRECT(ADDRESS(539,19))</f>
        <v>0</v>
      </c>
      <c r="T540">
        <f>INDIRECT(ADDRESS(540,19))+INDIRECT(ADDRESS(538,20))-INDIRECT(ADDRESS(539,20))</f>
        <v>0</v>
      </c>
      <c r="U540">
        <f>INDIRECT(ADDRESS(540,20))+INDIRECT(ADDRESS(538,21))-INDIRECT(ADDRESS(539,21))</f>
        <v>0</v>
      </c>
      <c r="V540">
        <f>INDIRECT(ADDRESS(540,21))+INDIRECT(ADDRESS(538,22))-INDIRECT(ADDRESS(539,22))</f>
        <v>0</v>
      </c>
      <c r="W540">
        <f>INDIRECT(ADDRESS(540,22))+INDIRECT(ADDRESS(538,23))-INDIRECT(ADDRESS(539,23))</f>
        <v>0</v>
      </c>
      <c r="X540">
        <f>INDIRECT(ADDRESS(540,23))+INDIRECT(ADDRESS(538,24))-INDIRECT(ADDRESS(539,24))</f>
        <v>0</v>
      </c>
      <c r="Y540">
        <f>INDIRECT(ADDRESS(540,24))+INDIRECT(ADDRESS(538,25))-INDIRECT(ADDRESS(539,25))</f>
        <v>0</v>
      </c>
      <c r="Z540">
        <f>INDIRECT(ADDRESS(540,25))+INDIRECT(ADDRESS(538,26))-INDIRECT(ADDRESS(539,26))</f>
        <v>0</v>
      </c>
      <c r="AA540">
        <f>INDIRECT(ADDRESS(540,26))+INDIRECT(ADDRESS(538,27))-INDIRECT(ADDRESS(539,27))</f>
        <v>0</v>
      </c>
      <c r="AB540">
        <f>INDIRECT(ADDRESS(540,27))+INDIRECT(ADDRESS(538,28))-INDIRECT(ADDRESS(539,28))</f>
        <v>0</v>
      </c>
      <c r="AC540">
        <f>INDIRECT(ADDRESS(540,28))+INDIRECT(ADDRESS(538,29))-INDIRECT(ADDRESS(539,29))</f>
        <v>0</v>
      </c>
      <c r="AD540">
        <f>INDIRECT(ADDRESS(540,29))+INDIRECT(ADDRESS(538,30))-INDIRECT(ADDRESS(539,30))</f>
        <v>0</v>
      </c>
      <c r="AE540">
        <f>INDIRECT(ADDRESS(540,30))+INDIRECT(ADDRESS(538,31))-INDIRECT(ADDRESS(539,31))</f>
        <v>0</v>
      </c>
      <c r="AF540">
        <f>INDIRECT(ADDRESS(540,31))+INDIRECT(ADDRESS(538,32))-INDIRECT(ADDRESS(539,32))</f>
        <v>0</v>
      </c>
      <c r="AG540">
        <f>INDIRECT(ADDRESS(540,32))+INDIRECT(ADDRESS(538,33))-INDIRECT(ADDRESS(539,33))</f>
        <v>0</v>
      </c>
      <c r="AH540">
        <f>INDIRECT(ADDRESS(540,33))+INDIRECT(ADDRESS(538,34))-INDIRECT(ADDRESS(539,34))</f>
        <v>0</v>
      </c>
      <c r="AI540">
        <f>INDIRECT(ADDRESS(540,34))+INDIRECT(ADDRESS(538,35))-INDIRECT(ADDRESS(539,35))</f>
        <v>0</v>
      </c>
      <c r="AJ540">
        <f>INDIRECT(ADDRESS(540,35))+INDIRECT(ADDRESS(538,36))-INDIRECT(ADDRESS(539,36))</f>
        <v>0</v>
      </c>
      <c r="AK540">
        <f>INDIRECT(ADDRESS(540,36))+INDIRECT(ADDRESS(538,37))-INDIRECT(ADDRESS(539,37))</f>
        <v>0</v>
      </c>
      <c r="AL540">
        <f>INDIRECT(ADDRESS(540,37))+INDIRECT(ADDRESS(538,38))-INDIRECT(ADDRESS(539,38))</f>
        <v>0</v>
      </c>
      <c r="AM540">
        <f>INDIRECT(ADDRESS(540,38))+INDIRECT(ADDRESS(538,39))-INDIRECT(ADDRESS(539,39))</f>
        <v>0</v>
      </c>
      <c r="AN540">
        <f>INDIRECT(ADDRESS(540,39))+INDIRECT(ADDRESS(538,40))-INDIRECT(ADDRESS(539,40))</f>
        <v>0</v>
      </c>
      <c r="AO540">
        <f>SUM(INDIRECT(ADDRESS(539,8)):INDIRECT(ADDRESS(539,39)))</f>
        <v>0</v>
      </c>
    </row>
    <row r="541" spans="1:41">
      <c r="A541" t="s">
        <v>8</v>
      </c>
      <c r="B541" t="s">
        <v>43</v>
      </c>
      <c r="C541" t="s">
        <v>44</v>
      </c>
      <c r="E541">
        <v>1</v>
      </c>
      <c r="I541" t="s">
        <v>177</v>
      </c>
    </row>
    <row r="542" spans="1:41">
      <c r="I542" t="s">
        <v>178</v>
      </c>
      <c r="J542">
        <f>IFERROR(VLOOKUP("924-702000-200",Out!B:AB,1+8,0),0)</f>
        <v>0</v>
      </c>
      <c r="K542">
        <f>IFERROR(VLOOKUP("924-702000-200",Out!B:AB,2+8,0),0)</f>
        <v>0</v>
      </c>
      <c r="L542">
        <f>IFERROR(VLOOKUP("924-702000-200",Out!B:AB,3+8,0),0)</f>
        <v>0</v>
      </c>
      <c r="M542">
        <f>IFERROR(VLOOKUP("924-702000-200",Out!B:AB,4+8,0),0)</f>
        <v>0</v>
      </c>
      <c r="N542">
        <f>IFERROR(VLOOKUP("924-702000-200",Out!B:AB,5+8,0),0)</f>
        <v>0</v>
      </c>
      <c r="O542">
        <f>IFERROR(VLOOKUP("924-702000-200",Out!B:AB,6+8,0),0)</f>
        <v>0</v>
      </c>
      <c r="P542">
        <f>IFERROR(VLOOKUP("924-702000-200",Out!B:AB,7+8,0),0)</f>
        <v>0</v>
      </c>
      <c r="Q542">
        <f>IFERROR(VLOOKUP("924-702000-200",Out!B:AB,8+8,0),0)</f>
        <v>0</v>
      </c>
      <c r="R542">
        <f>IFERROR(VLOOKUP("924-702000-200",Out!B:AB,9+8,0),0)</f>
        <v>0</v>
      </c>
      <c r="S542">
        <f>IFERROR(VLOOKUP("924-702000-200",Out!B:AB,10+8,0),0)</f>
        <v>0</v>
      </c>
      <c r="T542">
        <f>IFERROR(VLOOKUP("924-702000-200",Out!B:AB,11+8,0),0)</f>
        <v>0</v>
      </c>
      <c r="U542">
        <f>IFERROR(VLOOKUP("924-702000-200",Out!B:AB,12+8,0),0)</f>
        <v>0</v>
      </c>
      <c r="V542">
        <f>IFERROR(VLOOKUP("924-702000-200",Out!B:AB,13+8,0),0)</f>
        <v>0</v>
      </c>
      <c r="W542">
        <f>IFERROR(VLOOKUP("924-702000-200",Out!B:AB,14+8,0),0)</f>
        <v>0</v>
      </c>
      <c r="X542">
        <f>IFERROR(VLOOKUP("924-702000-200",Out!B:AB,15+8,0),0)</f>
        <v>0</v>
      </c>
      <c r="Y542">
        <f>IFERROR(VLOOKUP("924-702000-200",Out!B:AB,16+8,0),0)</f>
        <v>0</v>
      </c>
      <c r="Z542">
        <f>IFERROR(VLOOKUP("924-702000-200",Out!B:AB,17+8,0),0)</f>
        <v>0</v>
      </c>
      <c r="AA542">
        <f>IFERROR(VLOOKUP("924-702000-200",Out!B:AB,18+8,0),0)</f>
        <v>0</v>
      </c>
      <c r="AB542">
        <f>IFERROR(VLOOKUP("924-702000-200",Out!B:AB,19+8,0),0)</f>
        <v>0</v>
      </c>
      <c r="AC542">
        <f>IFERROR(VLOOKUP("924-702000-200",Out!B:AB,20+8,0),0)</f>
        <v>0</v>
      </c>
      <c r="AD542">
        <f>IFERROR(VLOOKUP("924-702000-200",Out!B:AB,21+8,0),0)</f>
        <v>0</v>
      </c>
      <c r="AE542">
        <f>IFERROR(VLOOKUP("924-702000-200",Out!B:AB,22+8,0),0)</f>
        <v>0</v>
      </c>
      <c r="AF542">
        <f>IFERROR(VLOOKUP("924-702000-200",Out!B:AB,23+8,0),0)</f>
        <v>0</v>
      </c>
      <c r="AG542">
        <f>IFERROR(VLOOKUP("924-702000-200",Out!B:AB,24+8,0),0)</f>
        <v>0</v>
      </c>
      <c r="AH542">
        <f>IFERROR(VLOOKUP("924-702000-200",Out!B:AB,25+8,0),0)</f>
        <v>0</v>
      </c>
      <c r="AI542">
        <f>IFERROR(VLOOKUP("924-702000-200",Out!B:AB,26+8,0),0)</f>
        <v>0</v>
      </c>
      <c r="AJ542">
        <f>IFERROR(VLOOKUP("924-702000-200",Out!B:AB,27+8,0),0)</f>
        <v>0</v>
      </c>
      <c r="AK542">
        <f>IFERROR(VLOOKUP("924-702000-200",Out!B:AB,28+8,0),0)</f>
        <v>0</v>
      </c>
      <c r="AL542">
        <f>IFERROR(VLOOKUP("924-702000-200",Out!B:AB,29+8,0),0)</f>
        <v>0</v>
      </c>
      <c r="AM542">
        <f>IFERROR(VLOOKUP("924-702000-200",Out!B:AB,30+8,0),0)</f>
        <v>0</v>
      </c>
      <c r="AN542">
        <f>IFERROR(VLOOKUP("924-702000-200",Out!B:AB,31+8,0),0)</f>
        <v>0</v>
      </c>
      <c r="AO542">
        <f>SUN(INDIRECT(ADDRESS(541,8)):INDIRECT(ADDRESS(541,39)))</f>
        <v>0</v>
      </c>
    </row>
    <row r="543" spans="1:41">
      <c r="H543" t="s">
        <v>179</v>
      </c>
      <c r="J543">
        <f>INDIRECT(ADDRESS(543,9))+INDIRECT(ADDRESS(541,10))-INDIRECT(ADDRESS(542,10))</f>
        <v>0</v>
      </c>
      <c r="K543">
        <f>INDIRECT(ADDRESS(543,10))+INDIRECT(ADDRESS(541,11))-INDIRECT(ADDRESS(542,11))</f>
        <v>0</v>
      </c>
      <c r="L543">
        <f>INDIRECT(ADDRESS(543,11))+INDIRECT(ADDRESS(541,12))-INDIRECT(ADDRESS(542,12))</f>
        <v>0</v>
      </c>
      <c r="M543">
        <f>INDIRECT(ADDRESS(543,12))+INDIRECT(ADDRESS(541,13))-INDIRECT(ADDRESS(542,13))</f>
        <v>0</v>
      </c>
      <c r="N543">
        <f>INDIRECT(ADDRESS(543,13))+INDIRECT(ADDRESS(541,14))-INDIRECT(ADDRESS(542,14))</f>
        <v>0</v>
      </c>
      <c r="O543">
        <f>INDIRECT(ADDRESS(543,14))+INDIRECT(ADDRESS(541,15))-INDIRECT(ADDRESS(542,15))</f>
        <v>0</v>
      </c>
      <c r="P543">
        <f>INDIRECT(ADDRESS(543,15))+INDIRECT(ADDRESS(541,16))-INDIRECT(ADDRESS(542,16))</f>
        <v>0</v>
      </c>
      <c r="Q543">
        <f>INDIRECT(ADDRESS(543,16))+INDIRECT(ADDRESS(541,17))-INDIRECT(ADDRESS(542,17))</f>
        <v>0</v>
      </c>
      <c r="R543">
        <f>INDIRECT(ADDRESS(543,17))+INDIRECT(ADDRESS(541,18))-INDIRECT(ADDRESS(542,18))</f>
        <v>0</v>
      </c>
      <c r="S543">
        <f>INDIRECT(ADDRESS(543,18))+INDIRECT(ADDRESS(541,19))-INDIRECT(ADDRESS(542,19))</f>
        <v>0</v>
      </c>
      <c r="T543">
        <f>INDIRECT(ADDRESS(543,19))+INDIRECT(ADDRESS(541,20))-INDIRECT(ADDRESS(542,20))</f>
        <v>0</v>
      </c>
      <c r="U543">
        <f>INDIRECT(ADDRESS(543,20))+INDIRECT(ADDRESS(541,21))-INDIRECT(ADDRESS(542,21))</f>
        <v>0</v>
      </c>
      <c r="V543">
        <f>INDIRECT(ADDRESS(543,21))+INDIRECT(ADDRESS(541,22))-INDIRECT(ADDRESS(542,22))</f>
        <v>0</v>
      </c>
      <c r="W543">
        <f>INDIRECT(ADDRESS(543,22))+INDIRECT(ADDRESS(541,23))-INDIRECT(ADDRESS(542,23))</f>
        <v>0</v>
      </c>
      <c r="X543">
        <f>INDIRECT(ADDRESS(543,23))+INDIRECT(ADDRESS(541,24))-INDIRECT(ADDRESS(542,24))</f>
        <v>0</v>
      </c>
      <c r="Y543">
        <f>INDIRECT(ADDRESS(543,24))+INDIRECT(ADDRESS(541,25))-INDIRECT(ADDRESS(542,25))</f>
        <v>0</v>
      </c>
      <c r="Z543">
        <f>INDIRECT(ADDRESS(543,25))+INDIRECT(ADDRESS(541,26))-INDIRECT(ADDRESS(542,26))</f>
        <v>0</v>
      </c>
      <c r="AA543">
        <f>INDIRECT(ADDRESS(543,26))+INDIRECT(ADDRESS(541,27))-INDIRECT(ADDRESS(542,27))</f>
        <v>0</v>
      </c>
      <c r="AB543">
        <f>INDIRECT(ADDRESS(543,27))+INDIRECT(ADDRESS(541,28))-INDIRECT(ADDRESS(542,28))</f>
        <v>0</v>
      </c>
      <c r="AC543">
        <f>INDIRECT(ADDRESS(543,28))+INDIRECT(ADDRESS(541,29))-INDIRECT(ADDRESS(542,29))</f>
        <v>0</v>
      </c>
      <c r="AD543">
        <f>INDIRECT(ADDRESS(543,29))+INDIRECT(ADDRESS(541,30))-INDIRECT(ADDRESS(542,30))</f>
        <v>0</v>
      </c>
      <c r="AE543">
        <f>INDIRECT(ADDRESS(543,30))+INDIRECT(ADDRESS(541,31))-INDIRECT(ADDRESS(542,31))</f>
        <v>0</v>
      </c>
      <c r="AF543">
        <f>INDIRECT(ADDRESS(543,31))+INDIRECT(ADDRESS(541,32))-INDIRECT(ADDRESS(542,32))</f>
        <v>0</v>
      </c>
      <c r="AG543">
        <f>INDIRECT(ADDRESS(543,32))+INDIRECT(ADDRESS(541,33))-INDIRECT(ADDRESS(542,33))</f>
        <v>0</v>
      </c>
      <c r="AH543">
        <f>INDIRECT(ADDRESS(543,33))+INDIRECT(ADDRESS(541,34))-INDIRECT(ADDRESS(542,34))</f>
        <v>0</v>
      </c>
      <c r="AI543">
        <f>INDIRECT(ADDRESS(543,34))+INDIRECT(ADDRESS(541,35))-INDIRECT(ADDRESS(542,35))</f>
        <v>0</v>
      </c>
      <c r="AJ543">
        <f>INDIRECT(ADDRESS(543,35))+INDIRECT(ADDRESS(541,36))-INDIRECT(ADDRESS(542,36))</f>
        <v>0</v>
      </c>
      <c r="AK543">
        <f>INDIRECT(ADDRESS(543,36))+INDIRECT(ADDRESS(541,37))-INDIRECT(ADDRESS(542,37))</f>
        <v>0</v>
      </c>
      <c r="AL543">
        <f>INDIRECT(ADDRESS(543,37))+INDIRECT(ADDRESS(541,38))-INDIRECT(ADDRESS(542,38))</f>
        <v>0</v>
      </c>
      <c r="AM543">
        <f>INDIRECT(ADDRESS(543,38))+INDIRECT(ADDRESS(541,39))-INDIRECT(ADDRESS(542,39))</f>
        <v>0</v>
      </c>
      <c r="AN543">
        <f>INDIRECT(ADDRESS(543,39))+INDIRECT(ADDRESS(541,40))-INDIRECT(ADDRESS(542,40))</f>
        <v>0</v>
      </c>
      <c r="AO543">
        <f>SUM(INDIRECT(ADDRESS(542,8)):INDIRECT(ADDRESS(542,39)))</f>
        <v>0</v>
      </c>
    </row>
    <row r="544" spans="1:41">
      <c r="A544" t="s">
        <v>180</v>
      </c>
      <c r="B544" t="s">
        <v>382</v>
      </c>
      <c r="C544" t="s">
        <v>383</v>
      </c>
      <c r="E544">
        <v>1</v>
      </c>
      <c r="I544" t="s">
        <v>177</v>
      </c>
    </row>
    <row r="545" spans="1:41">
      <c r="I545" t="s">
        <v>178</v>
      </c>
      <c r="J545">
        <f>IFERROR(VLOOKUP("924-702000-200",B:AB,1+8,0),0)</f>
        <v>0</v>
      </c>
      <c r="K545">
        <f>IFERROR(VLOOKUP("924-702000-200",B:AB,2+8,0),0)</f>
        <v>0</v>
      </c>
      <c r="L545">
        <f>IFERROR(VLOOKUP("924-702000-200",B:AB,3+8,0),0)</f>
        <v>0</v>
      </c>
      <c r="M545">
        <f>IFERROR(VLOOKUP("924-702000-200",B:AB,4+8,0),0)</f>
        <v>0</v>
      </c>
      <c r="N545">
        <f>IFERROR(VLOOKUP("924-702000-200",B:AB,5+8,0),0)</f>
        <v>0</v>
      </c>
      <c r="O545">
        <f>IFERROR(VLOOKUP("924-702000-200",B:AB,6+8,0),0)</f>
        <v>0</v>
      </c>
      <c r="P545">
        <f>IFERROR(VLOOKUP("924-702000-200",B:AB,7+8,0),0)</f>
        <v>0</v>
      </c>
      <c r="Q545">
        <f>IFERROR(VLOOKUP("924-702000-200",B:AB,8+8,0),0)</f>
        <v>0</v>
      </c>
      <c r="R545">
        <f>IFERROR(VLOOKUP("924-702000-200",B:AB,9+8,0),0)</f>
        <v>0</v>
      </c>
      <c r="S545">
        <f>IFERROR(VLOOKUP("924-702000-200",B:AB,10+8,0),0)</f>
        <v>0</v>
      </c>
      <c r="T545">
        <f>IFERROR(VLOOKUP("924-702000-200",B:AB,11+8,0),0)</f>
        <v>0</v>
      </c>
      <c r="U545">
        <f>IFERROR(VLOOKUP("924-702000-200",B:AB,12+8,0),0)</f>
        <v>0</v>
      </c>
      <c r="V545">
        <f>IFERROR(VLOOKUP("924-702000-200",B:AB,13+8,0),0)</f>
        <v>0</v>
      </c>
      <c r="W545">
        <f>IFERROR(VLOOKUP("924-702000-200",B:AB,14+8,0),0)</f>
        <v>0</v>
      </c>
      <c r="X545">
        <f>IFERROR(VLOOKUP("924-702000-200",B:AB,15+8,0),0)</f>
        <v>0</v>
      </c>
      <c r="Y545">
        <f>IFERROR(VLOOKUP("924-702000-200",B:AB,16+8,0),0)</f>
        <v>0</v>
      </c>
      <c r="Z545">
        <f>IFERROR(VLOOKUP("924-702000-200",B:AB,17+8,0),0)</f>
        <v>0</v>
      </c>
      <c r="AA545">
        <f>IFERROR(VLOOKUP("924-702000-200",B:AB,18+8,0),0)</f>
        <v>0</v>
      </c>
      <c r="AB545">
        <f>IFERROR(VLOOKUP("924-702000-200",B:AB,19+8,0),0)</f>
        <v>0</v>
      </c>
      <c r="AC545">
        <f>IFERROR(VLOOKUP("924-702000-200",B:AB,20+8,0),0)</f>
        <v>0</v>
      </c>
      <c r="AD545">
        <f>IFERROR(VLOOKUP("924-702000-200",B:AB,21+8,0),0)</f>
        <v>0</v>
      </c>
      <c r="AE545">
        <f>IFERROR(VLOOKUP("924-702000-200",B:AB,22+8,0),0)</f>
        <v>0</v>
      </c>
      <c r="AF545">
        <f>IFERROR(VLOOKUP("924-702000-200",B:AB,23+8,0),0)</f>
        <v>0</v>
      </c>
      <c r="AG545">
        <f>IFERROR(VLOOKUP("924-702000-200",B:AB,24+8,0),0)</f>
        <v>0</v>
      </c>
      <c r="AH545">
        <f>IFERROR(VLOOKUP("924-702000-200",B:AB,25+8,0),0)</f>
        <v>0</v>
      </c>
      <c r="AI545">
        <f>IFERROR(VLOOKUP("924-702000-200",B:AB,26+8,0),0)</f>
        <v>0</v>
      </c>
      <c r="AJ545">
        <f>IFERROR(VLOOKUP("924-702000-200",B:AB,27+8,0),0)</f>
        <v>0</v>
      </c>
      <c r="AK545">
        <f>IFERROR(VLOOKUP("924-702000-200",B:AB,28+8,0),0)</f>
        <v>0</v>
      </c>
      <c r="AL545">
        <f>IFERROR(VLOOKUP("924-702000-200",B:AB,29+8,0),0)</f>
        <v>0</v>
      </c>
      <c r="AM545">
        <f>IFERROR(VLOOKUP("924-702000-200",B:AB,30+8,0),0)</f>
        <v>0</v>
      </c>
      <c r="AN545">
        <f>IFERROR(VLOOKUP("924-702000-200",B:AB,31+8,0),0)</f>
        <v>0</v>
      </c>
      <c r="AO545">
        <f>SUN(INDIRECT(ADDRESS(544,8)):INDIRECT(ADDRESS(544,39)))</f>
        <v>0</v>
      </c>
    </row>
    <row r="546" spans="1:41">
      <c r="H546" t="s">
        <v>179</v>
      </c>
      <c r="J546">
        <f>INDIRECT(ADDRESS(546,9))+INDIRECT(ADDRESS(544,10))-INDIRECT(ADDRESS(545,10))</f>
        <v>0</v>
      </c>
      <c r="K546">
        <f>INDIRECT(ADDRESS(546,10))+INDIRECT(ADDRESS(544,11))-INDIRECT(ADDRESS(545,11))</f>
        <v>0</v>
      </c>
      <c r="L546">
        <f>INDIRECT(ADDRESS(546,11))+INDIRECT(ADDRESS(544,12))-INDIRECT(ADDRESS(545,12))</f>
        <v>0</v>
      </c>
      <c r="M546">
        <f>INDIRECT(ADDRESS(546,12))+INDIRECT(ADDRESS(544,13))-INDIRECT(ADDRESS(545,13))</f>
        <v>0</v>
      </c>
      <c r="N546">
        <f>INDIRECT(ADDRESS(546,13))+INDIRECT(ADDRESS(544,14))-INDIRECT(ADDRESS(545,14))</f>
        <v>0</v>
      </c>
      <c r="O546">
        <f>INDIRECT(ADDRESS(546,14))+INDIRECT(ADDRESS(544,15))-INDIRECT(ADDRESS(545,15))</f>
        <v>0</v>
      </c>
      <c r="P546">
        <f>INDIRECT(ADDRESS(546,15))+INDIRECT(ADDRESS(544,16))-INDIRECT(ADDRESS(545,16))</f>
        <v>0</v>
      </c>
      <c r="Q546">
        <f>INDIRECT(ADDRESS(546,16))+INDIRECT(ADDRESS(544,17))-INDIRECT(ADDRESS(545,17))</f>
        <v>0</v>
      </c>
      <c r="R546">
        <f>INDIRECT(ADDRESS(546,17))+INDIRECT(ADDRESS(544,18))-INDIRECT(ADDRESS(545,18))</f>
        <v>0</v>
      </c>
      <c r="S546">
        <f>INDIRECT(ADDRESS(546,18))+INDIRECT(ADDRESS(544,19))-INDIRECT(ADDRESS(545,19))</f>
        <v>0</v>
      </c>
      <c r="T546">
        <f>INDIRECT(ADDRESS(546,19))+INDIRECT(ADDRESS(544,20))-INDIRECT(ADDRESS(545,20))</f>
        <v>0</v>
      </c>
      <c r="U546">
        <f>INDIRECT(ADDRESS(546,20))+INDIRECT(ADDRESS(544,21))-INDIRECT(ADDRESS(545,21))</f>
        <v>0</v>
      </c>
      <c r="V546">
        <f>INDIRECT(ADDRESS(546,21))+INDIRECT(ADDRESS(544,22))-INDIRECT(ADDRESS(545,22))</f>
        <v>0</v>
      </c>
      <c r="W546">
        <f>INDIRECT(ADDRESS(546,22))+INDIRECT(ADDRESS(544,23))-INDIRECT(ADDRESS(545,23))</f>
        <v>0</v>
      </c>
      <c r="X546">
        <f>INDIRECT(ADDRESS(546,23))+INDIRECT(ADDRESS(544,24))-INDIRECT(ADDRESS(545,24))</f>
        <v>0</v>
      </c>
      <c r="Y546">
        <f>INDIRECT(ADDRESS(546,24))+INDIRECT(ADDRESS(544,25))-INDIRECT(ADDRESS(545,25))</f>
        <v>0</v>
      </c>
      <c r="Z546">
        <f>INDIRECT(ADDRESS(546,25))+INDIRECT(ADDRESS(544,26))-INDIRECT(ADDRESS(545,26))</f>
        <v>0</v>
      </c>
      <c r="AA546">
        <f>INDIRECT(ADDRESS(546,26))+INDIRECT(ADDRESS(544,27))-INDIRECT(ADDRESS(545,27))</f>
        <v>0</v>
      </c>
      <c r="AB546">
        <f>INDIRECT(ADDRESS(546,27))+INDIRECT(ADDRESS(544,28))-INDIRECT(ADDRESS(545,28))</f>
        <v>0</v>
      </c>
      <c r="AC546">
        <f>INDIRECT(ADDRESS(546,28))+INDIRECT(ADDRESS(544,29))-INDIRECT(ADDRESS(545,29))</f>
        <v>0</v>
      </c>
      <c r="AD546">
        <f>INDIRECT(ADDRESS(546,29))+INDIRECT(ADDRESS(544,30))-INDIRECT(ADDRESS(545,30))</f>
        <v>0</v>
      </c>
      <c r="AE546">
        <f>INDIRECT(ADDRESS(546,30))+INDIRECT(ADDRESS(544,31))-INDIRECT(ADDRESS(545,31))</f>
        <v>0</v>
      </c>
      <c r="AF546">
        <f>INDIRECT(ADDRESS(546,31))+INDIRECT(ADDRESS(544,32))-INDIRECT(ADDRESS(545,32))</f>
        <v>0</v>
      </c>
      <c r="AG546">
        <f>INDIRECT(ADDRESS(546,32))+INDIRECT(ADDRESS(544,33))-INDIRECT(ADDRESS(545,33))</f>
        <v>0</v>
      </c>
      <c r="AH546">
        <f>INDIRECT(ADDRESS(546,33))+INDIRECT(ADDRESS(544,34))-INDIRECT(ADDRESS(545,34))</f>
        <v>0</v>
      </c>
      <c r="AI546">
        <f>INDIRECT(ADDRESS(546,34))+INDIRECT(ADDRESS(544,35))-INDIRECT(ADDRESS(545,35))</f>
        <v>0</v>
      </c>
      <c r="AJ546">
        <f>INDIRECT(ADDRESS(546,35))+INDIRECT(ADDRESS(544,36))-INDIRECT(ADDRESS(545,36))</f>
        <v>0</v>
      </c>
      <c r="AK546">
        <f>INDIRECT(ADDRESS(546,36))+INDIRECT(ADDRESS(544,37))-INDIRECT(ADDRESS(545,37))</f>
        <v>0</v>
      </c>
      <c r="AL546">
        <f>INDIRECT(ADDRESS(546,37))+INDIRECT(ADDRESS(544,38))-INDIRECT(ADDRESS(545,38))</f>
        <v>0</v>
      </c>
      <c r="AM546">
        <f>INDIRECT(ADDRESS(546,38))+INDIRECT(ADDRESS(544,39))-INDIRECT(ADDRESS(545,39))</f>
        <v>0</v>
      </c>
      <c r="AN546">
        <f>INDIRECT(ADDRESS(546,39))+INDIRECT(ADDRESS(544,40))-INDIRECT(ADDRESS(545,40))</f>
        <v>0</v>
      </c>
      <c r="AO546">
        <f>SUM(INDIRECT(ADDRESS(545,8)):INDIRECT(ADDRESS(545,39)))</f>
        <v>0</v>
      </c>
    </row>
    <row r="547" spans="1:41">
      <c r="A547" t="s">
        <v>180</v>
      </c>
      <c r="B547" t="s">
        <v>384</v>
      </c>
      <c r="C547" t="s">
        <v>385</v>
      </c>
      <c r="E547">
        <v>1</v>
      </c>
      <c r="I547" t="s">
        <v>177</v>
      </c>
    </row>
    <row r="548" spans="1:41">
      <c r="I548" t="s">
        <v>178</v>
      </c>
      <c r="J548">
        <f>IFERROR(VLOOKUP("924-702000-200",B:AB,1+8,0),0)</f>
        <v>0</v>
      </c>
      <c r="K548">
        <f>IFERROR(VLOOKUP("924-702000-200",B:AB,2+8,0),0)</f>
        <v>0</v>
      </c>
      <c r="L548">
        <f>IFERROR(VLOOKUP("924-702000-200",B:AB,3+8,0),0)</f>
        <v>0</v>
      </c>
      <c r="M548">
        <f>IFERROR(VLOOKUP("924-702000-200",B:AB,4+8,0),0)</f>
        <v>0</v>
      </c>
      <c r="N548">
        <f>IFERROR(VLOOKUP("924-702000-200",B:AB,5+8,0),0)</f>
        <v>0</v>
      </c>
      <c r="O548">
        <f>IFERROR(VLOOKUP("924-702000-200",B:AB,6+8,0),0)</f>
        <v>0</v>
      </c>
      <c r="P548">
        <f>IFERROR(VLOOKUP("924-702000-200",B:AB,7+8,0),0)</f>
        <v>0</v>
      </c>
      <c r="Q548">
        <f>IFERROR(VLOOKUP("924-702000-200",B:AB,8+8,0),0)</f>
        <v>0</v>
      </c>
      <c r="R548">
        <f>IFERROR(VLOOKUP("924-702000-200",B:AB,9+8,0),0)</f>
        <v>0</v>
      </c>
      <c r="S548">
        <f>IFERROR(VLOOKUP("924-702000-200",B:AB,10+8,0),0)</f>
        <v>0</v>
      </c>
      <c r="T548">
        <f>IFERROR(VLOOKUP("924-702000-200",B:AB,11+8,0),0)</f>
        <v>0</v>
      </c>
      <c r="U548">
        <f>IFERROR(VLOOKUP("924-702000-200",B:AB,12+8,0),0)</f>
        <v>0</v>
      </c>
      <c r="V548">
        <f>IFERROR(VLOOKUP("924-702000-200",B:AB,13+8,0),0)</f>
        <v>0</v>
      </c>
      <c r="W548">
        <f>IFERROR(VLOOKUP("924-702000-200",B:AB,14+8,0),0)</f>
        <v>0</v>
      </c>
      <c r="X548">
        <f>IFERROR(VLOOKUP("924-702000-200",B:AB,15+8,0),0)</f>
        <v>0</v>
      </c>
      <c r="Y548">
        <f>IFERROR(VLOOKUP("924-702000-200",B:AB,16+8,0),0)</f>
        <v>0</v>
      </c>
      <c r="Z548">
        <f>IFERROR(VLOOKUP("924-702000-200",B:AB,17+8,0),0)</f>
        <v>0</v>
      </c>
      <c r="AA548">
        <f>IFERROR(VLOOKUP("924-702000-200",B:AB,18+8,0),0)</f>
        <v>0</v>
      </c>
      <c r="AB548">
        <f>IFERROR(VLOOKUP("924-702000-200",B:AB,19+8,0),0)</f>
        <v>0</v>
      </c>
      <c r="AC548">
        <f>IFERROR(VLOOKUP("924-702000-200",B:AB,20+8,0),0)</f>
        <v>0</v>
      </c>
      <c r="AD548">
        <f>IFERROR(VLOOKUP("924-702000-200",B:AB,21+8,0),0)</f>
        <v>0</v>
      </c>
      <c r="AE548">
        <f>IFERROR(VLOOKUP("924-702000-200",B:AB,22+8,0),0)</f>
        <v>0</v>
      </c>
      <c r="AF548">
        <f>IFERROR(VLOOKUP("924-702000-200",B:AB,23+8,0),0)</f>
        <v>0</v>
      </c>
      <c r="AG548">
        <f>IFERROR(VLOOKUP("924-702000-200",B:AB,24+8,0),0)</f>
        <v>0</v>
      </c>
      <c r="AH548">
        <f>IFERROR(VLOOKUP("924-702000-200",B:AB,25+8,0),0)</f>
        <v>0</v>
      </c>
      <c r="AI548">
        <f>IFERROR(VLOOKUP("924-702000-200",B:AB,26+8,0),0)</f>
        <v>0</v>
      </c>
      <c r="AJ548">
        <f>IFERROR(VLOOKUP("924-702000-200",B:AB,27+8,0),0)</f>
        <v>0</v>
      </c>
      <c r="AK548">
        <f>IFERROR(VLOOKUP("924-702000-200",B:AB,28+8,0),0)</f>
        <v>0</v>
      </c>
      <c r="AL548">
        <f>IFERROR(VLOOKUP("924-702000-200",B:AB,29+8,0),0)</f>
        <v>0</v>
      </c>
      <c r="AM548">
        <f>IFERROR(VLOOKUP("924-702000-200",B:AB,30+8,0),0)</f>
        <v>0</v>
      </c>
      <c r="AN548">
        <f>IFERROR(VLOOKUP("924-702000-200",B:AB,31+8,0),0)</f>
        <v>0</v>
      </c>
      <c r="AO548">
        <f>SUN(INDIRECT(ADDRESS(547,8)):INDIRECT(ADDRESS(547,39)))</f>
        <v>0</v>
      </c>
    </row>
    <row r="549" spans="1:41">
      <c r="H549" t="s">
        <v>179</v>
      </c>
      <c r="J549">
        <f>INDIRECT(ADDRESS(549,9))+INDIRECT(ADDRESS(547,10))-INDIRECT(ADDRESS(548,10))</f>
        <v>0</v>
      </c>
      <c r="K549">
        <f>INDIRECT(ADDRESS(549,10))+INDIRECT(ADDRESS(547,11))-INDIRECT(ADDRESS(548,11))</f>
        <v>0</v>
      </c>
      <c r="L549">
        <f>INDIRECT(ADDRESS(549,11))+INDIRECT(ADDRESS(547,12))-INDIRECT(ADDRESS(548,12))</f>
        <v>0</v>
      </c>
      <c r="M549">
        <f>INDIRECT(ADDRESS(549,12))+INDIRECT(ADDRESS(547,13))-INDIRECT(ADDRESS(548,13))</f>
        <v>0</v>
      </c>
      <c r="N549">
        <f>INDIRECT(ADDRESS(549,13))+INDIRECT(ADDRESS(547,14))-INDIRECT(ADDRESS(548,14))</f>
        <v>0</v>
      </c>
      <c r="O549">
        <f>INDIRECT(ADDRESS(549,14))+INDIRECT(ADDRESS(547,15))-INDIRECT(ADDRESS(548,15))</f>
        <v>0</v>
      </c>
      <c r="P549">
        <f>INDIRECT(ADDRESS(549,15))+INDIRECT(ADDRESS(547,16))-INDIRECT(ADDRESS(548,16))</f>
        <v>0</v>
      </c>
      <c r="Q549">
        <f>INDIRECT(ADDRESS(549,16))+INDIRECT(ADDRESS(547,17))-INDIRECT(ADDRESS(548,17))</f>
        <v>0</v>
      </c>
      <c r="R549">
        <f>INDIRECT(ADDRESS(549,17))+INDIRECT(ADDRESS(547,18))-INDIRECT(ADDRESS(548,18))</f>
        <v>0</v>
      </c>
      <c r="S549">
        <f>INDIRECT(ADDRESS(549,18))+INDIRECT(ADDRESS(547,19))-INDIRECT(ADDRESS(548,19))</f>
        <v>0</v>
      </c>
      <c r="T549">
        <f>INDIRECT(ADDRESS(549,19))+INDIRECT(ADDRESS(547,20))-INDIRECT(ADDRESS(548,20))</f>
        <v>0</v>
      </c>
      <c r="U549">
        <f>INDIRECT(ADDRESS(549,20))+INDIRECT(ADDRESS(547,21))-INDIRECT(ADDRESS(548,21))</f>
        <v>0</v>
      </c>
      <c r="V549">
        <f>INDIRECT(ADDRESS(549,21))+INDIRECT(ADDRESS(547,22))-INDIRECT(ADDRESS(548,22))</f>
        <v>0</v>
      </c>
      <c r="W549">
        <f>INDIRECT(ADDRESS(549,22))+INDIRECT(ADDRESS(547,23))-INDIRECT(ADDRESS(548,23))</f>
        <v>0</v>
      </c>
      <c r="X549">
        <f>INDIRECT(ADDRESS(549,23))+INDIRECT(ADDRESS(547,24))-INDIRECT(ADDRESS(548,24))</f>
        <v>0</v>
      </c>
      <c r="Y549">
        <f>INDIRECT(ADDRESS(549,24))+INDIRECT(ADDRESS(547,25))-INDIRECT(ADDRESS(548,25))</f>
        <v>0</v>
      </c>
      <c r="Z549">
        <f>INDIRECT(ADDRESS(549,25))+INDIRECT(ADDRESS(547,26))-INDIRECT(ADDRESS(548,26))</f>
        <v>0</v>
      </c>
      <c r="AA549">
        <f>INDIRECT(ADDRESS(549,26))+INDIRECT(ADDRESS(547,27))-INDIRECT(ADDRESS(548,27))</f>
        <v>0</v>
      </c>
      <c r="AB549">
        <f>INDIRECT(ADDRESS(549,27))+INDIRECT(ADDRESS(547,28))-INDIRECT(ADDRESS(548,28))</f>
        <v>0</v>
      </c>
      <c r="AC549">
        <f>INDIRECT(ADDRESS(549,28))+INDIRECT(ADDRESS(547,29))-INDIRECT(ADDRESS(548,29))</f>
        <v>0</v>
      </c>
      <c r="AD549">
        <f>INDIRECT(ADDRESS(549,29))+INDIRECT(ADDRESS(547,30))-INDIRECT(ADDRESS(548,30))</f>
        <v>0</v>
      </c>
      <c r="AE549">
        <f>INDIRECT(ADDRESS(549,30))+INDIRECT(ADDRESS(547,31))-INDIRECT(ADDRESS(548,31))</f>
        <v>0</v>
      </c>
      <c r="AF549">
        <f>INDIRECT(ADDRESS(549,31))+INDIRECT(ADDRESS(547,32))-INDIRECT(ADDRESS(548,32))</f>
        <v>0</v>
      </c>
      <c r="AG549">
        <f>INDIRECT(ADDRESS(549,32))+INDIRECT(ADDRESS(547,33))-INDIRECT(ADDRESS(548,33))</f>
        <v>0</v>
      </c>
      <c r="AH549">
        <f>INDIRECT(ADDRESS(549,33))+INDIRECT(ADDRESS(547,34))-INDIRECT(ADDRESS(548,34))</f>
        <v>0</v>
      </c>
      <c r="AI549">
        <f>INDIRECT(ADDRESS(549,34))+INDIRECT(ADDRESS(547,35))-INDIRECT(ADDRESS(548,35))</f>
        <v>0</v>
      </c>
      <c r="AJ549">
        <f>INDIRECT(ADDRESS(549,35))+INDIRECT(ADDRESS(547,36))-INDIRECT(ADDRESS(548,36))</f>
        <v>0</v>
      </c>
      <c r="AK549">
        <f>INDIRECT(ADDRESS(549,36))+INDIRECT(ADDRESS(547,37))-INDIRECT(ADDRESS(548,37))</f>
        <v>0</v>
      </c>
      <c r="AL549">
        <f>INDIRECT(ADDRESS(549,37))+INDIRECT(ADDRESS(547,38))-INDIRECT(ADDRESS(548,38))</f>
        <v>0</v>
      </c>
      <c r="AM549">
        <f>INDIRECT(ADDRESS(549,38))+INDIRECT(ADDRESS(547,39))-INDIRECT(ADDRESS(548,39))</f>
        <v>0</v>
      </c>
      <c r="AN549">
        <f>INDIRECT(ADDRESS(549,39))+INDIRECT(ADDRESS(547,40))-INDIRECT(ADDRESS(548,40))</f>
        <v>0</v>
      </c>
      <c r="AO549">
        <f>SUM(INDIRECT(ADDRESS(548,8)):INDIRECT(ADDRESS(548,39)))</f>
        <v>0</v>
      </c>
    </row>
    <row r="550" spans="1:41">
      <c r="A550" t="s">
        <v>180</v>
      </c>
      <c r="B550" t="s">
        <v>386</v>
      </c>
      <c r="C550" t="s">
        <v>385</v>
      </c>
      <c r="E550">
        <v>1</v>
      </c>
      <c r="I550" t="s">
        <v>177</v>
      </c>
    </row>
    <row r="551" spans="1:41">
      <c r="I551" t="s">
        <v>178</v>
      </c>
      <c r="J551">
        <f>IFERROR(VLOOKUP("924-702000-200",B:AB,1+8,0),0)</f>
        <v>0</v>
      </c>
      <c r="K551">
        <f>IFERROR(VLOOKUP("924-702000-200",B:AB,2+8,0),0)</f>
        <v>0</v>
      </c>
      <c r="L551">
        <f>IFERROR(VLOOKUP("924-702000-200",B:AB,3+8,0),0)</f>
        <v>0</v>
      </c>
      <c r="M551">
        <f>IFERROR(VLOOKUP("924-702000-200",B:AB,4+8,0),0)</f>
        <v>0</v>
      </c>
      <c r="N551">
        <f>IFERROR(VLOOKUP("924-702000-200",B:AB,5+8,0),0)</f>
        <v>0</v>
      </c>
      <c r="O551">
        <f>IFERROR(VLOOKUP("924-702000-200",B:AB,6+8,0),0)</f>
        <v>0</v>
      </c>
      <c r="P551">
        <f>IFERROR(VLOOKUP("924-702000-200",B:AB,7+8,0),0)</f>
        <v>0</v>
      </c>
      <c r="Q551">
        <f>IFERROR(VLOOKUP("924-702000-200",B:AB,8+8,0),0)</f>
        <v>0</v>
      </c>
      <c r="R551">
        <f>IFERROR(VLOOKUP("924-702000-200",B:AB,9+8,0),0)</f>
        <v>0</v>
      </c>
      <c r="S551">
        <f>IFERROR(VLOOKUP("924-702000-200",B:AB,10+8,0),0)</f>
        <v>0</v>
      </c>
      <c r="T551">
        <f>IFERROR(VLOOKUP("924-702000-200",B:AB,11+8,0),0)</f>
        <v>0</v>
      </c>
      <c r="U551">
        <f>IFERROR(VLOOKUP("924-702000-200",B:AB,12+8,0),0)</f>
        <v>0</v>
      </c>
      <c r="V551">
        <f>IFERROR(VLOOKUP("924-702000-200",B:AB,13+8,0),0)</f>
        <v>0</v>
      </c>
      <c r="W551">
        <f>IFERROR(VLOOKUP("924-702000-200",B:AB,14+8,0),0)</f>
        <v>0</v>
      </c>
      <c r="X551">
        <f>IFERROR(VLOOKUP("924-702000-200",B:AB,15+8,0),0)</f>
        <v>0</v>
      </c>
      <c r="Y551">
        <f>IFERROR(VLOOKUP("924-702000-200",B:AB,16+8,0),0)</f>
        <v>0</v>
      </c>
      <c r="Z551">
        <f>IFERROR(VLOOKUP("924-702000-200",B:AB,17+8,0),0)</f>
        <v>0</v>
      </c>
      <c r="AA551">
        <f>IFERROR(VLOOKUP("924-702000-200",B:AB,18+8,0),0)</f>
        <v>0</v>
      </c>
      <c r="AB551">
        <f>IFERROR(VLOOKUP("924-702000-200",B:AB,19+8,0),0)</f>
        <v>0</v>
      </c>
      <c r="AC551">
        <f>IFERROR(VLOOKUP("924-702000-200",B:AB,20+8,0),0)</f>
        <v>0</v>
      </c>
      <c r="AD551">
        <f>IFERROR(VLOOKUP("924-702000-200",B:AB,21+8,0),0)</f>
        <v>0</v>
      </c>
      <c r="AE551">
        <f>IFERROR(VLOOKUP("924-702000-200",B:AB,22+8,0),0)</f>
        <v>0</v>
      </c>
      <c r="AF551">
        <f>IFERROR(VLOOKUP("924-702000-200",B:AB,23+8,0),0)</f>
        <v>0</v>
      </c>
      <c r="AG551">
        <f>IFERROR(VLOOKUP("924-702000-200",B:AB,24+8,0),0)</f>
        <v>0</v>
      </c>
      <c r="AH551">
        <f>IFERROR(VLOOKUP("924-702000-200",B:AB,25+8,0),0)</f>
        <v>0</v>
      </c>
      <c r="AI551">
        <f>IFERROR(VLOOKUP("924-702000-200",B:AB,26+8,0),0)</f>
        <v>0</v>
      </c>
      <c r="AJ551">
        <f>IFERROR(VLOOKUP("924-702000-200",B:AB,27+8,0),0)</f>
        <v>0</v>
      </c>
      <c r="AK551">
        <f>IFERROR(VLOOKUP("924-702000-200",B:AB,28+8,0),0)</f>
        <v>0</v>
      </c>
      <c r="AL551">
        <f>IFERROR(VLOOKUP("924-702000-200",B:AB,29+8,0),0)</f>
        <v>0</v>
      </c>
      <c r="AM551">
        <f>IFERROR(VLOOKUP("924-702000-200",B:AB,30+8,0),0)</f>
        <v>0</v>
      </c>
      <c r="AN551">
        <f>IFERROR(VLOOKUP("924-702000-200",B:AB,31+8,0),0)</f>
        <v>0</v>
      </c>
      <c r="AO551">
        <f>SUN(INDIRECT(ADDRESS(550,8)):INDIRECT(ADDRESS(550,39)))</f>
        <v>0</v>
      </c>
    </row>
    <row r="552" spans="1:41">
      <c r="H552" t="s">
        <v>179</v>
      </c>
      <c r="J552">
        <f>INDIRECT(ADDRESS(552,9))+INDIRECT(ADDRESS(550,10))-INDIRECT(ADDRESS(551,10))</f>
        <v>0</v>
      </c>
      <c r="K552">
        <f>INDIRECT(ADDRESS(552,10))+INDIRECT(ADDRESS(550,11))-INDIRECT(ADDRESS(551,11))</f>
        <v>0</v>
      </c>
      <c r="L552">
        <f>INDIRECT(ADDRESS(552,11))+INDIRECT(ADDRESS(550,12))-INDIRECT(ADDRESS(551,12))</f>
        <v>0</v>
      </c>
      <c r="M552">
        <f>INDIRECT(ADDRESS(552,12))+INDIRECT(ADDRESS(550,13))-INDIRECT(ADDRESS(551,13))</f>
        <v>0</v>
      </c>
      <c r="N552">
        <f>INDIRECT(ADDRESS(552,13))+INDIRECT(ADDRESS(550,14))-INDIRECT(ADDRESS(551,14))</f>
        <v>0</v>
      </c>
      <c r="O552">
        <f>INDIRECT(ADDRESS(552,14))+INDIRECT(ADDRESS(550,15))-INDIRECT(ADDRESS(551,15))</f>
        <v>0</v>
      </c>
      <c r="P552">
        <f>INDIRECT(ADDRESS(552,15))+INDIRECT(ADDRESS(550,16))-INDIRECT(ADDRESS(551,16))</f>
        <v>0</v>
      </c>
      <c r="Q552">
        <f>INDIRECT(ADDRESS(552,16))+INDIRECT(ADDRESS(550,17))-INDIRECT(ADDRESS(551,17))</f>
        <v>0</v>
      </c>
      <c r="R552">
        <f>INDIRECT(ADDRESS(552,17))+INDIRECT(ADDRESS(550,18))-INDIRECT(ADDRESS(551,18))</f>
        <v>0</v>
      </c>
      <c r="S552">
        <f>INDIRECT(ADDRESS(552,18))+INDIRECT(ADDRESS(550,19))-INDIRECT(ADDRESS(551,19))</f>
        <v>0</v>
      </c>
      <c r="T552">
        <f>INDIRECT(ADDRESS(552,19))+INDIRECT(ADDRESS(550,20))-INDIRECT(ADDRESS(551,20))</f>
        <v>0</v>
      </c>
      <c r="U552">
        <f>INDIRECT(ADDRESS(552,20))+INDIRECT(ADDRESS(550,21))-INDIRECT(ADDRESS(551,21))</f>
        <v>0</v>
      </c>
      <c r="V552">
        <f>INDIRECT(ADDRESS(552,21))+INDIRECT(ADDRESS(550,22))-INDIRECT(ADDRESS(551,22))</f>
        <v>0</v>
      </c>
      <c r="W552">
        <f>INDIRECT(ADDRESS(552,22))+INDIRECT(ADDRESS(550,23))-INDIRECT(ADDRESS(551,23))</f>
        <v>0</v>
      </c>
      <c r="X552">
        <f>INDIRECT(ADDRESS(552,23))+INDIRECT(ADDRESS(550,24))-INDIRECT(ADDRESS(551,24))</f>
        <v>0</v>
      </c>
      <c r="Y552">
        <f>INDIRECT(ADDRESS(552,24))+INDIRECT(ADDRESS(550,25))-INDIRECT(ADDRESS(551,25))</f>
        <v>0</v>
      </c>
      <c r="Z552">
        <f>INDIRECT(ADDRESS(552,25))+INDIRECT(ADDRESS(550,26))-INDIRECT(ADDRESS(551,26))</f>
        <v>0</v>
      </c>
      <c r="AA552">
        <f>INDIRECT(ADDRESS(552,26))+INDIRECT(ADDRESS(550,27))-INDIRECT(ADDRESS(551,27))</f>
        <v>0</v>
      </c>
      <c r="AB552">
        <f>INDIRECT(ADDRESS(552,27))+INDIRECT(ADDRESS(550,28))-INDIRECT(ADDRESS(551,28))</f>
        <v>0</v>
      </c>
      <c r="AC552">
        <f>INDIRECT(ADDRESS(552,28))+INDIRECT(ADDRESS(550,29))-INDIRECT(ADDRESS(551,29))</f>
        <v>0</v>
      </c>
      <c r="AD552">
        <f>INDIRECT(ADDRESS(552,29))+INDIRECT(ADDRESS(550,30))-INDIRECT(ADDRESS(551,30))</f>
        <v>0</v>
      </c>
      <c r="AE552">
        <f>INDIRECT(ADDRESS(552,30))+INDIRECT(ADDRESS(550,31))-INDIRECT(ADDRESS(551,31))</f>
        <v>0</v>
      </c>
      <c r="AF552">
        <f>INDIRECT(ADDRESS(552,31))+INDIRECT(ADDRESS(550,32))-INDIRECT(ADDRESS(551,32))</f>
        <v>0</v>
      </c>
      <c r="AG552">
        <f>INDIRECT(ADDRESS(552,32))+INDIRECT(ADDRESS(550,33))-INDIRECT(ADDRESS(551,33))</f>
        <v>0</v>
      </c>
      <c r="AH552">
        <f>INDIRECT(ADDRESS(552,33))+INDIRECT(ADDRESS(550,34))-INDIRECT(ADDRESS(551,34))</f>
        <v>0</v>
      </c>
      <c r="AI552">
        <f>INDIRECT(ADDRESS(552,34))+INDIRECT(ADDRESS(550,35))-INDIRECT(ADDRESS(551,35))</f>
        <v>0</v>
      </c>
      <c r="AJ552">
        <f>INDIRECT(ADDRESS(552,35))+INDIRECT(ADDRESS(550,36))-INDIRECT(ADDRESS(551,36))</f>
        <v>0</v>
      </c>
      <c r="AK552">
        <f>INDIRECT(ADDRESS(552,36))+INDIRECT(ADDRESS(550,37))-INDIRECT(ADDRESS(551,37))</f>
        <v>0</v>
      </c>
      <c r="AL552">
        <f>INDIRECT(ADDRESS(552,37))+INDIRECT(ADDRESS(550,38))-INDIRECT(ADDRESS(551,38))</f>
        <v>0</v>
      </c>
      <c r="AM552">
        <f>INDIRECT(ADDRESS(552,38))+INDIRECT(ADDRESS(550,39))-INDIRECT(ADDRESS(551,39))</f>
        <v>0</v>
      </c>
      <c r="AN552">
        <f>INDIRECT(ADDRESS(552,39))+INDIRECT(ADDRESS(550,40))-INDIRECT(ADDRESS(551,40))</f>
        <v>0</v>
      </c>
      <c r="AO552">
        <f>SUM(INDIRECT(ADDRESS(551,8)):INDIRECT(ADDRESS(551,39)))</f>
        <v>0</v>
      </c>
    </row>
    <row r="553" spans="1:41">
      <c r="A553" t="s">
        <v>180</v>
      </c>
      <c r="B553" t="s">
        <v>387</v>
      </c>
      <c r="C553" t="s">
        <v>385</v>
      </c>
      <c r="E553">
        <v>1</v>
      </c>
      <c r="I553" t="s">
        <v>177</v>
      </c>
    </row>
    <row r="554" spans="1:41">
      <c r="I554" t="s">
        <v>178</v>
      </c>
      <c r="J554">
        <f>IFERROR(VLOOKUP("924-702000-200",B:AB,1+8,0),0)</f>
        <v>0</v>
      </c>
      <c r="K554">
        <f>IFERROR(VLOOKUP("924-702000-200",B:AB,2+8,0),0)</f>
        <v>0</v>
      </c>
      <c r="L554">
        <f>IFERROR(VLOOKUP("924-702000-200",B:AB,3+8,0),0)</f>
        <v>0</v>
      </c>
      <c r="M554">
        <f>IFERROR(VLOOKUP("924-702000-200",B:AB,4+8,0),0)</f>
        <v>0</v>
      </c>
      <c r="N554">
        <f>IFERROR(VLOOKUP("924-702000-200",B:AB,5+8,0),0)</f>
        <v>0</v>
      </c>
      <c r="O554">
        <f>IFERROR(VLOOKUP("924-702000-200",B:AB,6+8,0),0)</f>
        <v>0</v>
      </c>
      <c r="P554">
        <f>IFERROR(VLOOKUP("924-702000-200",B:AB,7+8,0),0)</f>
        <v>0</v>
      </c>
      <c r="Q554">
        <f>IFERROR(VLOOKUP("924-702000-200",B:AB,8+8,0),0)</f>
        <v>0</v>
      </c>
      <c r="R554">
        <f>IFERROR(VLOOKUP("924-702000-200",B:AB,9+8,0),0)</f>
        <v>0</v>
      </c>
      <c r="S554">
        <f>IFERROR(VLOOKUP("924-702000-200",B:AB,10+8,0),0)</f>
        <v>0</v>
      </c>
      <c r="T554">
        <f>IFERROR(VLOOKUP("924-702000-200",B:AB,11+8,0),0)</f>
        <v>0</v>
      </c>
      <c r="U554">
        <f>IFERROR(VLOOKUP("924-702000-200",B:AB,12+8,0),0)</f>
        <v>0</v>
      </c>
      <c r="V554">
        <f>IFERROR(VLOOKUP("924-702000-200",B:AB,13+8,0),0)</f>
        <v>0</v>
      </c>
      <c r="W554">
        <f>IFERROR(VLOOKUP("924-702000-200",B:AB,14+8,0),0)</f>
        <v>0</v>
      </c>
      <c r="X554">
        <f>IFERROR(VLOOKUP("924-702000-200",B:AB,15+8,0),0)</f>
        <v>0</v>
      </c>
      <c r="Y554">
        <f>IFERROR(VLOOKUP("924-702000-200",B:AB,16+8,0),0)</f>
        <v>0</v>
      </c>
      <c r="Z554">
        <f>IFERROR(VLOOKUP("924-702000-200",B:AB,17+8,0),0)</f>
        <v>0</v>
      </c>
      <c r="AA554">
        <f>IFERROR(VLOOKUP("924-702000-200",B:AB,18+8,0),0)</f>
        <v>0</v>
      </c>
      <c r="AB554">
        <f>IFERROR(VLOOKUP("924-702000-200",B:AB,19+8,0),0)</f>
        <v>0</v>
      </c>
      <c r="AC554">
        <f>IFERROR(VLOOKUP("924-702000-200",B:AB,20+8,0),0)</f>
        <v>0</v>
      </c>
      <c r="AD554">
        <f>IFERROR(VLOOKUP("924-702000-200",B:AB,21+8,0),0)</f>
        <v>0</v>
      </c>
      <c r="AE554">
        <f>IFERROR(VLOOKUP("924-702000-200",B:AB,22+8,0),0)</f>
        <v>0</v>
      </c>
      <c r="AF554">
        <f>IFERROR(VLOOKUP("924-702000-200",B:AB,23+8,0),0)</f>
        <v>0</v>
      </c>
      <c r="AG554">
        <f>IFERROR(VLOOKUP("924-702000-200",B:AB,24+8,0),0)</f>
        <v>0</v>
      </c>
      <c r="AH554">
        <f>IFERROR(VLOOKUP("924-702000-200",B:AB,25+8,0),0)</f>
        <v>0</v>
      </c>
      <c r="AI554">
        <f>IFERROR(VLOOKUP("924-702000-200",B:AB,26+8,0),0)</f>
        <v>0</v>
      </c>
      <c r="AJ554">
        <f>IFERROR(VLOOKUP("924-702000-200",B:AB,27+8,0),0)</f>
        <v>0</v>
      </c>
      <c r="AK554">
        <f>IFERROR(VLOOKUP("924-702000-200",B:AB,28+8,0),0)</f>
        <v>0</v>
      </c>
      <c r="AL554">
        <f>IFERROR(VLOOKUP("924-702000-200",B:AB,29+8,0),0)</f>
        <v>0</v>
      </c>
      <c r="AM554">
        <f>IFERROR(VLOOKUP("924-702000-200",B:AB,30+8,0),0)</f>
        <v>0</v>
      </c>
      <c r="AN554">
        <f>IFERROR(VLOOKUP("924-702000-200",B:AB,31+8,0),0)</f>
        <v>0</v>
      </c>
      <c r="AO554">
        <f>SUN(INDIRECT(ADDRESS(553,8)):INDIRECT(ADDRESS(553,39)))</f>
        <v>0</v>
      </c>
    </row>
    <row r="555" spans="1:41">
      <c r="H555" t="s">
        <v>179</v>
      </c>
      <c r="J555">
        <f>INDIRECT(ADDRESS(555,9))+INDIRECT(ADDRESS(553,10))-INDIRECT(ADDRESS(554,10))</f>
        <v>0</v>
      </c>
      <c r="K555">
        <f>INDIRECT(ADDRESS(555,10))+INDIRECT(ADDRESS(553,11))-INDIRECT(ADDRESS(554,11))</f>
        <v>0</v>
      </c>
      <c r="L555">
        <f>INDIRECT(ADDRESS(555,11))+INDIRECT(ADDRESS(553,12))-INDIRECT(ADDRESS(554,12))</f>
        <v>0</v>
      </c>
      <c r="M555">
        <f>INDIRECT(ADDRESS(555,12))+INDIRECT(ADDRESS(553,13))-INDIRECT(ADDRESS(554,13))</f>
        <v>0</v>
      </c>
      <c r="N555">
        <f>INDIRECT(ADDRESS(555,13))+INDIRECT(ADDRESS(553,14))-INDIRECT(ADDRESS(554,14))</f>
        <v>0</v>
      </c>
      <c r="O555">
        <f>INDIRECT(ADDRESS(555,14))+INDIRECT(ADDRESS(553,15))-INDIRECT(ADDRESS(554,15))</f>
        <v>0</v>
      </c>
      <c r="P555">
        <f>INDIRECT(ADDRESS(555,15))+INDIRECT(ADDRESS(553,16))-INDIRECT(ADDRESS(554,16))</f>
        <v>0</v>
      </c>
      <c r="Q555">
        <f>INDIRECT(ADDRESS(555,16))+INDIRECT(ADDRESS(553,17))-INDIRECT(ADDRESS(554,17))</f>
        <v>0</v>
      </c>
      <c r="R555">
        <f>INDIRECT(ADDRESS(555,17))+INDIRECT(ADDRESS(553,18))-INDIRECT(ADDRESS(554,18))</f>
        <v>0</v>
      </c>
      <c r="S555">
        <f>INDIRECT(ADDRESS(555,18))+INDIRECT(ADDRESS(553,19))-INDIRECT(ADDRESS(554,19))</f>
        <v>0</v>
      </c>
      <c r="T555">
        <f>INDIRECT(ADDRESS(555,19))+INDIRECT(ADDRESS(553,20))-INDIRECT(ADDRESS(554,20))</f>
        <v>0</v>
      </c>
      <c r="U555">
        <f>INDIRECT(ADDRESS(555,20))+INDIRECT(ADDRESS(553,21))-INDIRECT(ADDRESS(554,21))</f>
        <v>0</v>
      </c>
      <c r="V555">
        <f>INDIRECT(ADDRESS(555,21))+INDIRECT(ADDRESS(553,22))-INDIRECT(ADDRESS(554,22))</f>
        <v>0</v>
      </c>
      <c r="W555">
        <f>INDIRECT(ADDRESS(555,22))+INDIRECT(ADDRESS(553,23))-INDIRECT(ADDRESS(554,23))</f>
        <v>0</v>
      </c>
      <c r="X555">
        <f>INDIRECT(ADDRESS(555,23))+INDIRECT(ADDRESS(553,24))-INDIRECT(ADDRESS(554,24))</f>
        <v>0</v>
      </c>
      <c r="Y555">
        <f>INDIRECT(ADDRESS(555,24))+INDIRECT(ADDRESS(553,25))-INDIRECT(ADDRESS(554,25))</f>
        <v>0</v>
      </c>
      <c r="Z555">
        <f>INDIRECT(ADDRESS(555,25))+INDIRECT(ADDRESS(553,26))-INDIRECT(ADDRESS(554,26))</f>
        <v>0</v>
      </c>
      <c r="AA555">
        <f>INDIRECT(ADDRESS(555,26))+INDIRECT(ADDRESS(553,27))-INDIRECT(ADDRESS(554,27))</f>
        <v>0</v>
      </c>
      <c r="AB555">
        <f>INDIRECT(ADDRESS(555,27))+INDIRECT(ADDRESS(553,28))-INDIRECT(ADDRESS(554,28))</f>
        <v>0</v>
      </c>
      <c r="AC555">
        <f>INDIRECT(ADDRESS(555,28))+INDIRECT(ADDRESS(553,29))-INDIRECT(ADDRESS(554,29))</f>
        <v>0</v>
      </c>
      <c r="AD555">
        <f>INDIRECT(ADDRESS(555,29))+INDIRECT(ADDRESS(553,30))-INDIRECT(ADDRESS(554,30))</f>
        <v>0</v>
      </c>
      <c r="AE555">
        <f>INDIRECT(ADDRESS(555,30))+INDIRECT(ADDRESS(553,31))-INDIRECT(ADDRESS(554,31))</f>
        <v>0</v>
      </c>
      <c r="AF555">
        <f>INDIRECT(ADDRESS(555,31))+INDIRECT(ADDRESS(553,32))-INDIRECT(ADDRESS(554,32))</f>
        <v>0</v>
      </c>
      <c r="AG555">
        <f>INDIRECT(ADDRESS(555,32))+INDIRECT(ADDRESS(553,33))-INDIRECT(ADDRESS(554,33))</f>
        <v>0</v>
      </c>
      <c r="AH555">
        <f>INDIRECT(ADDRESS(555,33))+INDIRECT(ADDRESS(553,34))-INDIRECT(ADDRESS(554,34))</f>
        <v>0</v>
      </c>
      <c r="AI555">
        <f>INDIRECT(ADDRESS(555,34))+INDIRECT(ADDRESS(553,35))-INDIRECT(ADDRESS(554,35))</f>
        <v>0</v>
      </c>
      <c r="AJ555">
        <f>INDIRECT(ADDRESS(555,35))+INDIRECT(ADDRESS(553,36))-INDIRECT(ADDRESS(554,36))</f>
        <v>0</v>
      </c>
      <c r="AK555">
        <f>INDIRECT(ADDRESS(555,36))+INDIRECT(ADDRESS(553,37))-INDIRECT(ADDRESS(554,37))</f>
        <v>0</v>
      </c>
      <c r="AL555">
        <f>INDIRECT(ADDRESS(555,37))+INDIRECT(ADDRESS(553,38))-INDIRECT(ADDRESS(554,38))</f>
        <v>0</v>
      </c>
      <c r="AM555">
        <f>INDIRECT(ADDRESS(555,38))+INDIRECT(ADDRESS(553,39))-INDIRECT(ADDRESS(554,39))</f>
        <v>0</v>
      </c>
      <c r="AN555">
        <f>INDIRECT(ADDRESS(555,39))+INDIRECT(ADDRESS(553,40))-INDIRECT(ADDRESS(554,40))</f>
        <v>0</v>
      </c>
      <c r="AO555">
        <f>SUM(INDIRECT(ADDRESS(554,8)):INDIRECT(ADDRESS(554,39)))</f>
        <v>0</v>
      </c>
    </row>
    <row r="556" spans="1:41">
      <c r="A556" t="s">
        <v>180</v>
      </c>
      <c r="B556" t="s">
        <v>388</v>
      </c>
      <c r="C556" t="s">
        <v>385</v>
      </c>
      <c r="E556">
        <v>1</v>
      </c>
      <c r="I556" t="s">
        <v>177</v>
      </c>
    </row>
    <row r="557" spans="1:41">
      <c r="I557" t="s">
        <v>178</v>
      </c>
      <c r="J557">
        <f>IFERROR(VLOOKUP("924-702000-200",B:AB,1+8,0),0)</f>
        <v>0</v>
      </c>
      <c r="K557">
        <f>IFERROR(VLOOKUP("924-702000-200",B:AB,2+8,0),0)</f>
        <v>0</v>
      </c>
      <c r="L557">
        <f>IFERROR(VLOOKUP("924-702000-200",B:AB,3+8,0),0)</f>
        <v>0</v>
      </c>
      <c r="M557">
        <f>IFERROR(VLOOKUP("924-702000-200",B:AB,4+8,0),0)</f>
        <v>0</v>
      </c>
      <c r="N557">
        <f>IFERROR(VLOOKUP("924-702000-200",B:AB,5+8,0),0)</f>
        <v>0</v>
      </c>
      <c r="O557">
        <f>IFERROR(VLOOKUP("924-702000-200",B:AB,6+8,0),0)</f>
        <v>0</v>
      </c>
      <c r="P557">
        <f>IFERROR(VLOOKUP("924-702000-200",B:AB,7+8,0),0)</f>
        <v>0</v>
      </c>
      <c r="Q557">
        <f>IFERROR(VLOOKUP("924-702000-200",B:AB,8+8,0),0)</f>
        <v>0</v>
      </c>
      <c r="R557">
        <f>IFERROR(VLOOKUP("924-702000-200",B:AB,9+8,0),0)</f>
        <v>0</v>
      </c>
      <c r="S557">
        <f>IFERROR(VLOOKUP("924-702000-200",B:AB,10+8,0),0)</f>
        <v>0</v>
      </c>
      <c r="T557">
        <f>IFERROR(VLOOKUP("924-702000-200",B:AB,11+8,0),0)</f>
        <v>0</v>
      </c>
      <c r="U557">
        <f>IFERROR(VLOOKUP("924-702000-200",B:AB,12+8,0),0)</f>
        <v>0</v>
      </c>
      <c r="V557">
        <f>IFERROR(VLOOKUP("924-702000-200",B:AB,13+8,0),0)</f>
        <v>0</v>
      </c>
      <c r="W557">
        <f>IFERROR(VLOOKUP("924-702000-200",B:AB,14+8,0),0)</f>
        <v>0</v>
      </c>
      <c r="X557">
        <f>IFERROR(VLOOKUP("924-702000-200",B:AB,15+8,0),0)</f>
        <v>0</v>
      </c>
      <c r="Y557">
        <f>IFERROR(VLOOKUP("924-702000-200",B:AB,16+8,0),0)</f>
        <v>0</v>
      </c>
      <c r="Z557">
        <f>IFERROR(VLOOKUP("924-702000-200",B:AB,17+8,0),0)</f>
        <v>0</v>
      </c>
      <c r="AA557">
        <f>IFERROR(VLOOKUP("924-702000-200",B:AB,18+8,0),0)</f>
        <v>0</v>
      </c>
      <c r="AB557">
        <f>IFERROR(VLOOKUP("924-702000-200",B:AB,19+8,0),0)</f>
        <v>0</v>
      </c>
      <c r="AC557">
        <f>IFERROR(VLOOKUP("924-702000-200",B:AB,20+8,0),0)</f>
        <v>0</v>
      </c>
      <c r="AD557">
        <f>IFERROR(VLOOKUP("924-702000-200",B:AB,21+8,0),0)</f>
        <v>0</v>
      </c>
      <c r="AE557">
        <f>IFERROR(VLOOKUP("924-702000-200",B:AB,22+8,0),0)</f>
        <v>0</v>
      </c>
      <c r="AF557">
        <f>IFERROR(VLOOKUP("924-702000-200",B:AB,23+8,0),0)</f>
        <v>0</v>
      </c>
      <c r="AG557">
        <f>IFERROR(VLOOKUP("924-702000-200",B:AB,24+8,0),0)</f>
        <v>0</v>
      </c>
      <c r="AH557">
        <f>IFERROR(VLOOKUP("924-702000-200",B:AB,25+8,0),0)</f>
        <v>0</v>
      </c>
      <c r="AI557">
        <f>IFERROR(VLOOKUP("924-702000-200",B:AB,26+8,0),0)</f>
        <v>0</v>
      </c>
      <c r="AJ557">
        <f>IFERROR(VLOOKUP("924-702000-200",B:AB,27+8,0),0)</f>
        <v>0</v>
      </c>
      <c r="AK557">
        <f>IFERROR(VLOOKUP("924-702000-200",B:AB,28+8,0),0)</f>
        <v>0</v>
      </c>
      <c r="AL557">
        <f>IFERROR(VLOOKUP("924-702000-200",B:AB,29+8,0),0)</f>
        <v>0</v>
      </c>
      <c r="AM557">
        <f>IFERROR(VLOOKUP("924-702000-200",B:AB,30+8,0),0)</f>
        <v>0</v>
      </c>
      <c r="AN557">
        <f>IFERROR(VLOOKUP("924-702000-200",B:AB,31+8,0),0)</f>
        <v>0</v>
      </c>
      <c r="AO557">
        <f>SUN(INDIRECT(ADDRESS(556,8)):INDIRECT(ADDRESS(556,39)))</f>
        <v>0</v>
      </c>
    </row>
    <row r="558" spans="1:41">
      <c r="H558" t="s">
        <v>179</v>
      </c>
      <c r="J558">
        <f>INDIRECT(ADDRESS(558,9))+INDIRECT(ADDRESS(556,10))-INDIRECT(ADDRESS(557,10))</f>
        <v>0</v>
      </c>
      <c r="K558">
        <f>INDIRECT(ADDRESS(558,10))+INDIRECT(ADDRESS(556,11))-INDIRECT(ADDRESS(557,11))</f>
        <v>0</v>
      </c>
      <c r="L558">
        <f>INDIRECT(ADDRESS(558,11))+INDIRECT(ADDRESS(556,12))-INDIRECT(ADDRESS(557,12))</f>
        <v>0</v>
      </c>
      <c r="M558">
        <f>INDIRECT(ADDRESS(558,12))+INDIRECT(ADDRESS(556,13))-INDIRECT(ADDRESS(557,13))</f>
        <v>0</v>
      </c>
      <c r="N558">
        <f>INDIRECT(ADDRESS(558,13))+INDIRECT(ADDRESS(556,14))-INDIRECT(ADDRESS(557,14))</f>
        <v>0</v>
      </c>
      <c r="O558">
        <f>INDIRECT(ADDRESS(558,14))+INDIRECT(ADDRESS(556,15))-INDIRECT(ADDRESS(557,15))</f>
        <v>0</v>
      </c>
      <c r="P558">
        <f>INDIRECT(ADDRESS(558,15))+INDIRECT(ADDRESS(556,16))-INDIRECT(ADDRESS(557,16))</f>
        <v>0</v>
      </c>
      <c r="Q558">
        <f>INDIRECT(ADDRESS(558,16))+INDIRECT(ADDRESS(556,17))-INDIRECT(ADDRESS(557,17))</f>
        <v>0</v>
      </c>
      <c r="R558">
        <f>INDIRECT(ADDRESS(558,17))+INDIRECT(ADDRESS(556,18))-INDIRECT(ADDRESS(557,18))</f>
        <v>0</v>
      </c>
      <c r="S558">
        <f>INDIRECT(ADDRESS(558,18))+INDIRECT(ADDRESS(556,19))-INDIRECT(ADDRESS(557,19))</f>
        <v>0</v>
      </c>
      <c r="T558">
        <f>INDIRECT(ADDRESS(558,19))+INDIRECT(ADDRESS(556,20))-INDIRECT(ADDRESS(557,20))</f>
        <v>0</v>
      </c>
      <c r="U558">
        <f>INDIRECT(ADDRESS(558,20))+INDIRECT(ADDRESS(556,21))-INDIRECT(ADDRESS(557,21))</f>
        <v>0</v>
      </c>
      <c r="V558">
        <f>INDIRECT(ADDRESS(558,21))+INDIRECT(ADDRESS(556,22))-INDIRECT(ADDRESS(557,22))</f>
        <v>0</v>
      </c>
      <c r="W558">
        <f>INDIRECT(ADDRESS(558,22))+INDIRECT(ADDRESS(556,23))-INDIRECT(ADDRESS(557,23))</f>
        <v>0</v>
      </c>
      <c r="X558">
        <f>INDIRECT(ADDRESS(558,23))+INDIRECT(ADDRESS(556,24))-INDIRECT(ADDRESS(557,24))</f>
        <v>0</v>
      </c>
      <c r="Y558">
        <f>INDIRECT(ADDRESS(558,24))+INDIRECT(ADDRESS(556,25))-INDIRECT(ADDRESS(557,25))</f>
        <v>0</v>
      </c>
      <c r="Z558">
        <f>INDIRECT(ADDRESS(558,25))+INDIRECT(ADDRESS(556,26))-INDIRECT(ADDRESS(557,26))</f>
        <v>0</v>
      </c>
      <c r="AA558">
        <f>INDIRECT(ADDRESS(558,26))+INDIRECT(ADDRESS(556,27))-INDIRECT(ADDRESS(557,27))</f>
        <v>0</v>
      </c>
      <c r="AB558">
        <f>INDIRECT(ADDRESS(558,27))+INDIRECT(ADDRESS(556,28))-INDIRECT(ADDRESS(557,28))</f>
        <v>0</v>
      </c>
      <c r="AC558">
        <f>INDIRECT(ADDRESS(558,28))+INDIRECT(ADDRESS(556,29))-INDIRECT(ADDRESS(557,29))</f>
        <v>0</v>
      </c>
      <c r="AD558">
        <f>INDIRECT(ADDRESS(558,29))+INDIRECT(ADDRESS(556,30))-INDIRECT(ADDRESS(557,30))</f>
        <v>0</v>
      </c>
      <c r="AE558">
        <f>INDIRECT(ADDRESS(558,30))+INDIRECT(ADDRESS(556,31))-INDIRECT(ADDRESS(557,31))</f>
        <v>0</v>
      </c>
      <c r="AF558">
        <f>INDIRECT(ADDRESS(558,31))+INDIRECT(ADDRESS(556,32))-INDIRECT(ADDRESS(557,32))</f>
        <v>0</v>
      </c>
      <c r="AG558">
        <f>INDIRECT(ADDRESS(558,32))+INDIRECT(ADDRESS(556,33))-INDIRECT(ADDRESS(557,33))</f>
        <v>0</v>
      </c>
      <c r="AH558">
        <f>INDIRECT(ADDRESS(558,33))+INDIRECT(ADDRESS(556,34))-INDIRECT(ADDRESS(557,34))</f>
        <v>0</v>
      </c>
      <c r="AI558">
        <f>INDIRECT(ADDRESS(558,34))+INDIRECT(ADDRESS(556,35))-INDIRECT(ADDRESS(557,35))</f>
        <v>0</v>
      </c>
      <c r="AJ558">
        <f>INDIRECT(ADDRESS(558,35))+INDIRECT(ADDRESS(556,36))-INDIRECT(ADDRESS(557,36))</f>
        <v>0</v>
      </c>
      <c r="AK558">
        <f>INDIRECT(ADDRESS(558,36))+INDIRECT(ADDRESS(556,37))-INDIRECT(ADDRESS(557,37))</f>
        <v>0</v>
      </c>
      <c r="AL558">
        <f>INDIRECT(ADDRESS(558,37))+INDIRECT(ADDRESS(556,38))-INDIRECT(ADDRESS(557,38))</f>
        <v>0</v>
      </c>
      <c r="AM558">
        <f>INDIRECT(ADDRESS(558,38))+INDIRECT(ADDRESS(556,39))-INDIRECT(ADDRESS(557,39))</f>
        <v>0</v>
      </c>
      <c r="AN558">
        <f>INDIRECT(ADDRESS(558,39))+INDIRECT(ADDRESS(556,40))-INDIRECT(ADDRESS(557,40))</f>
        <v>0</v>
      </c>
      <c r="AO558">
        <f>SUM(INDIRECT(ADDRESS(557,8)):INDIRECT(ADDRESS(557,39)))</f>
        <v>0</v>
      </c>
    </row>
    <row r="559" spans="1:41">
      <c r="A559" t="s">
        <v>180</v>
      </c>
      <c r="B559" t="s">
        <v>389</v>
      </c>
      <c r="C559" t="s">
        <v>390</v>
      </c>
      <c r="E559">
        <v>2</v>
      </c>
      <c r="I559" t="s">
        <v>177</v>
      </c>
    </row>
    <row r="560" spans="1:41">
      <c r="I560" t="s">
        <v>178</v>
      </c>
      <c r="J560">
        <f>IFERROR(VLOOKUP("924-702000-200",B:AB,1+8,0),0)</f>
        <v>0</v>
      </c>
      <c r="K560">
        <f>IFERROR(VLOOKUP("924-702000-200",B:AB,2+8,0),0)</f>
        <v>0</v>
      </c>
      <c r="L560">
        <f>IFERROR(VLOOKUP("924-702000-200",B:AB,3+8,0),0)</f>
        <v>0</v>
      </c>
      <c r="M560">
        <f>IFERROR(VLOOKUP("924-702000-200",B:AB,4+8,0),0)</f>
        <v>0</v>
      </c>
      <c r="N560">
        <f>IFERROR(VLOOKUP("924-702000-200",B:AB,5+8,0),0)</f>
        <v>0</v>
      </c>
      <c r="O560">
        <f>IFERROR(VLOOKUP("924-702000-200",B:AB,6+8,0),0)</f>
        <v>0</v>
      </c>
      <c r="P560">
        <f>IFERROR(VLOOKUP("924-702000-200",B:AB,7+8,0),0)</f>
        <v>0</v>
      </c>
      <c r="Q560">
        <f>IFERROR(VLOOKUP("924-702000-200",B:AB,8+8,0),0)</f>
        <v>0</v>
      </c>
      <c r="R560">
        <f>IFERROR(VLOOKUP("924-702000-200",B:AB,9+8,0),0)</f>
        <v>0</v>
      </c>
      <c r="S560">
        <f>IFERROR(VLOOKUP("924-702000-200",B:AB,10+8,0),0)</f>
        <v>0</v>
      </c>
      <c r="T560">
        <f>IFERROR(VLOOKUP("924-702000-200",B:AB,11+8,0),0)</f>
        <v>0</v>
      </c>
      <c r="U560">
        <f>IFERROR(VLOOKUP("924-702000-200",B:AB,12+8,0),0)</f>
        <v>0</v>
      </c>
      <c r="V560">
        <f>IFERROR(VLOOKUP("924-702000-200",B:AB,13+8,0),0)</f>
        <v>0</v>
      </c>
      <c r="W560">
        <f>IFERROR(VLOOKUP("924-702000-200",B:AB,14+8,0),0)</f>
        <v>0</v>
      </c>
      <c r="X560">
        <f>IFERROR(VLOOKUP("924-702000-200",B:AB,15+8,0),0)</f>
        <v>0</v>
      </c>
      <c r="Y560">
        <f>IFERROR(VLOOKUP("924-702000-200",B:AB,16+8,0),0)</f>
        <v>0</v>
      </c>
      <c r="Z560">
        <f>IFERROR(VLOOKUP("924-702000-200",B:AB,17+8,0),0)</f>
        <v>0</v>
      </c>
      <c r="AA560">
        <f>IFERROR(VLOOKUP("924-702000-200",B:AB,18+8,0),0)</f>
        <v>0</v>
      </c>
      <c r="AB560">
        <f>IFERROR(VLOOKUP("924-702000-200",B:AB,19+8,0),0)</f>
        <v>0</v>
      </c>
      <c r="AC560">
        <f>IFERROR(VLOOKUP("924-702000-200",B:AB,20+8,0),0)</f>
        <v>0</v>
      </c>
      <c r="AD560">
        <f>IFERROR(VLOOKUP("924-702000-200",B:AB,21+8,0),0)</f>
        <v>0</v>
      </c>
      <c r="AE560">
        <f>IFERROR(VLOOKUP("924-702000-200",B:AB,22+8,0),0)</f>
        <v>0</v>
      </c>
      <c r="AF560">
        <f>IFERROR(VLOOKUP("924-702000-200",B:AB,23+8,0),0)</f>
        <v>0</v>
      </c>
      <c r="AG560">
        <f>IFERROR(VLOOKUP("924-702000-200",B:AB,24+8,0),0)</f>
        <v>0</v>
      </c>
      <c r="AH560">
        <f>IFERROR(VLOOKUP("924-702000-200",B:AB,25+8,0),0)</f>
        <v>0</v>
      </c>
      <c r="AI560">
        <f>IFERROR(VLOOKUP("924-702000-200",B:AB,26+8,0),0)</f>
        <v>0</v>
      </c>
      <c r="AJ560">
        <f>IFERROR(VLOOKUP("924-702000-200",B:AB,27+8,0),0)</f>
        <v>0</v>
      </c>
      <c r="AK560">
        <f>IFERROR(VLOOKUP("924-702000-200",B:AB,28+8,0),0)</f>
        <v>0</v>
      </c>
      <c r="AL560">
        <f>IFERROR(VLOOKUP("924-702000-200",B:AB,29+8,0),0)</f>
        <v>0</v>
      </c>
      <c r="AM560">
        <f>IFERROR(VLOOKUP("924-702000-200",B:AB,30+8,0),0)</f>
        <v>0</v>
      </c>
      <c r="AN560">
        <f>IFERROR(VLOOKUP("924-702000-200",B:AB,31+8,0),0)</f>
        <v>0</v>
      </c>
      <c r="AO560">
        <f>SUN(INDIRECT(ADDRESS(559,8)):INDIRECT(ADDRESS(559,39)))</f>
        <v>0</v>
      </c>
    </row>
    <row r="561" spans="1:41">
      <c r="H561" t="s">
        <v>179</v>
      </c>
      <c r="J561">
        <f>INDIRECT(ADDRESS(561,9))+INDIRECT(ADDRESS(559,10))-INDIRECT(ADDRESS(560,10))</f>
        <v>0</v>
      </c>
      <c r="K561">
        <f>INDIRECT(ADDRESS(561,10))+INDIRECT(ADDRESS(559,11))-INDIRECT(ADDRESS(560,11))</f>
        <v>0</v>
      </c>
      <c r="L561">
        <f>INDIRECT(ADDRESS(561,11))+INDIRECT(ADDRESS(559,12))-INDIRECT(ADDRESS(560,12))</f>
        <v>0</v>
      </c>
      <c r="M561">
        <f>INDIRECT(ADDRESS(561,12))+INDIRECT(ADDRESS(559,13))-INDIRECT(ADDRESS(560,13))</f>
        <v>0</v>
      </c>
      <c r="N561">
        <f>INDIRECT(ADDRESS(561,13))+INDIRECT(ADDRESS(559,14))-INDIRECT(ADDRESS(560,14))</f>
        <v>0</v>
      </c>
      <c r="O561">
        <f>INDIRECT(ADDRESS(561,14))+INDIRECT(ADDRESS(559,15))-INDIRECT(ADDRESS(560,15))</f>
        <v>0</v>
      </c>
      <c r="P561">
        <f>INDIRECT(ADDRESS(561,15))+INDIRECT(ADDRESS(559,16))-INDIRECT(ADDRESS(560,16))</f>
        <v>0</v>
      </c>
      <c r="Q561">
        <f>INDIRECT(ADDRESS(561,16))+INDIRECT(ADDRESS(559,17))-INDIRECT(ADDRESS(560,17))</f>
        <v>0</v>
      </c>
      <c r="R561">
        <f>INDIRECT(ADDRESS(561,17))+INDIRECT(ADDRESS(559,18))-INDIRECT(ADDRESS(560,18))</f>
        <v>0</v>
      </c>
      <c r="S561">
        <f>INDIRECT(ADDRESS(561,18))+INDIRECT(ADDRESS(559,19))-INDIRECT(ADDRESS(560,19))</f>
        <v>0</v>
      </c>
      <c r="T561">
        <f>INDIRECT(ADDRESS(561,19))+INDIRECT(ADDRESS(559,20))-INDIRECT(ADDRESS(560,20))</f>
        <v>0</v>
      </c>
      <c r="U561">
        <f>INDIRECT(ADDRESS(561,20))+INDIRECT(ADDRESS(559,21))-INDIRECT(ADDRESS(560,21))</f>
        <v>0</v>
      </c>
      <c r="V561">
        <f>INDIRECT(ADDRESS(561,21))+INDIRECT(ADDRESS(559,22))-INDIRECT(ADDRESS(560,22))</f>
        <v>0</v>
      </c>
      <c r="W561">
        <f>INDIRECT(ADDRESS(561,22))+INDIRECT(ADDRESS(559,23))-INDIRECT(ADDRESS(560,23))</f>
        <v>0</v>
      </c>
      <c r="X561">
        <f>INDIRECT(ADDRESS(561,23))+INDIRECT(ADDRESS(559,24))-INDIRECT(ADDRESS(560,24))</f>
        <v>0</v>
      </c>
      <c r="Y561">
        <f>INDIRECT(ADDRESS(561,24))+INDIRECT(ADDRESS(559,25))-INDIRECT(ADDRESS(560,25))</f>
        <v>0</v>
      </c>
      <c r="Z561">
        <f>INDIRECT(ADDRESS(561,25))+INDIRECT(ADDRESS(559,26))-INDIRECT(ADDRESS(560,26))</f>
        <v>0</v>
      </c>
      <c r="AA561">
        <f>INDIRECT(ADDRESS(561,26))+INDIRECT(ADDRESS(559,27))-INDIRECT(ADDRESS(560,27))</f>
        <v>0</v>
      </c>
      <c r="AB561">
        <f>INDIRECT(ADDRESS(561,27))+INDIRECT(ADDRESS(559,28))-INDIRECT(ADDRESS(560,28))</f>
        <v>0</v>
      </c>
      <c r="AC561">
        <f>INDIRECT(ADDRESS(561,28))+INDIRECT(ADDRESS(559,29))-INDIRECT(ADDRESS(560,29))</f>
        <v>0</v>
      </c>
      <c r="AD561">
        <f>INDIRECT(ADDRESS(561,29))+INDIRECT(ADDRESS(559,30))-INDIRECT(ADDRESS(560,30))</f>
        <v>0</v>
      </c>
      <c r="AE561">
        <f>INDIRECT(ADDRESS(561,30))+INDIRECT(ADDRESS(559,31))-INDIRECT(ADDRESS(560,31))</f>
        <v>0</v>
      </c>
      <c r="AF561">
        <f>INDIRECT(ADDRESS(561,31))+INDIRECT(ADDRESS(559,32))-INDIRECT(ADDRESS(560,32))</f>
        <v>0</v>
      </c>
      <c r="AG561">
        <f>INDIRECT(ADDRESS(561,32))+INDIRECT(ADDRESS(559,33))-INDIRECT(ADDRESS(560,33))</f>
        <v>0</v>
      </c>
      <c r="AH561">
        <f>INDIRECT(ADDRESS(561,33))+INDIRECT(ADDRESS(559,34))-INDIRECT(ADDRESS(560,34))</f>
        <v>0</v>
      </c>
      <c r="AI561">
        <f>INDIRECT(ADDRESS(561,34))+INDIRECT(ADDRESS(559,35))-INDIRECT(ADDRESS(560,35))</f>
        <v>0</v>
      </c>
      <c r="AJ561">
        <f>INDIRECT(ADDRESS(561,35))+INDIRECT(ADDRESS(559,36))-INDIRECT(ADDRESS(560,36))</f>
        <v>0</v>
      </c>
      <c r="AK561">
        <f>INDIRECT(ADDRESS(561,36))+INDIRECT(ADDRESS(559,37))-INDIRECT(ADDRESS(560,37))</f>
        <v>0</v>
      </c>
      <c r="AL561">
        <f>INDIRECT(ADDRESS(561,37))+INDIRECT(ADDRESS(559,38))-INDIRECT(ADDRESS(560,38))</f>
        <v>0</v>
      </c>
      <c r="AM561">
        <f>INDIRECT(ADDRESS(561,38))+INDIRECT(ADDRESS(559,39))-INDIRECT(ADDRESS(560,39))</f>
        <v>0</v>
      </c>
      <c r="AN561">
        <f>INDIRECT(ADDRESS(561,39))+INDIRECT(ADDRESS(559,40))-INDIRECT(ADDRESS(560,40))</f>
        <v>0</v>
      </c>
      <c r="AO561">
        <f>SUM(INDIRECT(ADDRESS(560,8)):INDIRECT(ADDRESS(560,39)))</f>
        <v>0</v>
      </c>
    </row>
    <row r="562" spans="1:41">
      <c r="A562" t="s">
        <v>185</v>
      </c>
      <c r="B562" t="s">
        <v>391</v>
      </c>
      <c r="C562" t="s">
        <v>392</v>
      </c>
      <c r="E562">
        <v>8</v>
      </c>
      <c r="I562" t="s">
        <v>177</v>
      </c>
    </row>
    <row r="563" spans="1:41">
      <c r="I563" t="s">
        <v>178</v>
      </c>
      <c r="J563">
        <f>IFERROR(VLOOKUP("924-702000-200",B:AB,1+8,0),0)</f>
        <v>0</v>
      </c>
      <c r="K563">
        <f>IFERROR(VLOOKUP("924-702000-200",B:AB,2+8,0),0)</f>
        <v>0</v>
      </c>
      <c r="L563">
        <f>IFERROR(VLOOKUP("924-702000-200",B:AB,3+8,0),0)</f>
        <v>0</v>
      </c>
      <c r="M563">
        <f>IFERROR(VLOOKUP("924-702000-200",B:AB,4+8,0),0)</f>
        <v>0</v>
      </c>
      <c r="N563">
        <f>IFERROR(VLOOKUP("924-702000-200",B:AB,5+8,0),0)</f>
        <v>0</v>
      </c>
      <c r="O563">
        <f>IFERROR(VLOOKUP("924-702000-200",B:AB,6+8,0),0)</f>
        <v>0</v>
      </c>
      <c r="P563">
        <f>IFERROR(VLOOKUP("924-702000-200",B:AB,7+8,0),0)</f>
        <v>0</v>
      </c>
      <c r="Q563">
        <f>IFERROR(VLOOKUP("924-702000-200",B:AB,8+8,0),0)</f>
        <v>0</v>
      </c>
      <c r="R563">
        <f>IFERROR(VLOOKUP("924-702000-200",B:AB,9+8,0),0)</f>
        <v>0</v>
      </c>
      <c r="S563">
        <f>IFERROR(VLOOKUP("924-702000-200",B:AB,10+8,0),0)</f>
        <v>0</v>
      </c>
      <c r="T563">
        <f>IFERROR(VLOOKUP("924-702000-200",B:AB,11+8,0),0)</f>
        <v>0</v>
      </c>
      <c r="U563">
        <f>IFERROR(VLOOKUP("924-702000-200",B:AB,12+8,0),0)</f>
        <v>0</v>
      </c>
      <c r="V563">
        <f>IFERROR(VLOOKUP("924-702000-200",B:AB,13+8,0),0)</f>
        <v>0</v>
      </c>
      <c r="W563">
        <f>IFERROR(VLOOKUP("924-702000-200",B:AB,14+8,0),0)</f>
        <v>0</v>
      </c>
      <c r="X563">
        <f>IFERROR(VLOOKUP("924-702000-200",B:AB,15+8,0),0)</f>
        <v>0</v>
      </c>
      <c r="Y563">
        <f>IFERROR(VLOOKUP("924-702000-200",B:AB,16+8,0),0)</f>
        <v>0</v>
      </c>
      <c r="Z563">
        <f>IFERROR(VLOOKUP("924-702000-200",B:AB,17+8,0),0)</f>
        <v>0</v>
      </c>
      <c r="AA563">
        <f>IFERROR(VLOOKUP("924-702000-200",B:AB,18+8,0),0)</f>
        <v>0</v>
      </c>
      <c r="AB563">
        <f>IFERROR(VLOOKUP("924-702000-200",B:AB,19+8,0),0)</f>
        <v>0</v>
      </c>
      <c r="AC563">
        <f>IFERROR(VLOOKUP("924-702000-200",B:AB,20+8,0),0)</f>
        <v>0</v>
      </c>
      <c r="AD563">
        <f>IFERROR(VLOOKUP("924-702000-200",B:AB,21+8,0),0)</f>
        <v>0</v>
      </c>
      <c r="AE563">
        <f>IFERROR(VLOOKUP("924-702000-200",B:AB,22+8,0),0)</f>
        <v>0</v>
      </c>
      <c r="AF563">
        <f>IFERROR(VLOOKUP("924-702000-200",B:AB,23+8,0),0)</f>
        <v>0</v>
      </c>
      <c r="AG563">
        <f>IFERROR(VLOOKUP("924-702000-200",B:AB,24+8,0),0)</f>
        <v>0</v>
      </c>
      <c r="AH563">
        <f>IFERROR(VLOOKUP("924-702000-200",B:AB,25+8,0),0)</f>
        <v>0</v>
      </c>
      <c r="AI563">
        <f>IFERROR(VLOOKUP("924-702000-200",B:AB,26+8,0),0)</f>
        <v>0</v>
      </c>
      <c r="AJ563">
        <f>IFERROR(VLOOKUP("924-702000-200",B:AB,27+8,0),0)</f>
        <v>0</v>
      </c>
      <c r="AK563">
        <f>IFERROR(VLOOKUP("924-702000-200",B:AB,28+8,0),0)</f>
        <v>0</v>
      </c>
      <c r="AL563">
        <f>IFERROR(VLOOKUP("924-702000-200",B:AB,29+8,0),0)</f>
        <v>0</v>
      </c>
      <c r="AM563">
        <f>IFERROR(VLOOKUP("924-702000-200",B:AB,30+8,0),0)</f>
        <v>0</v>
      </c>
      <c r="AN563">
        <f>IFERROR(VLOOKUP("924-702000-200",B:AB,31+8,0),0)</f>
        <v>0</v>
      </c>
      <c r="AO563">
        <f>SUN(INDIRECT(ADDRESS(562,8)):INDIRECT(ADDRESS(562,39)))</f>
        <v>0</v>
      </c>
    </row>
    <row r="564" spans="1:41">
      <c r="H564" t="s">
        <v>179</v>
      </c>
      <c r="J564">
        <f>INDIRECT(ADDRESS(564,9))+INDIRECT(ADDRESS(562,10))-INDIRECT(ADDRESS(563,10))</f>
        <v>0</v>
      </c>
      <c r="K564">
        <f>INDIRECT(ADDRESS(564,10))+INDIRECT(ADDRESS(562,11))-INDIRECT(ADDRESS(563,11))</f>
        <v>0</v>
      </c>
      <c r="L564">
        <f>INDIRECT(ADDRESS(564,11))+INDIRECT(ADDRESS(562,12))-INDIRECT(ADDRESS(563,12))</f>
        <v>0</v>
      </c>
      <c r="M564">
        <f>INDIRECT(ADDRESS(564,12))+INDIRECT(ADDRESS(562,13))-INDIRECT(ADDRESS(563,13))</f>
        <v>0</v>
      </c>
      <c r="N564">
        <f>INDIRECT(ADDRESS(564,13))+INDIRECT(ADDRESS(562,14))-INDIRECT(ADDRESS(563,14))</f>
        <v>0</v>
      </c>
      <c r="O564">
        <f>INDIRECT(ADDRESS(564,14))+INDIRECT(ADDRESS(562,15))-INDIRECT(ADDRESS(563,15))</f>
        <v>0</v>
      </c>
      <c r="P564">
        <f>INDIRECT(ADDRESS(564,15))+INDIRECT(ADDRESS(562,16))-INDIRECT(ADDRESS(563,16))</f>
        <v>0</v>
      </c>
      <c r="Q564">
        <f>INDIRECT(ADDRESS(564,16))+INDIRECT(ADDRESS(562,17))-INDIRECT(ADDRESS(563,17))</f>
        <v>0</v>
      </c>
      <c r="R564">
        <f>INDIRECT(ADDRESS(564,17))+INDIRECT(ADDRESS(562,18))-INDIRECT(ADDRESS(563,18))</f>
        <v>0</v>
      </c>
      <c r="S564">
        <f>INDIRECT(ADDRESS(564,18))+INDIRECT(ADDRESS(562,19))-INDIRECT(ADDRESS(563,19))</f>
        <v>0</v>
      </c>
      <c r="T564">
        <f>INDIRECT(ADDRESS(564,19))+INDIRECT(ADDRESS(562,20))-INDIRECT(ADDRESS(563,20))</f>
        <v>0</v>
      </c>
      <c r="U564">
        <f>INDIRECT(ADDRESS(564,20))+INDIRECT(ADDRESS(562,21))-INDIRECT(ADDRESS(563,21))</f>
        <v>0</v>
      </c>
      <c r="V564">
        <f>INDIRECT(ADDRESS(564,21))+INDIRECT(ADDRESS(562,22))-INDIRECT(ADDRESS(563,22))</f>
        <v>0</v>
      </c>
      <c r="W564">
        <f>INDIRECT(ADDRESS(564,22))+INDIRECT(ADDRESS(562,23))-INDIRECT(ADDRESS(563,23))</f>
        <v>0</v>
      </c>
      <c r="X564">
        <f>INDIRECT(ADDRESS(564,23))+INDIRECT(ADDRESS(562,24))-INDIRECT(ADDRESS(563,24))</f>
        <v>0</v>
      </c>
      <c r="Y564">
        <f>INDIRECT(ADDRESS(564,24))+INDIRECT(ADDRESS(562,25))-INDIRECT(ADDRESS(563,25))</f>
        <v>0</v>
      </c>
      <c r="Z564">
        <f>INDIRECT(ADDRESS(564,25))+INDIRECT(ADDRESS(562,26))-INDIRECT(ADDRESS(563,26))</f>
        <v>0</v>
      </c>
      <c r="AA564">
        <f>INDIRECT(ADDRESS(564,26))+INDIRECT(ADDRESS(562,27))-INDIRECT(ADDRESS(563,27))</f>
        <v>0</v>
      </c>
      <c r="AB564">
        <f>INDIRECT(ADDRESS(564,27))+INDIRECT(ADDRESS(562,28))-INDIRECT(ADDRESS(563,28))</f>
        <v>0</v>
      </c>
      <c r="AC564">
        <f>INDIRECT(ADDRESS(564,28))+INDIRECT(ADDRESS(562,29))-INDIRECT(ADDRESS(563,29))</f>
        <v>0</v>
      </c>
      <c r="AD564">
        <f>INDIRECT(ADDRESS(564,29))+INDIRECT(ADDRESS(562,30))-INDIRECT(ADDRESS(563,30))</f>
        <v>0</v>
      </c>
      <c r="AE564">
        <f>INDIRECT(ADDRESS(564,30))+INDIRECT(ADDRESS(562,31))-INDIRECT(ADDRESS(563,31))</f>
        <v>0</v>
      </c>
      <c r="AF564">
        <f>INDIRECT(ADDRESS(564,31))+INDIRECT(ADDRESS(562,32))-INDIRECT(ADDRESS(563,32))</f>
        <v>0</v>
      </c>
      <c r="AG564">
        <f>INDIRECT(ADDRESS(564,32))+INDIRECT(ADDRESS(562,33))-INDIRECT(ADDRESS(563,33))</f>
        <v>0</v>
      </c>
      <c r="AH564">
        <f>INDIRECT(ADDRESS(564,33))+INDIRECT(ADDRESS(562,34))-INDIRECT(ADDRESS(563,34))</f>
        <v>0</v>
      </c>
      <c r="AI564">
        <f>INDIRECT(ADDRESS(564,34))+INDIRECT(ADDRESS(562,35))-INDIRECT(ADDRESS(563,35))</f>
        <v>0</v>
      </c>
      <c r="AJ564">
        <f>INDIRECT(ADDRESS(564,35))+INDIRECT(ADDRESS(562,36))-INDIRECT(ADDRESS(563,36))</f>
        <v>0</v>
      </c>
      <c r="AK564">
        <f>INDIRECT(ADDRESS(564,36))+INDIRECT(ADDRESS(562,37))-INDIRECT(ADDRESS(563,37))</f>
        <v>0</v>
      </c>
      <c r="AL564">
        <f>INDIRECT(ADDRESS(564,37))+INDIRECT(ADDRESS(562,38))-INDIRECT(ADDRESS(563,38))</f>
        <v>0</v>
      </c>
      <c r="AM564">
        <f>INDIRECT(ADDRESS(564,38))+INDIRECT(ADDRESS(562,39))-INDIRECT(ADDRESS(563,39))</f>
        <v>0</v>
      </c>
      <c r="AN564">
        <f>INDIRECT(ADDRESS(564,39))+INDIRECT(ADDRESS(562,40))-INDIRECT(ADDRESS(563,40))</f>
        <v>0</v>
      </c>
      <c r="AO564">
        <f>SUM(INDIRECT(ADDRESS(563,8)):INDIRECT(ADDRESS(563,39)))</f>
        <v>0</v>
      </c>
    </row>
    <row r="565" spans="1:41">
      <c r="A565" t="s">
        <v>185</v>
      </c>
      <c r="B565" t="s">
        <v>393</v>
      </c>
      <c r="C565" t="s">
        <v>394</v>
      </c>
      <c r="E565">
        <v>2</v>
      </c>
      <c r="I565" t="s">
        <v>177</v>
      </c>
    </row>
    <row r="566" spans="1:41">
      <c r="I566" t="s">
        <v>178</v>
      </c>
      <c r="J566">
        <f>IFERROR(VLOOKUP("924-702000-200",B:AB,1+8,0),0)</f>
        <v>0</v>
      </c>
      <c r="K566">
        <f>IFERROR(VLOOKUP("924-702000-200",B:AB,2+8,0),0)</f>
        <v>0</v>
      </c>
      <c r="L566">
        <f>IFERROR(VLOOKUP("924-702000-200",B:AB,3+8,0),0)</f>
        <v>0</v>
      </c>
      <c r="M566">
        <f>IFERROR(VLOOKUP("924-702000-200",B:AB,4+8,0),0)</f>
        <v>0</v>
      </c>
      <c r="N566">
        <f>IFERROR(VLOOKUP("924-702000-200",B:AB,5+8,0),0)</f>
        <v>0</v>
      </c>
      <c r="O566">
        <f>IFERROR(VLOOKUP("924-702000-200",B:AB,6+8,0),0)</f>
        <v>0</v>
      </c>
      <c r="P566">
        <f>IFERROR(VLOOKUP("924-702000-200",B:AB,7+8,0),0)</f>
        <v>0</v>
      </c>
      <c r="Q566">
        <f>IFERROR(VLOOKUP("924-702000-200",B:AB,8+8,0),0)</f>
        <v>0</v>
      </c>
      <c r="R566">
        <f>IFERROR(VLOOKUP("924-702000-200",B:AB,9+8,0),0)</f>
        <v>0</v>
      </c>
      <c r="S566">
        <f>IFERROR(VLOOKUP("924-702000-200",B:AB,10+8,0),0)</f>
        <v>0</v>
      </c>
      <c r="T566">
        <f>IFERROR(VLOOKUP("924-702000-200",B:AB,11+8,0),0)</f>
        <v>0</v>
      </c>
      <c r="U566">
        <f>IFERROR(VLOOKUP("924-702000-200",B:AB,12+8,0),0)</f>
        <v>0</v>
      </c>
      <c r="V566">
        <f>IFERROR(VLOOKUP("924-702000-200",B:AB,13+8,0),0)</f>
        <v>0</v>
      </c>
      <c r="W566">
        <f>IFERROR(VLOOKUP("924-702000-200",B:AB,14+8,0),0)</f>
        <v>0</v>
      </c>
      <c r="X566">
        <f>IFERROR(VLOOKUP("924-702000-200",B:AB,15+8,0),0)</f>
        <v>0</v>
      </c>
      <c r="Y566">
        <f>IFERROR(VLOOKUP("924-702000-200",B:AB,16+8,0),0)</f>
        <v>0</v>
      </c>
      <c r="Z566">
        <f>IFERROR(VLOOKUP("924-702000-200",B:AB,17+8,0),0)</f>
        <v>0</v>
      </c>
      <c r="AA566">
        <f>IFERROR(VLOOKUP("924-702000-200",B:AB,18+8,0),0)</f>
        <v>0</v>
      </c>
      <c r="AB566">
        <f>IFERROR(VLOOKUP("924-702000-200",B:AB,19+8,0),0)</f>
        <v>0</v>
      </c>
      <c r="AC566">
        <f>IFERROR(VLOOKUP("924-702000-200",B:AB,20+8,0),0)</f>
        <v>0</v>
      </c>
      <c r="AD566">
        <f>IFERROR(VLOOKUP("924-702000-200",B:AB,21+8,0),0)</f>
        <v>0</v>
      </c>
      <c r="AE566">
        <f>IFERROR(VLOOKUP("924-702000-200",B:AB,22+8,0),0)</f>
        <v>0</v>
      </c>
      <c r="AF566">
        <f>IFERROR(VLOOKUP("924-702000-200",B:AB,23+8,0),0)</f>
        <v>0</v>
      </c>
      <c r="AG566">
        <f>IFERROR(VLOOKUP("924-702000-200",B:AB,24+8,0),0)</f>
        <v>0</v>
      </c>
      <c r="AH566">
        <f>IFERROR(VLOOKUP("924-702000-200",B:AB,25+8,0),0)</f>
        <v>0</v>
      </c>
      <c r="AI566">
        <f>IFERROR(VLOOKUP("924-702000-200",B:AB,26+8,0),0)</f>
        <v>0</v>
      </c>
      <c r="AJ566">
        <f>IFERROR(VLOOKUP("924-702000-200",B:AB,27+8,0),0)</f>
        <v>0</v>
      </c>
      <c r="AK566">
        <f>IFERROR(VLOOKUP("924-702000-200",B:AB,28+8,0),0)</f>
        <v>0</v>
      </c>
      <c r="AL566">
        <f>IFERROR(VLOOKUP("924-702000-200",B:AB,29+8,0),0)</f>
        <v>0</v>
      </c>
      <c r="AM566">
        <f>IFERROR(VLOOKUP("924-702000-200",B:AB,30+8,0),0)</f>
        <v>0</v>
      </c>
      <c r="AN566">
        <f>IFERROR(VLOOKUP("924-702000-200",B:AB,31+8,0),0)</f>
        <v>0</v>
      </c>
      <c r="AO566">
        <f>SUN(INDIRECT(ADDRESS(565,8)):INDIRECT(ADDRESS(565,39)))</f>
        <v>0</v>
      </c>
    </row>
    <row r="567" spans="1:41">
      <c r="H567" t="s">
        <v>179</v>
      </c>
      <c r="J567">
        <f>INDIRECT(ADDRESS(567,9))+INDIRECT(ADDRESS(565,10))-INDIRECT(ADDRESS(566,10))</f>
        <v>0</v>
      </c>
      <c r="K567">
        <f>INDIRECT(ADDRESS(567,10))+INDIRECT(ADDRESS(565,11))-INDIRECT(ADDRESS(566,11))</f>
        <v>0</v>
      </c>
      <c r="L567">
        <f>INDIRECT(ADDRESS(567,11))+INDIRECT(ADDRESS(565,12))-INDIRECT(ADDRESS(566,12))</f>
        <v>0</v>
      </c>
      <c r="M567">
        <f>INDIRECT(ADDRESS(567,12))+INDIRECT(ADDRESS(565,13))-INDIRECT(ADDRESS(566,13))</f>
        <v>0</v>
      </c>
      <c r="N567">
        <f>INDIRECT(ADDRESS(567,13))+INDIRECT(ADDRESS(565,14))-INDIRECT(ADDRESS(566,14))</f>
        <v>0</v>
      </c>
      <c r="O567">
        <f>INDIRECT(ADDRESS(567,14))+INDIRECT(ADDRESS(565,15))-INDIRECT(ADDRESS(566,15))</f>
        <v>0</v>
      </c>
      <c r="P567">
        <f>INDIRECT(ADDRESS(567,15))+INDIRECT(ADDRESS(565,16))-INDIRECT(ADDRESS(566,16))</f>
        <v>0</v>
      </c>
      <c r="Q567">
        <f>INDIRECT(ADDRESS(567,16))+INDIRECT(ADDRESS(565,17))-INDIRECT(ADDRESS(566,17))</f>
        <v>0</v>
      </c>
      <c r="R567">
        <f>INDIRECT(ADDRESS(567,17))+INDIRECT(ADDRESS(565,18))-INDIRECT(ADDRESS(566,18))</f>
        <v>0</v>
      </c>
      <c r="S567">
        <f>INDIRECT(ADDRESS(567,18))+INDIRECT(ADDRESS(565,19))-INDIRECT(ADDRESS(566,19))</f>
        <v>0</v>
      </c>
      <c r="T567">
        <f>INDIRECT(ADDRESS(567,19))+INDIRECT(ADDRESS(565,20))-INDIRECT(ADDRESS(566,20))</f>
        <v>0</v>
      </c>
      <c r="U567">
        <f>INDIRECT(ADDRESS(567,20))+INDIRECT(ADDRESS(565,21))-INDIRECT(ADDRESS(566,21))</f>
        <v>0</v>
      </c>
      <c r="V567">
        <f>INDIRECT(ADDRESS(567,21))+INDIRECT(ADDRESS(565,22))-INDIRECT(ADDRESS(566,22))</f>
        <v>0</v>
      </c>
      <c r="W567">
        <f>INDIRECT(ADDRESS(567,22))+INDIRECT(ADDRESS(565,23))-INDIRECT(ADDRESS(566,23))</f>
        <v>0</v>
      </c>
      <c r="X567">
        <f>INDIRECT(ADDRESS(567,23))+INDIRECT(ADDRESS(565,24))-INDIRECT(ADDRESS(566,24))</f>
        <v>0</v>
      </c>
      <c r="Y567">
        <f>INDIRECT(ADDRESS(567,24))+INDIRECT(ADDRESS(565,25))-INDIRECT(ADDRESS(566,25))</f>
        <v>0</v>
      </c>
      <c r="Z567">
        <f>INDIRECT(ADDRESS(567,25))+INDIRECT(ADDRESS(565,26))-INDIRECT(ADDRESS(566,26))</f>
        <v>0</v>
      </c>
      <c r="AA567">
        <f>INDIRECT(ADDRESS(567,26))+INDIRECT(ADDRESS(565,27))-INDIRECT(ADDRESS(566,27))</f>
        <v>0</v>
      </c>
      <c r="AB567">
        <f>INDIRECT(ADDRESS(567,27))+INDIRECT(ADDRESS(565,28))-INDIRECT(ADDRESS(566,28))</f>
        <v>0</v>
      </c>
      <c r="AC567">
        <f>INDIRECT(ADDRESS(567,28))+INDIRECT(ADDRESS(565,29))-INDIRECT(ADDRESS(566,29))</f>
        <v>0</v>
      </c>
      <c r="AD567">
        <f>INDIRECT(ADDRESS(567,29))+INDIRECT(ADDRESS(565,30))-INDIRECT(ADDRESS(566,30))</f>
        <v>0</v>
      </c>
      <c r="AE567">
        <f>INDIRECT(ADDRESS(567,30))+INDIRECT(ADDRESS(565,31))-INDIRECT(ADDRESS(566,31))</f>
        <v>0</v>
      </c>
      <c r="AF567">
        <f>INDIRECT(ADDRESS(567,31))+INDIRECT(ADDRESS(565,32))-INDIRECT(ADDRESS(566,32))</f>
        <v>0</v>
      </c>
      <c r="AG567">
        <f>INDIRECT(ADDRESS(567,32))+INDIRECT(ADDRESS(565,33))-INDIRECT(ADDRESS(566,33))</f>
        <v>0</v>
      </c>
      <c r="AH567">
        <f>INDIRECT(ADDRESS(567,33))+INDIRECT(ADDRESS(565,34))-INDIRECT(ADDRESS(566,34))</f>
        <v>0</v>
      </c>
      <c r="AI567">
        <f>INDIRECT(ADDRESS(567,34))+INDIRECT(ADDRESS(565,35))-INDIRECT(ADDRESS(566,35))</f>
        <v>0</v>
      </c>
      <c r="AJ567">
        <f>INDIRECT(ADDRESS(567,35))+INDIRECT(ADDRESS(565,36))-INDIRECT(ADDRESS(566,36))</f>
        <v>0</v>
      </c>
      <c r="AK567">
        <f>INDIRECT(ADDRESS(567,36))+INDIRECT(ADDRESS(565,37))-INDIRECT(ADDRESS(566,37))</f>
        <v>0</v>
      </c>
      <c r="AL567">
        <f>INDIRECT(ADDRESS(567,37))+INDIRECT(ADDRESS(565,38))-INDIRECT(ADDRESS(566,38))</f>
        <v>0</v>
      </c>
      <c r="AM567">
        <f>INDIRECT(ADDRESS(567,38))+INDIRECT(ADDRESS(565,39))-INDIRECT(ADDRESS(566,39))</f>
        <v>0</v>
      </c>
      <c r="AN567">
        <f>INDIRECT(ADDRESS(567,39))+INDIRECT(ADDRESS(565,40))-INDIRECT(ADDRESS(566,40))</f>
        <v>0</v>
      </c>
      <c r="AO567">
        <f>SUM(INDIRECT(ADDRESS(566,8)):INDIRECT(ADDRESS(566,39)))</f>
        <v>0</v>
      </c>
    </row>
    <row r="568" spans="1:41">
      <c r="A568" t="s">
        <v>185</v>
      </c>
      <c r="B568" t="s">
        <v>330</v>
      </c>
      <c r="C568" t="s">
        <v>331</v>
      </c>
      <c r="E568">
        <v>12</v>
      </c>
      <c r="I568" t="s">
        <v>177</v>
      </c>
    </row>
    <row r="569" spans="1:41">
      <c r="I569" t="s">
        <v>178</v>
      </c>
      <c r="J569">
        <f>IFERROR(VLOOKUP("924-702000-200",B:AB,1+8,0),0)</f>
        <v>0</v>
      </c>
      <c r="K569">
        <f>IFERROR(VLOOKUP("924-702000-200",B:AB,2+8,0),0)</f>
        <v>0</v>
      </c>
      <c r="L569">
        <f>IFERROR(VLOOKUP("924-702000-200",B:AB,3+8,0),0)</f>
        <v>0</v>
      </c>
      <c r="M569">
        <f>IFERROR(VLOOKUP("924-702000-200",B:AB,4+8,0),0)</f>
        <v>0</v>
      </c>
      <c r="N569">
        <f>IFERROR(VLOOKUP("924-702000-200",B:AB,5+8,0),0)</f>
        <v>0</v>
      </c>
      <c r="O569">
        <f>IFERROR(VLOOKUP("924-702000-200",B:AB,6+8,0),0)</f>
        <v>0</v>
      </c>
      <c r="P569">
        <f>IFERROR(VLOOKUP("924-702000-200",B:AB,7+8,0),0)</f>
        <v>0</v>
      </c>
      <c r="Q569">
        <f>IFERROR(VLOOKUP("924-702000-200",B:AB,8+8,0),0)</f>
        <v>0</v>
      </c>
      <c r="R569">
        <f>IFERROR(VLOOKUP("924-702000-200",B:AB,9+8,0),0)</f>
        <v>0</v>
      </c>
      <c r="S569">
        <f>IFERROR(VLOOKUP("924-702000-200",B:AB,10+8,0),0)</f>
        <v>0</v>
      </c>
      <c r="T569">
        <f>IFERROR(VLOOKUP("924-702000-200",B:AB,11+8,0),0)</f>
        <v>0</v>
      </c>
      <c r="U569">
        <f>IFERROR(VLOOKUP("924-702000-200",B:AB,12+8,0),0)</f>
        <v>0</v>
      </c>
      <c r="V569">
        <f>IFERROR(VLOOKUP("924-702000-200",B:AB,13+8,0),0)</f>
        <v>0</v>
      </c>
      <c r="W569">
        <f>IFERROR(VLOOKUP("924-702000-200",B:AB,14+8,0),0)</f>
        <v>0</v>
      </c>
      <c r="X569">
        <f>IFERROR(VLOOKUP("924-702000-200",B:AB,15+8,0),0)</f>
        <v>0</v>
      </c>
      <c r="Y569">
        <f>IFERROR(VLOOKUP("924-702000-200",B:AB,16+8,0),0)</f>
        <v>0</v>
      </c>
      <c r="Z569">
        <f>IFERROR(VLOOKUP("924-702000-200",B:AB,17+8,0),0)</f>
        <v>0</v>
      </c>
      <c r="AA569">
        <f>IFERROR(VLOOKUP("924-702000-200",B:AB,18+8,0),0)</f>
        <v>0</v>
      </c>
      <c r="AB569">
        <f>IFERROR(VLOOKUP("924-702000-200",B:AB,19+8,0),0)</f>
        <v>0</v>
      </c>
      <c r="AC569">
        <f>IFERROR(VLOOKUP("924-702000-200",B:AB,20+8,0),0)</f>
        <v>0</v>
      </c>
      <c r="AD569">
        <f>IFERROR(VLOOKUP("924-702000-200",B:AB,21+8,0),0)</f>
        <v>0</v>
      </c>
      <c r="AE569">
        <f>IFERROR(VLOOKUP("924-702000-200",B:AB,22+8,0),0)</f>
        <v>0</v>
      </c>
      <c r="AF569">
        <f>IFERROR(VLOOKUP("924-702000-200",B:AB,23+8,0),0)</f>
        <v>0</v>
      </c>
      <c r="AG569">
        <f>IFERROR(VLOOKUP("924-702000-200",B:AB,24+8,0),0)</f>
        <v>0</v>
      </c>
      <c r="AH569">
        <f>IFERROR(VLOOKUP("924-702000-200",B:AB,25+8,0),0)</f>
        <v>0</v>
      </c>
      <c r="AI569">
        <f>IFERROR(VLOOKUP("924-702000-200",B:AB,26+8,0),0)</f>
        <v>0</v>
      </c>
      <c r="AJ569">
        <f>IFERROR(VLOOKUP("924-702000-200",B:AB,27+8,0),0)</f>
        <v>0</v>
      </c>
      <c r="AK569">
        <f>IFERROR(VLOOKUP("924-702000-200",B:AB,28+8,0),0)</f>
        <v>0</v>
      </c>
      <c r="AL569">
        <f>IFERROR(VLOOKUP("924-702000-200",B:AB,29+8,0),0)</f>
        <v>0</v>
      </c>
      <c r="AM569">
        <f>IFERROR(VLOOKUP("924-702000-200",B:AB,30+8,0),0)</f>
        <v>0</v>
      </c>
      <c r="AN569">
        <f>IFERROR(VLOOKUP("924-702000-200",B:AB,31+8,0),0)</f>
        <v>0</v>
      </c>
      <c r="AO569">
        <f>SUN(INDIRECT(ADDRESS(568,8)):INDIRECT(ADDRESS(568,39)))</f>
        <v>0</v>
      </c>
    </row>
    <row r="570" spans="1:41">
      <c r="H570" t="s">
        <v>179</v>
      </c>
      <c r="J570">
        <f>INDIRECT(ADDRESS(570,9))+INDIRECT(ADDRESS(568,10))-INDIRECT(ADDRESS(569,10))</f>
        <v>0</v>
      </c>
      <c r="K570">
        <f>INDIRECT(ADDRESS(570,10))+INDIRECT(ADDRESS(568,11))-INDIRECT(ADDRESS(569,11))</f>
        <v>0</v>
      </c>
      <c r="L570">
        <f>INDIRECT(ADDRESS(570,11))+INDIRECT(ADDRESS(568,12))-INDIRECT(ADDRESS(569,12))</f>
        <v>0</v>
      </c>
      <c r="M570">
        <f>INDIRECT(ADDRESS(570,12))+INDIRECT(ADDRESS(568,13))-INDIRECT(ADDRESS(569,13))</f>
        <v>0</v>
      </c>
      <c r="N570">
        <f>INDIRECT(ADDRESS(570,13))+INDIRECT(ADDRESS(568,14))-INDIRECT(ADDRESS(569,14))</f>
        <v>0</v>
      </c>
      <c r="O570">
        <f>INDIRECT(ADDRESS(570,14))+INDIRECT(ADDRESS(568,15))-INDIRECT(ADDRESS(569,15))</f>
        <v>0</v>
      </c>
      <c r="P570">
        <f>INDIRECT(ADDRESS(570,15))+INDIRECT(ADDRESS(568,16))-INDIRECT(ADDRESS(569,16))</f>
        <v>0</v>
      </c>
      <c r="Q570">
        <f>INDIRECT(ADDRESS(570,16))+INDIRECT(ADDRESS(568,17))-INDIRECT(ADDRESS(569,17))</f>
        <v>0</v>
      </c>
      <c r="R570">
        <f>INDIRECT(ADDRESS(570,17))+INDIRECT(ADDRESS(568,18))-INDIRECT(ADDRESS(569,18))</f>
        <v>0</v>
      </c>
      <c r="S570">
        <f>INDIRECT(ADDRESS(570,18))+INDIRECT(ADDRESS(568,19))-INDIRECT(ADDRESS(569,19))</f>
        <v>0</v>
      </c>
      <c r="T570">
        <f>INDIRECT(ADDRESS(570,19))+INDIRECT(ADDRESS(568,20))-INDIRECT(ADDRESS(569,20))</f>
        <v>0</v>
      </c>
      <c r="U570">
        <f>INDIRECT(ADDRESS(570,20))+INDIRECT(ADDRESS(568,21))-INDIRECT(ADDRESS(569,21))</f>
        <v>0</v>
      </c>
      <c r="V570">
        <f>INDIRECT(ADDRESS(570,21))+INDIRECT(ADDRESS(568,22))-INDIRECT(ADDRESS(569,22))</f>
        <v>0</v>
      </c>
      <c r="W570">
        <f>INDIRECT(ADDRESS(570,22))+INDIRECT(ADDRESS(568,23))-INDIRECT(ADDRESS(569,23))</f>
        <v>0</v>
      </c>
      <c r="X570">
        <f>INDIRECT(ADDRESS(570,23))+INDIRECT(ADDRESS(568,24))-INDIRECT(ADDRESS(569,24))</f>
        <v>0</v>
      </c>
      <c r="Y570">
        <f>INDIRECT(ADDRESS(570,24))+INDIRECT(ADDRESS(568,25))-INDIRECT(ADDRESS(569,25))</f>
        <v>0</v>
      </c>
      <c r="Z570">
        <f>INDIRECT(ADDRESS(570,25))+INDIRECT(ADDRESS(568,26))-INDIRECT(ADDRESS(569,26))</f>
        <v>0</v>
      </c>
      <c r="AA570">
        <f>INDIRECT(ADDRESS(570,26))+INDIRECT(ADDRESS(568,27))-INDIRECT(ADDRESS(569,27))</f>
        <v>0</v>
      </c>
      <c r="AB570">
        <f>INDIRECT(ADDRESS(570,27))+INDIRECT(ADDRESS(568,28))-INDIRECT(ADDRESS(569,28))</f>
        <v>0</v>
      </c>
      <c r="AC570">
        <f>INDIRECT(ADDRESS(570,28))+INDIRECT(ADDRESS(568,29))-INDIRECT(ADDRESS(569,29))</f>
        <v>0</v>
      </c>
      <c r="AD570">
        <f>INDIRECT(ADDRESS(570,29))+INDIRECT(ADDRESS(568,30))-INDIRECT(ADDRESS(569,30))</f>
        <v>0</v>
      </c>
      <c r="AE570">
        <f>INDIRECT(ADDRESS(570,30))+INDIRECT(ADDRESS(568,31))-INDIRECT(ADDRESS(569,31))</f>
        <v>0</v>
      </c>
      <c r="AF570">
        <f>INDIRECT(ADDRESS(570,31))+INDIRECT(ADDRESS(568,32))-INDIRECT(ADDRESS(569,32))</f>
        <v>0</v>
      </c>
      <c r="AG570">
        <f>INDIRECT(ADDRESS(570,32))+INDIRECT(ADDRESS(568,33))-INDIRECT(ADDRESS(569,33))</f>
        <v>0</v>
      </c>
      <c r="AH570">
        <f>INDIRECT(ADDRESS(570,33))+INDIRECT(ADDRESS(568,34))-INDIRECT(ADDRESS(569,34))</f>
        <v>0</v>
      </c>
      <c r="AI570">
        <f>INDIRECT(ADDRESS(570,34))+INDIRECT(ADDRESS(568,35))-INDIRECT(ADDRESS(569,35))</f>
        <v>0</v>
      </c>
      <c r="AJ570">
        <f>INDIRECT(ADDRESS(570,35))+INDIRECT(ADDRESS(568,36))-INDIRECT(ADDRESS(569,36))</f>
        <v>0</v>
      </c>
      <c r="AK570">
        <f>INDIRECT(ADDRESS(570,36))+INDIRECT(ADDRESS(568,37))-INDIRECT(ADDRESS(569,37))</f>
        <v>0</v>
      </c>
      <c r="AL570">
        <f>INDIRECT(ADDRESS(570,37))+INDIRECT(ADDRESS(568,38))-INDIRECT(ADDRESS(569,38))</f>
        <v>0</v>
      </c>
      <c r="AM570">
        <f>INDIRECT(ADDRESS(570,38))+INDIRECT(ADDRESS(568,39))-INDIRECT(ADDRESS(569,39))</f>
        <v>0</v>
      </c>
      <c r="AN570">
        <f>INDIRECT(ADDRESS(570,39))+INDIRECT(ADDRESS(568,40))-INDIRECT(ADDRESS(569,40))</f>
        <v>0</v>
      </c>
      <c r="AO570">
        <f>SUM(INDIRECT(ADDRESS(569,8)):INDIRECT(ADDRESS(569,39)))</f>
        <v>0</v>
      </c>
    </row>
    <row r="571" spans="1:41">
      <c r="A571" t="s">
        <v>8</v>
      </c>
      <c r="B571" t="s">
        <v>45</v>
      </c>
      <c r="C571" t="s">
        <v>46</v>
      </c>
      <c r="E571">
        <v>1</v>
      </c>
      <c r="I571" t="s">
        <v>177</v>
      </c>
    </row>
    <row r="572" spans="1:41">
      <c r="I572" t="s">
        <v>178</v>
      </c>
      <c r="J572">
        <f>IFERROR(VLOOKUP("924-011808-100",Out!B:AB,1+8,0),0)</f>
        <v>0</v>
      </c>
      <c r="K572">
        <f>IFERROR(VLOOKUP("924-011808-100",Out!B:AB,2+8,0),0)</f>
        <v>0</v>
      </c>
      <c r="L572">
        <f>IFERROR(VLOOKUP("924-011808-100",Out!B:AB,3+8,0),0)</f>
        <v>0</v>
      </c>
      <c r="M572">
        <f>IFERROR(VLOOKUP("924-011808-100",Out!B:AB,4+8,0),0)</f>
        <v>0</v>
      </c>
      <c r="N572">
        <f>IFERROR(VLOOKUP("924-011808-100",Out!B:AB,5+8,0),0)</f>
        <v>0</v>
      </c>
      <c r="O572">
        <f>IFERROR(VLOOKUP("924-011808-100",Out!B:AB,6+8,0),0)</f>
        <v>0</v>
      </c>
      <c r="P572">
        <f>IFERROR(VLOOKUP("924-011808-100",Out!B:AB,7+8,0),0)</f>
        <v>0</v>
      </c>
      <c r="Q572">
        <f>IFERROR(VLOOKUP("924-011808-100",Out!B:AB,8+8,0),0)</f>
        <v>0</v>
      </c>
      <c r="R572">
        <f>IFERROR(VLOOKUP("924-011808-100",Out!B:AB,9+8,0),0)</f>
        <v>0</v>
      </c>
      <c r="S572">
        <f>IFERROR(VLOOKUP("924-011808-100",Out!B:AB,10+8,0),0)</f>
        <v>0</v>
      </c>
      <c r="T572">
        <f>IFERROR(VLOOKUP("924-011808-100",Out!B:AB,11+8,0),0)</f>
        <v>0</v>
      </c>
      <c r="U572">
        <f>IFERROR(VLOOKUP("924-011808-100",Out!B:AB,12+8,0),0)</f>
        <v>0</v>
      </c>
      <c r="V572">
        <f>IFERROR(VLOOKUP("924-011808-100",Out!B:AB,13+8,0),0)</f>
        <v>0</v>
      </c>
      <c r="W572">
        <f>IFERROR(VLOOKUP("924-011808-100",Out!B:AB,14+8,0),0)</f>
        <v>0</v>
      </c>
      <c r="X572">
        <f>IFERROR(VLOOKUP("924-011808-100",Out!B:AB,15+8,0),0)</f>
        <v>0</v>
      </c>
      <c r="Y572">
        <f>IFERROR(VLOOKUP("924-011808-100",Out!B:AB,16+8,0),0)</f>
        <v>0</v>
      </c>
      <c r="Z572">
        <f>IFERROR(VLOOKUP("924-011808-100",Out!B:AB,17+8,0),0)</f>
        <v>0</v>
      </c>
      <c r="AA572">
        <f>IFERROR(VLOOKUP("924-011808-100",Out!B:AB,18+8,0),0)</f>
        <v>0</v>
      </c>
      <c r="AB572">
        <f>IFERROR(VLOOKUP("924-011808-100",Out!B:AB,19+8,0),0)</f>
        <v>0</v>
      </c>
      <c r="AC572">
        <f>IFERROR(VLOOKUP("924-011808-100",Out!B:AB,20+8,0),0)</f>
        <v>0</v>
      </c>
      <c r="AD572">
        <f>IFERROR(VLOOKUP("924-011808-100",Out!B:AB,21+8,0),0)</f>
        <v>0</v>
      </c>
      <c r="AE572">
        <f>IFERROR(VLOOKUP("924-011808-100",Out!B:AB,22+8,0),0)</f>
        <v>0</v>
      </c>
      <c r="AF572">
        <f>IFERROR(VLOOKUP("924-011808-100",Out!B:AB,23+8,0),0)</f>
        <v>0</v>
      </c>
      <c r="AG572">
        <f>IFERROR(VLOOKUP("924-011808-100",Out!B:AB,24+8,0),0)</f>
        <v>0</v>
      </c>
      <c r="AH572">
        <f>IFERROR(VLOOKUP("924-011808-100",Out!B:AB,25+8,0),0)</f>
        <v>0</v>
      </c>
      <c r="AI572">
        <f>IFERROR(VLOOKUP("924-011808-100",Out!B:AB,26+8,0),0)</f>
        <v>0</v>
      </c>
      <c r="AJ572">
        <f>IFERROR(VLOOKUP("924-011808-100",Out!B:AB,27+8,0),0)</f>
        <v>0</v>
      </c>
      <c r="AK572">
        <f>IFERROR(VLOOKUP("924-011808-100",Out!B:AB,28+8,0),0)</f>
        <v>0</v>
      </c>
      <c r="AL572">
        <f>IFERROR(VLOOKUP("924-011808-100",Out!B:AB,29+8,0),0)</f>
        <v>0</v>
      </c>
      <c r="AM572">
        <f>IFERROR(VLOOKUP("924-011808-100",Out!B:AB,30+8,0),0)</f>
        <v>0</v>
      </c>
      <c r="AN572">
        <f>IFERROR(VLOOKUP("924-011808-100",Out!B:AB,31+8,0),0)</f>
        <v>0</v>
      </c>
      <c r="AO572">
        <f>SUN(INDIRECT(ADDRESS(571,8)):INDIRECT(ADDRESS(571,39)))</f>
        <v>0</v>
      </c>
    </row>
    <row r="573" spans="1:41">
      <c r="H573" t="s">
        <v>179</v>
      </c>
      <c r="J573">
        <f>INDIRECT(ADDRESS(573,9))+INDIRECT(ADDRESS(571,10))-INDIRECT(ADDRESS(572,10))</f>
        <v>0</v>
      </c>
      <c r="K573">
        <f>INDIRECT(ADDRESS(573,10))+INDIRECT(ADDRESS(571,11))-INDIRECT(ADDRESS(572,11))</f>
        <v>0</v>
      </c>
      <c r="L573">
        <f>INDIRECT(ADDRESS(573,11))+INDIRECT(ADDRESS(571,12))-INDIRECT(ADDRESS(572,12))</f>
        <v>0</v>
      </c>
      <c r="M573">
        <f>INDIRECT(ADDRESS(573,12))+INDIRECT(ADDRESS(571,13))-INDIRECT(ADDRESS(572,13))</f>
        <v>0</v>
      </c>
      <c r="N573">
        <f>INDIRECT(ADDRESS(573,13))+INDIRECT(ADDRESS(571,14))-INDIRECT(ADDRESS(572,14))</f>
        <v>0</v>
      </c>
      <c r="O573">
        <f>INDIRECT(ADDRESS(573,14))+INDIRECT(ADDRESS(571,15))-INDIRECT(ADDRESS(572,15))</f>
        <v>0</v>
      </c>
      <c r="P573">
        <f>INDIRECT(ADDRESS(573,15))+INDIRECT(ADDRESS(571,16))-INDIRECT(ADDRESS(572,16))</f>
        <v>0</v>
      </c>
      <c r="Q573">
        <f>INDIRECT(ADDRESS(573,16))+INDIRECT(ADDRESS(571,17))-INDIRECT(ADDRESS(572,17))</f>
        <v>0</v>
      </c>
      <c r="R573">
        <f>INDIRECT(ADDRESS(573,17))+INDIRECT(ADDRESS(571,18))-INDIRECT(ADDRESS(572,18))</f>
        <v>0</v>
      </c>
      <c r="S573">
        <f>INDIRECT(ADDRESS(573,18))+INDIRECT(ADDRESS(571,19))-INDIRECT(ADDRESS(572,19))</f>
        <v>0</v>
      </c>
      <c r="T573">
        <f>INDIRECT(ADDRESS(573,19))+INDIRECT(ADDRESS(571,20))-INDIRECT(ADDRESS(572,20))</f>
        <v>0</v>
      </c>
      <c r="U573">
        <f>INDIRECT(ADDRESS(573,20))+INDIRECT(ADDRESS(571,21))-INDIRECT(ADDRESS(572,21))</f>
        <v>0</v>
      </c>
      <c r="V573">
        <f>INDIRECT(ADDRESS(573,21))+INDIRECT(ADDRESS(571,22))-INDIRECT(ADDRESS(572,22))</f>
        <v>0</v>
      </c>
      <c r="W573">
        <f>INDIRECT(ADDRESS(573,22))+INDIRECT(ADDRESS(571,23))-INDIRECT(ADDRESS(572,23))</f>
        <v>0</v>
      </c>
      <c r="X573">
        <f>INDIRECT(ADDRESS(573,23))+INDIRECT(ADDRESS(571,24))-INDIRECT(ADDRESS(572,24))</f>
        <v>0</v>
      </c>
      <c r="Y573">
        <f>INDIRECT(ADDRESS(573,24))+INDIRECT(ADDRESS(571,25))-INDIRECT(ADDRESS(572,25))</f>
        <v>0</v>
      </c>
      <c r="Z573">
        <f>INDIRECT(ADDRESS(573,25))+INDIRECT(ADDRESS(571,26))-INDIRECT(ADDRESS(572,26))</f>
        <v>0</v>
      </c>
      <c r="AA573">
        <f>INDIRECT(ADDRESS(573,26))+INDIRECT(ADDRESS(571,27))-INDIRECT(ADDRESS(572,27))</f>
        <v>0</v>
      </c>
      <c r="AB573">
        <f>INDIRECT(ADDRESS(573,27))+INDIRECT(ADDRESS(571,28))-INDIRECT(ADDRESS(572,28))</f>
        <v>0</v>
      </c>
      <c r="AC573">
        <f>INDIRECT(ADDRESS(573,28))+INDIRECT(ADDRESS(571,29))-INDIRECT(ADDRESS(572,29))</f>
        <v>0</v>
      </c>
      <c r="AD573">
        <f>INDIRECT(ADDRESS(573,29))+INDIRECT(ADDRESS(571,30))-INDIRECT(ADDRESS(572,30))</f>
        <v>0</v>
      </c>
      <c r="AE573">
        <f>INDIRECT(ADDRESS(573,30))+INDIRECT(ADDRESS(571,31))-INDIRECT(ADDRESS(572,31))</f>
        <v>0</v>
      </c>
      <c r="AF573">
        <f>INDIRECT(ADDRESS(573,31))+INDIRECT(ADDRESS(571,32))-INDIRECT(ADDRESS(572,32))</f>
        <v>0</v>
      </c>
      <c r="AG573">
        <f>INDIRECT(ADDRESS(573,32))+INDIRECT(ADDRESS(571,33))-INDIRECT(ADDRESS(572,33))</f>
        <v>0</v>
      </c>
      <c r="AH573">
        <f>INDIRECT(ADDRESS(573,33))+INDIRECT(ADDRESS(571,34))-INDIRECT(ADDRESS(572,34))</f>
        <v>0</v>
      </c>
      <c r="AI573">
        <f>INDIRECT(ADDRESS(573,34))+INDIRECT(ADDRESS(571,35))-INDIRECT(ADDRESS(572,35))</f>
        <v>0</v>
      </c>
      <c r="AJ573">
        <f>INDIRECT(ADDRESS(573,35))+INDIRECT(ADDRESS(571,36))-INDIRECT(ADDRESS(572,36))</f>
        <v>0</v>
      </c>
      <c r="AK573">
        <f>INDIRECT(ADDRESS(573,36))+INDIRECT(ADDRESS(571,37))-INDIRECT(ADDRESS(572,37))</f>
        <v>0</v>
      </c>
      <c r="AL573">
        <f>INDIRECT(ADDRESS(573,37))+INDIRECT(ADDRESS(571,38))-INDIRECT(ADDRESS(572,38))</f>
        <v>0</v>
      </c>
      <c r="AM573">
        <f>INDIRECT(ADDRESS(573,38))+INDIRECT(ADDRESS(571,39))-INDIRECT(ADDRESS(572,39))</f>
        <v>0</v>
      </c>
      <c r="AN573">
        <f>INDIRECT(ADDRESS(573,39))+INDIRECT(ADDRESS(571,40))-INDIRECT(ADDRESS(572,40))</f>
        <v>0</v>
      </c>
      <c r="AO573">
        <f>SUM(INDIRECT(ADDRESS(572,8)):INDIRECT(ADDRESS(572,39)))</f>
        <v>0</v>
      </c>
    </row>
    <row r="574" spans="1:41">
      <c r="A574" t="s">
        <v>185</v>
      </c>
      <c r="B574" t="s">
        <v>395</v>
      </c>
      <c r="C574" t="s">
        <v>396</v>
      </c>
      <c r="E574">
        <v>1</v>
      </c>
      <c r="I574" t="s">
        <v>177</v>
      </c>
    </row>
    <row r="575" spans="1:41">
      <c r="I575" t="s">
        <v>178</v>
      </c>
      <c r="J575">
        <f>IFERROR(VLOOKUP("924-011808-100",B:AB,1+8,0),0)</f>
        <v>0</v>
      </c>
      <c r="K575">
        <f>IFERROR(VLOOKUP("924-011808-100",B:AB,2+8,0),0)</f>
        <v>0</v>
      </c>
      <c r="L575">
        <f>IFERROR(VLOOKUP("924-011808-100",B:AB,3+8,0),0)</f>
        <v>0</v>
      </c>
      <c r="M575">
        <f>IFERROR(VLOOKUP("924-011808-100",B:AB,4+8,0),0)</f>
        <v>0</v>
      </c>
      <c r="N575">
        <f>IFERROR(VLOOKUP("924-011808-100",B:AB,5+8,0),0)</f>
        <v>0</v>
      </c>
      <c r="O575">
        <f>IFERROR(VLOOKUP("924-011808-100",B:AB,6+8,0),0)</f>
        <v>0</v>
      </c>
      <c r="P575">
        <f>IFERROR(VLOOKUP("924-011808-100",B:AB,7+8,0),0)</f>
        <v>0</v>
      </c>
      <c r="Q575">
        <f>IFERROR(VLOOKUP("924-011808-100",B:AB,8+8,0),0)</f>
        <v>0</v>
      </c>
      <c r="R575">
        <f>IFERROR(VLOOKUP("924-011808-100",B:AB,9+8,0),0)</f>
        <v>0</v>
      </c>
      <c r="S575">
        <f>IFERROR(VLOOKUP("924-011808-100",B:AB,10+8,0),0)</f>
        <v>0</v>
      </c>
      <c r="T575">
        <f>IFERROR(VLOOKUP("924-011808-100",B:AB,11+8,0),0)</f>
        <v>0</v>
      </c>
      <c r="U575">
        <f>IFERROR(VLOOKUP("924-011808-100",B:AB,12+8,0),0)</f>
        <v>0</v>
      </c>
      <c r="V575">
        <f>IFERROR(VLOOKUP("924-011808-100",B:AB,13+8,0),0)</f>
        <v>0</v>
      </c>
      <c r="W575">
        <f>IFERROR(VLOOKUP("924-011808-100",B:AB,14+8,0),0)</f>
        <v>0</v>
      </c>
      <c r="X575">
        <f>IFERROR(VLOOKUP("924-011808-100",B:AB,15+8,0),0)</f>
        <v>0</v>
      </c>
      <c r="Y575">
        <f>IFERROR(VLOOKUP("924-011808-100",B:AB,16+8,0),0)</f>
        <v>0</v>
      </c>
      <c r="Z575">
        <f>IFERROR(VLOOKUP("924-011808-100",B:AB,17+8,0),0)</f>
        <v>0</v>
      </c>
      <c r="AA575">
        <f>IFERROR(VLOOKUP("924-011808-100",B:AB,18+8,0),0)</f>
        <v>0</v>
      </c>
      <c r="AB575">
        <f>IFERROR(VLOOKUP("924-011808-100",B:AB,19+8,0),0)</f>
        <v>0</v>
      </c>
      <c r="AC575">
        <f>IFERROR(VLOOKUP("924-011808-100",B:AB,20+8,0),0)</f>
        <v>0</v>
      </c>
      <c r="AD575">
        <f>IFERROR(VLOOKUP("924-011808-100",B:AB,21+8,0),0)</f>
        <v>0</v>
      </c>
      <c r="AE575">
        <f>IFERROR(VLOOKUP("924-011808-100",B:AB,22+8,0),0)</f>
        <v>0</v>
      </c>
      <c r="AF575">
        <f>IFERROR(VLOOKUP("924-011808-100",B:AB,23+8,0),0)</f>
        <v>0</v>
      </c>
      <c r="AG575">
        <f>IFERROR(VLOOKUP("924-011808-100",B:AB,24+8,0),0)</f>
        <v>0</v>
      </c>
      <c r="AH575">
        <f>IFERROR(VLOOKUP("924-011808-100",B:AB,25+8,0),0)</f>
        <v>0</v>
      </c>
      <c r="AI575">
        <f>IFERROR(VLOOKUP("924-011808-100",B:AB,26+8,0),0)</f>
        <v>0</v>
      </c>
      <c r="AJ575">
        <f>IFERROR(VLOOKUP("924-011808-100",B:AB,27+8,0),0)</f>
        <v>0</v>
      </c>
      <c r="AK575">
        <f>IFERROR(VLOOKUP("924-011808-100",B:AB,28+8,0),0)</f>
        <v>0</v>
      </c>
      <c r="AL575">
        <f>IFERROR(VLOOKUP("924-011808-100",B:AB,29+8,0),0)</f>
        <v>0</v>
      </c>
      <c r="AM575">
        <f>IFERROR(VLOOKUP("924-011808-100",B:AB,30+8,0),0)</f>
        <v>0</v>
      </c>
      <c r="AN575">
        <f>IFERROR(VLOOKUP("924-011808-100",B:AB,31+8,0),0)</f>
        <v>0</v>
      </c>
      <c r="AO575">
        <f>SUN(INDIRECT(ADDRESS(574,8)):INDIRECT(ADDRESS(574,39)))</f>
        <v>0</v>
      </c>
    </row>
    <row r="576" spans="1:41">
      <c r="H576" t="s">
        <v>179</v>
      </c>
      <c r="J576">
        <f>INDIRECT(ADDRESS(576,9))+INDIRECT(ADDRESS(574,10))-INDIRECT(ADDRESS(575,10))</f>
        <v>0</v>
      </c>
      <c r="K576">
        <f>INDIRECT(ADDRESS(576,10))+INDIRECT(ADDRESS(574,11))-INDIRECT(ADDRESS(575,11))</f>
        <v>0</v>
      </c>
      <c r="L576">
        <f>INDIRECT(ADDRESS(576,11))+INDIRECT(ADDRESS(574,12))-INDIRECT(ADDRESS(575,12))</f>
        <v>0</v>
      </c>
      <c r="M576">
        <f>INDIRECT(ADDRESS(576,12))+INDIRECT(ADDRESS(574,13))-INDIRECT(ADDRESS(575,13))</f>
        <v>0</v>
      </c>
      <c r="N576">
        <f>INDIRECT(ADDRESS(576,13))+INDIRECT(ADDRESS(574,14))-INDIRECT(ADDRESS(575,14))</f>
        <v>0</v>
      </c>
      <c r="O576">
        <f>INDIRECT(ADDRESS(576,14))+INDIRECT(ADDRESS(574,15))-INDIRECT(ADDRESS(575,15))</f>
        <v>0</v>
      </c>
      <c r="P576">
        <f>INDIRECT(ADDRESS(576,15))+INDIRECT(ADDRESS(574,16))-INDIRECT(ADDRESS(575,16))</f>
        <v>0</v>
      </c>
      <c r="Q576">
        <f>INDIRECT(ADDRESS(576,16))+INDIRECT(ADDRESS(574,17))-INDIRECT(ADDRESS(575,17))</f>
        <v>0</v>
      </c>
      <c r="R576">
        <f>INDIRECT(ADDRESS(576,17))+INDIRECT(ADDRESS(574,18))-INDIRECT(ADDRESS(575,18))</f>
        <v>0</v>
      </c>
      <c r="S576">
        <f>INDIRECT(ADDRESS(576,18))+INDIRECT(ADDRESS(574,19))-INDIRECT(ADDRESS(575,19))</f>
        <v>0</v>
      </c>
      <c r="T576">
        <f>INDIRECT(ADDRESS(576,19))+INDIRECT(ADDRESS(574,20))-INDIRECT(ADDRESS(575,20))</f>
        <v>0</v>
      </c>
      <c r="U576">
        <f>INDIRECT(ADDRESS(576,20))+INDIRECT(ADDRESS(574,21))-INDIRECT(ADDRESS(575,21))</f>
        <v>0</v>
      </c>
      <c r="V576">
        <f>INDIRECT(ADDRESS(576,21))+INDIRECT(ADDRESS(574,22))-INDIRECT(ADDRESS(575,22))</f>
        <v>0</v>
      </c>
      <c r="W576">
        <f>INDIRECT(ADDRESS(576,22))+INDIRECT(ADDRESS(574,23))-INDIRECT(ADDRESS(575,23))</f>
        <v>0</v>
      </c>
      <c r="X576">
        <f>INDIRECT(ADDRESS(576,23))+INDIRECT(ADDRESS(574,24))-INDIRECT(ADDRESS(575,24))</f>
        <v>0</v>
      </c>
      <c r="Y576">
        <f>INDIRECT(ADDRESS(576,24))+INDIRECT(ADDRESS(574,25))-INDIRECT(ADDRESS(575,25))</f>
        <v>0</v>
      </c>
      <c r="Z576">
        <f>INDIRECT(ADDRESS(576,25))+INDIRECT(ADDRESS(574,26))-INDIRECT(ADDRESS(575,26))</f>
        <v>0</v>
      </c>
      <c r="AA576">
        <f>INDIRECT(ADDRESS(576,26))+INDIRECT(ADDRESS(574,27))-INDIRECT(ADDRESS(575,27))</f>
        <v>0</v>
      </c>
      <c r="AB576">
        <f>INDIRECT(ADDRESS(576,27))+INDIRECT(ADDRESS(574,28))-INDIRECT(ADDRESS(575,28))</f>
        <v>0</v>
      </c>
      <c r="AC576">
        <f>INDIRECT(ADDRESS(576,28))+INDIRECT(ADDRESS(574,29))-INDIRECT(ADDRESS(575,29))</f>
        <v>0</v>
      </c>
      <c r="AD576">
        <f>INDIRECT(ADDRESS(576,29))+INDIRECT(ADDRESS(574,30))-INDIRECT(ADDRESS(575,30))</f>
        <v>0</v>
      </c>
      <c r="AE576">
        <f>INDIRECT(ADDRESS(576,30))+INDIRECT(ADDRESS(574,31))-INDIRECT(ADDRESS(575,31))</f>
        <v>0</v>
      </c>
      <c r="AF576">
        <f>INDIRECT(ADDRESS(576,31))+INDIRECT(ADDRESS(574,32))-INDIRECT(ADDRESS(575,32))</f>
        <v>0</v>
      </c>
      <c r="AG576">
        <f>INDIRECT(ADDRESS(576,32))+INDIRECT(ADDRESS(574,33))-INDIRECT(ADDRESS(575,33))</f>
        <v>0</v>
      </c>
      <c r="AH576">
        <f>INDIRECT(ADDRESS(576,33))+INDIRECT(ADDRESS(574,34))-INDIRECT(ADDRESS(575,34))</f>
        <v>0</v>
      </c>
      <c r="AI576">
        <f>INDIRECT(ADDRESS(576,34))+INDIRECT(ADDRESS(574,35))-INDIRECT(ADDRESS(575,35))</f>
        <v>0</v>
      </c>
      <c r="AJ576">
        <f>INDIRECT(ADDRESS(576,35))+INDIRECT(ADDRESS(574,36))-INDIRECT(ADDRESS(575,36))</f>
        <v>0</v>
      </c>
      <c r="AK576">
        <f>INDIRECT(ADDRESS(576,36))+INDIRECT(ADDRESS(574,37))-INDIRECT(ADDRESS(575,37))</f>
        <v>0</v>
      </c>
      <c r="AL576">
        <f>INDIRECT(ADDRESS(576,37))+INDIRECT(ADDRESS(574,38))-INDIRECT(ADDRESS(575,38))</f>
        <v>0</v>
      </c>
      <c r="AM576">
        <f>INDIRECT(ADDRESS(576,38))+INDIRECT(ADDRESS(574,39))-INDIRECT(ADDRESS(575,39))</f>
        <v>0</v>
      </c>
      <c r="AN576">
        <f>INDIRECT(ADDRESS(576,39))+INDIRECT(ADDRESS(574,40))-INDIRECT(ADDRESS(575,40))</f>
        <v>0</v>
      </c>
      <c r="AO576">
        <f>SUM(INDIRECT(ADDRESS(575,8)):INDIRECT(ADDRESS(575,39)))</f>
        <v>0</v>
      </c>
    </row>
    <row r="577" spans="1:41">
      <c r="A577" t="s">
        <v>185</v>
      </c>
      <c r="B577" t="s">
        <v>397</v>
      </c>
      <c r="C577" t="s">
        <v>398</v>
      </c>
      <c r="E577">
        <v>1</v>
      </c>
      <c r="I577" t="s">
        <v>177</v>
      </c>
    </row>
    <row r="578" spans="1:41">
      <c r="I578" t="s">
        <v>178</v>
      </c>
      <c r="J578">
        <f>IFERROR(VLOOKUP("924-011808-100",B:AB,1+8,0),0)</f>
        <v>0</v>
      </c>
      <c r="K578">
        <f>IFERROR(VLOOKUP("924-011808-100",B:AB,2+8,0),0)</f>
        <v>0</v>
      </c>
      <c r="L578">
        <f>IFERROR(VLOOKUP("924-011808-100",B:AB,3+8,0),0)</f>
        <v>0</v>
      </c>
      <c r="M578">
        <f>IFERROR(VLOOKUP("924-011808-100",B:AB,4+8,0),0)</f>
        <v>0</v>
      </c>
      <c r="N578">
        <f>IFERROR(VLOOKUP("924-011808-100",B:AB,5+8,0),0)</f>
        <v>0</v>
      </c>
      <c r="O578">
        <f>IFERROR(VLOOKUP("924-011808-100",B:AB,6+8,0),0)</f>
        <v>0</v>
      </c>
      <c r="P578">
        <f>IFERROR(VLOOKUP("924-011808-100",B:AB,7+8,0),0)</f>
        <v>0</v>
      </c>
      <c r="Q578">
        <f>IFERROR(VLOOKUP("924-011808-100",B:AB,8+8,0),0)</f>
        <v>0</v>
      </c>
      <c r="R578">
        <f>IFERROR(VLOOKUP("924-011808-100",B:AB,9+8,0),0)</f>
        <v>0</v>
      </c>
      <c r="S578">
        <f>IFERROR(VLOOKUP("924-011808-100",B:AB,10+8,0),0)</f>
        <v>0</v>
      </c>
      <c r="T578">
        <f>IFERROR(VLOOKUP("924-011808-100",B:AB,11+8,0),0)</f>
        <v>0</v>
      </c>
      <c r="U578">
        <f>IFERROR(VLOOKUP("924-011808-100",B:AB,12+8,0),0)</f>
        <v>0</v>
      </c>
      <c r="V578">
        <f>IFERROR(VLOOKUP("924-011808-100",B:AB,13+8,0),0)</f>
        <v>0</v>
      </c>
      <c r="W578">
        <f>IFERROR(VLOOKUP("924-011808-100",B:AB,14+8,0),0)</f>
        <v>0</v>
      </c>
      <c r="X578">
        <f>IFERROR(VLOOKUP("924-011808-100",B:AB,15+8,0),0)</f>
        <v>0</v>
      </c>
      <c r="Y578">
        <f>IFERROR(VLOOKUP("924-011808-100",B:AB,16+8,0),0)</f>
        <v>0</v>
      </c>
      <c r="Z578">
        <f>IFERROR(VLOOKUP("924-011808-100",B:AB,17+8,0),0)</f>
        <v>0</v>
      </c>
      <c r="AA578">
        <f>IFERROR(VLOOKUP("924-011808-100",B:AB,18+8,0),0)</f>
        <v>0</v>
      </c>
      <c r="AB578">
        <f>IFERROR(VLOOKUP("924-011808-100",B:AB,19+8,0),0)</f>
        <v>0</v>
      </c>
      <c r="AC578">
        <f>IFERROR(VLOOKUP("924-011808-100",B:AB,20+8,0),0)</f>
        <v>0</v>
      </c>
      <c r="AD578">
        <f>IFERROR(VLOOKUP("924-011808-100",B:AB,21+8,0),0)</f>
        <v>0</v>
      </c>
      <c r="AE578">
        <f>IFERROR(VLOOKUP("924-011808-100",B:AB,22+8,0),0)</f>
        <v>0</v>
      </c>
      <c r="AF578">
        <f>IFERROR(VLOOKUP("924-011808-100",B:AB,23+8,0),0)</f>
        <v>0</v>
      </c>
      <c r="AG578">
        <f>IFERROR(VLOOKUP("924-011808-100",B:AB,24+8,0),0)</f>
        <v>0</v>
      </c>
      <c r="AH578">
        <f>IFERROR(VLOOKUP("924-011808-100",B:AB,25+8,0),0)</f>
        <v>0</v>
      </c>
      <c r="AI578">
        <f>IFERROR(VLOOKUP("924-011808-100",B:AB,26+8,0),0)</f>
        <v>0</v>
      </c>
      <c r="AJ578">
        <f>IFERROR(VLOOKUP("924-011808-100",B:AB,27+8,0),0)</f>
        <v>0</v>
      </c>
      <c r="AK578">
        <f>IFERROR(VLOOKUP("924-011808-100",B:AB,28+8,0),0)</f>
        <v>0</v>
      </c>
      <c r="AL578">
        <f>IFERROR(VLOOKUP("924-011808-100",B:AB,29+8,0),0)</f>
        <v>0</v>
      </c>
      <c r="AM578">
        <f>IFERROR(VLOOKUP("924-011808-100",B:AB,30+8,0),0)</f>
        <v>0</v>
      </c>
      <c r="AN578">
        <f>IFERROR(VLOOKUP("924-011808-100",B:AB,31+8,0),0)</f>
        <v>0</v>
      </c>
      <c r="AO578">
        <f>SUN(INDIRECT(ADDRESS(577,8)):INDIRECT(ADDRESS(577,39)))</f>
        <v>0</v>
      </c>
    </row>
    <row r="579" spans="1:41">
      <c r="H579" t="s">
        <v>179</v>
      </c>
      <c r="J579">
        <f>INDIRECT(ADDRESS(579,9))+INDIRECT(ADDRESS(577,10))-INDIRECT(ADDRESS(578,10))</f>
        <v>0</v>
      </c>
      <c r="K579">
        <f>INDIRECT(ADDRESS(579,10))+INDIRECT(ADDRESS(577,11))-INDIRECT(ADDRESS(578,11))</f>
        <v>0</v>
      </c>
      <c r="L579">
        <f>INDIRECT(ADDRESS(579,11))+INDIRECT(ADDRESS(577,12))-INDIRECT(ADDRESS(578,12))</f>
        <v>0</v>
      </c>
      <c r="M579">
        <f>INDIRECT(ADDRESS(579,12))+INDIRECT(ADDRESS(577,13))-INDIRECT(ADDRESS(578,13))</f>
        <v>0</v>
      </c>
      <c r="N579">
        <f>INDIRECT(ADDRESS(579,13))+INDIRECT(ADDRESS(577,14))-INDIRECT(ADDRESS(578,14))</f>
        <v>0</v>
      </c>
      <c r="O579">
        <f>INDIRECT(ADDRESS(579,14))+INDIRECT(ADDRESS(577,15))-INDIRECT(ADDRESS(578,15))</f>
        <v>0</v>
      </c>
      <c r="P579">
        <f>INDIRECT(ADDRESS(579,15))+INDIRECT(ADDRESS(577,16))-INDIRECT(ADDRESS(578,16))</f>
        <v>0</v>
      </c>
      <c r="Q579">
        <f>INDIRECT(ADDRESS(579,16))+INDIRECT(ADDRESS(577,17))-INDIRECT(ADDRESS(578,17))</f>
        <v>0</v>
      </c>
      <c r="R579">
        <f>INDIRECT(ADDRESS(579,17))+INDIRECT(ADDRESS(577,18))-INDIRECT(ADDRESS(578,18))</f>
        <v>0</v>
      </c>
      <c r="S579">
        <f>INDIRECT(ADDRESS(579,18))+INDIRECT(ADDRESS(577,19))-INDIRECT(ADDRESS(578,19))</f>
        <v>0</v>
      </c>
      <c r="T579">
        <f>INDIRECT(ADDRESS(579,19))+INDIRECT(ADDRESS(577,20))-INDIRECT(ADDRESS(578,20))</f>
        <v>0</v>
      </c>
      <c r="U579">
        <f>INDIRECT(ADDRESS(579,20))+INDIRECT(ADDRESS(577,21))-INDIRECT(ADDRESS(578,21))</f>
        <v>0</v>
      </c>
      <c r="V579">
        <f>INDIRECT(ADDRESS(579,21))+INDIRECT(ADDRESS(577,22))-INDIRECT(ADDRESS(578,22))</f>
        <v>0</v>
      </c>
      <c r="W579">
        <f>INDIRECT(ADDRESS(579,22))+INDIRECT(ADDRESS(577,23))-INDIRECT(ADDRESS(578,23))</f>
        <v>0</v>
      </c>
      <c r="X579">
        <f>INDIRECT(ADDRESS(579,23))+INDIRECT(ADDRESS(577,24))-INDIRECT(ADDRESS(578,24))</f>
        <v>0</v>
      </c>
      <c r="Y579">
        <f>INDIRECT(ADDRESS(579,24))+INDIRECT(ADDRESS(577,25))-INDIRECT(ADDRESS(578,25))</f>
        <v>0</v>
      </c>
      <c r="Z579">
        <f>INDIRECT(ADDRESS(579,25))+INDIRECT(ADDRESS(577,26))-INDIRECT(ADDRESS(578,26))</f>
        <v>0</v>
      </c>
      <c r="AA579">
        <f>INDIRECT(ADDRESS(579,26))+INDIRECT(ADDRESS(577,27))-INDIRECT(ADDRESS(578,27))</f>
        <v>0</v>
      </c>
      <c r="AB579">
        <f>INDIRECT(ADDRESS(579,27))+INDIRECT(ADDRESS(577,28))-INDIRECT(ADDRESS(578,28))</f>
        <v>0</v>
      </c>
      <c r="AC579">
        <f>INDIRECT(ADDRESS(579,28))+INDIRECT(ADDRESS(577,29))-INDIRECT(ADDRESS(578,29))</f>
        <v>0</v>
      </c>
      <c r="AD579">
        <f>INDIRECT(ADDRESS(579,29))+INDIRECT(ADDRESS(577,30))-INDIRECT(ADDRESS(578,30))</f>
        <v>0</v>
      </c>
      <c r="AE579">
        <f>INDIRECT(ADDRESS(579,30))+INDIRECT(ADDRESS(577,31))-INDIRECT(ADDRESS(578,31))</f>
        <v>0</v>
      </c>
      <c r="AF579">
        <f>INDIRECT(ADDRESS(579,31))+INDIRECT(ADDRESS(577,32))-INDIRECT(ADDRESS(578,32))</f>
        <v>0</v>
      </c>
      <c r="AG579">
        <f>INDIRECT(ADDRESS(579,32))+INDIRECT(ADDRESS(577,33))-INDIRECT(ADDRESS(578,33))</f>
        <v>0</v>
      </c>
      <c r="AH579">
        <f>INDIRECT(ADDRESS(579,33))+INDIRECT(ADDRESS(577,34))-INDIRECT(ADDRESS(578,34))</f>
        <v>0</v>
      </c>
      <c r="AI579">
        <f>INDIRECT(ADDRESS(579,34))+INDIRECT(ADDRESS(577,35))-INDIRECT(ADDRESS(578,35))</f>
        <v>0</v>
      </c>
      <c r="AJ579">
        <f>INDIRECT(ADDRESS(579,35))+INDIRECT(ADDRESS(577,36))-INDIRECT(ADDRESS(578,36))</f>
        <v>0</v>
      </c>
      <c r="AK579">
        <f>INDIRECT(ADDRESS(579,36))+INDIRECT(ADDRESS(577,37))-INDIRECT(ADDRESS(578,37))</f>
        <v>0</v>
      </c>
      <c r="AL579">
        <f>INDIRECT(ADDRESS(579,37))+INDIRECT(ADDRESS(577,38))-INDIRECT(ADDRESS(578,38))</f>
        <v>0</v>
      </c>
      <c r="AM579">
        <f>INDIRECT(ADDRESS(579,38))+INDIRECT(ADDRESS(577,39))-INDIRECT(ADDRESS(578,39))</f>
        <v>0</v>
      </c>
      <c r="AN579">
        <f>INDIRECT(ADDRESS(579,39))+INDIRECT(ADDRESS(577,40))-INDIRECT(ADDRESS(578,40))</f>
        <v>0</v>
      </c>
      <c r="AO579">
        <f>SUM(INDIRECT(ADDRESS(578,8)):INDIRECT(ADDRESS(578,39)))</f>
        <v>0</v>
      </c>
    </row>
    <row r="580" spans="1:41">
      <c r="A580" t="s">
        <v>185</v>
      </c>
      <c r="B580" t="s">
        <v>399</v>
      </c>
      <c r="C580" t="s">
        <v>400</v>
      </c>
      <c r="E580">
        <v>1</v>
      </c>
      <c r="I580" t="s">
        <v>177</v>
      </c>
    </row>
    <row r="581" spans="1:41">
      <c r="I581" t="s">
        <v>178</v>
      </c>
      <c r="J581">
        <f>IFERROR(VLOOKUP("924-011808-100",B:AB,1+8,0),0)</f>
        <v>0</v>
      </c>
      <c r="K581">
        <f>IFERROR(VLOOKUP("924-011808-100",B:AB,2+8,0),0)</f>
        <v>0</v>
      </c>
      <c r="L581">
        <f>IFERROR(VLOOKUP("924-011808-100",B:AB,3+8,0),0)</f>
        <v>0</v>
      </c>
      <c r="M581">
        <f>IFERROR(VLOOKUP("924-011808-100",B:AB,4+8,0),0)</f>
        <v>0</v>
      </c>
      <c r="N581">
        <f>IFERROR(VLOOKUP("924-011808-100",B:AB,5+8,0),0)</f>
        <v>0</v>
      </c>
      <c r="O581">
        <f>IFERROR(VLOOKUP("924-011808-100",B:AB,6+8,0),0)</f>
        <v>0</v>
      </c>
      <c r="P581">
        <f>IFERROR(VLOOKUP("924-011808-100",B:AB,7+8,0),0)</f>
        <v>0</v>
      </c>
      <c r="Q581">
        <f>IFERROR(VLOOKUP("924-011808-100",B:AB,8+8,0),0)</f>
        <v>0</v>
      </c>
      <c r="R581">
        <f>IFERROR(VLOOKUP("924-011808-100",B:AB,9+8,0),0)</f>
        <v>0</v>
      </c>
      <c r="S581">
        <f>IFERROR(VLOOKUP("924-011808-100",B:AB,10+8,0),0)</f>
        <v>0</v>
      </c>
      <c r="T581">
        <f>IFERROR(VLOOKUP("924-011808-100",B:AB,11+8,0),0)</f>
        <v>0</v>
      </c>
      <c r="U581">
        <f>IFERROR(VLOOKUP("924-011808-100",B:AB,12+8,0),0)</f>
        <v>0</v>
      </c>
      <c r="V581">
        <f>IFERROR(VLOOKUP("924-011808-100",B:AB,13+8,0),0)</f>
        <v>0</v>
      </c>
      <c r="W581">
        <f>IFERROR(VLOOKUP("924-011808-100",B:AB,14+8,0),0)</f>
        <v>0</v>
      </c>
      <c r="X581">
        <f>IFERROR(VLOOKUP("924-011808-100",B:AB,15+8,0),0)</f>
        <v>0</v>
      </c>
      <c r="Y581">
        <f>IFERROR(VLOOKUP("924-011808-100",B:AB,16+8,0),0)</f>
        <v>0</v>
      </c>
      <c r="Z581">
        <f>IFERROR(VLOOKUP("924-011808-100",B:AB,17+8,0),0)</f>
        <v>0</v>
      </c>
      <c r="AA581">
        <f>IFERROR(VLOOKUP("924-011808-100",B:AB,18+8,0),0)</f>
        <v>0</v>
      </c>
      <c r="AB581">
        <f>IFERROR(VLOOKUP("924-011808-100",B:AB,19+8,0),0)</f>
        <v>0</v>
      </c>
      <c r="AC581">
        <f>IFERROR(VLOOKUP("924-011808-100",B:AB,20+8,0),0)</f>
        <v>0</v>
      </c>
      <c r="AD581">
        <f>IFERROR(VLOOKUP("924-011808-100",B:AB,21+8,0),0)</f>
        <v>0</v>
      </c>
      <c r="AE581">
        <f>IFERROR(VLOOKUP("924-011808-100",B:AB,22+8,0),0)</f>
        <v>0</v>
      </c>
      <c r="AF581">
        <f>IFERROR(VLOOKUP("924-011808-100",B:AB,23+8,0),0)</f>
        <v>0</v>
      </c>
      <c r="AG581">
        <f>IFERROR(VLOOKUP("924-011808-100",B:AB,24+8,0),0)</f>
        <v>0</v>
      </c>
      <c r="AH581">
        <f>IFERROR(VLOOKUP("924-011808-100",B:AB,25+8,0),0)</f>
        <v>0</v>
      </c>
      <c r="AI581">
        <f>IFERROR(VLOOKUP("924-011808-100",B:AB,26+8,0),0)</f>
        <v>0</v>
      </c>
      <c r="AJ581">
        <f>IFERROR(VLOOKUP("924-011808-100",B:AB,27+8,0),0)</f>
        <v>0</v>
      </c>
      <c r="AK581">
        <f>IFERROR(VLOOKUP("924-011808-100",B:AB,28+8,0),0)</f>
        <v>0</v>
      </c>
      <c r="AL581">
        <f>IFERROR(VLOOKUP("924-011808-100",B:AB,29+8,0),0)</f>
        <v>0</v>
      </c>
      <c r="AM581">
        <f>IFERROR(VLOOKUP("924-011808-100",B:AB,30+8,0),0)</f>
        <v>0</v>
      </c>
      <c r="AN581">
        <f>IFERROR(VLOOKUP("924-011808-100",B:AB,31+8,0),0)</f>
        <v>0</v>
      </c>
      <c r="AO581">
        <f>SUN(INDIRECT(ADDRESS(580,8)):INDIRECT(ADDRESS(580,39)))</f>
        <v>0</v>
      </c>
    </row>
    <row r="582" spans="1:41">
      <c r="H582" t="s">
        <v>179</v>
      </c>
      <c r="J582">
        <f>INDIRECT(ADDRESS(582,9))+INDIRECT(ADDRESS(580,10))-INDIRECT(ADDRESS(581,10))</f>
        <v>0</v>
      </c>
      <c r="K582">
        <f>INDIRECT(ADDRESS(582,10))+INDIRECT(ADDRESS(580,11))-INDIRECT(ADDRESS(581,11))</f>
        <v>0</v>
      </c>
      <c r="L582">
        <f>INDIRECT(ADDRESS(582,11))+INDIRECT(ADDRESS(580,12))-INDIRECT(ADDRESS(581,12))</f>
        <v>0</v>
      </c>
      <c r="M582">
        <f>INDIRECT(ADDRESS(582,12))+INDIRECT(ADDRESS(580,13))-INDIRECT(ADDRESS(581,13))</f>
        <v>0</v>
      </c>
      <c r="N582">
        <f>INDIRECT(ADDRESS(582,13))+INDIRECT(ADDRESS(580,14))-INDIRECT(ADDRESS(581,14))</f>
        <v>0</v>
      </c>
      <c r="O582">
        <f>INDIRECT(ADDRESS(582,14))+INDIRECT(ADDRESS(580,15))-INDIRECT(ADDRESS(581,15))</f>
        <v>0</v>
      </c>
      <c r="P582">
        <f>INDIRECT(ADDRESS(582,15))+INDIRECT(ADDRESS(580,16))-INDIRECT(ADDRESS(581,16))</f>
        <v>0</v>
      </c>
      <c r="Q582">
        <f>INDIRECT(ADDRESS(582,16))+INDIRECT(ADDRESS(580,17))-INDIRECT(ADDRESS(581,17))</f>
        <v>0</v>
      </c>
      <c r="R582">
        <f>INDIRECT(ADDRESS(582,17))+INDIRECT(ADDRESS(580,18))-INDIRECT(ADDRESS(581,18))</f>
        <v>0</v>
      </c>
      <c r="S582">
        <f>INDIRECT(ADDRESS(582,18))+INDIRECT(ADDRESS(580,19))-INDIRECT(ADDRESS(581,19))</f>
        <v>0</v>
      </c>
      <c r="T582">
        <f>INDIRECT(ADDRESS(582,19))+INDIRECT(ADDRESS(580,20))-INDIRECT(ADDRESS(581,20))</f>
        <v>0</v>
      </c>
      <c r="U582">
        <f>INDIRECT(ADDRESS(582,20))+INDIRECT(ADDRESS(580,21))-INDIRECT(ADDRESS(581,21))</f>
        <v>0</v>
      </c>
      <c r="V582">
        <f>INDIRECT(ADDRESS(582,21))+INDIRECT(ADDRESS(580,22))-INDIRECT(ADDRESS(581,22))</f>
        <v>0</v>
      </c>
      <c r="W582">
        <f>INDIRECT(ADDRESS(582,22))+INDIRECT(ADDRESS(580,23))-INDIRECT(ADDRESS(581,23))</f>
        <v>0</v>
      </c>
      <c r="X582">
        <f>INDIRECT(ADDRESS(582,23))+INDIRECT(ADDRESS(580,24))-INDIRECT(ADDRESS(581,24))</f>
        <v>0</v>
      </c>
      <c r="Y582">
        <f>INDIRECT(ADDRESS(582,24))+INDIRECT(ADDRESS(580,25))-INDIRECT(ADDRESS(581,25))</f>
        <v>0</v>
      </c>
      <c r="Z582">
        <f>INDIRECT(ADDRESS(582,25))+INDIRECT(ADDRESS(580,26))-INDIRECT(ADDRESS(581,26))</f>
        <v>0</v>
      </c>
      <c r="AA582">
        <f>INDIRECT(ADDRESS(582,26))+INDIRECT(ADDRESS(580,27))-INDIRECT(ADDRESS(581,27))</f>
        <v>0</v>
      </c>
      <c r="AB582">
        <f>INDIRECT(ADDRESS(582,27))+INDIRECT(ADDRESS(580,28))-INDIRECT(ADDRESS(581,28))</f>
        <v>0</v>
      </c>
      <c r="AC582">
        <f>INDIRECT(ADDRESS(582,28))+INDIRECT(ADDRESS(580,29))-INDIRECT(ADDRESS(581,29))</f>
        <v>0</v>
      </c>
      <c r="AD582">
        <f>INDIRECT(ADDRESS(582,29))+INDIRECT(ADDRESS(580,30))-INDIRECT(ADDRESS(581,30))</f>
        <v>0</v>
      </c>
      <c r="AE582">
        <f>INDIRECT(ADDRESS(582,30))+INDIRECT(ADDRESS(580,31))-INDIRECT(ADDRESS(581,31))</f>
        <v>0</v>
      </c>
      <c r="AF582">
        <f>INDIRECT(ADDRESS(582,31))+INDIRECT(ADDRESS(580,32))-INDIRECT(ADDRESS(581,32))</f>
        <v>0</v>
      </c>
      <c r="AG582">
        <f>INDIRECT(ADDRESS(582,32))+INDIRECT(ADDRESS(580,33))-INDIRECT(ADDRESS(581,33))</f>
        <v>0</v>
      </c>
      <c r="AH582">
        <f>INDIRECT(ADDRESS(582,33))+INDIRECT(ADDRESS(580,34))-INDIRECT(ADDRESS(581,34))</f>
        <v>0</v>
      </c>
      <c r="AI582">
        <f>INDIRECT(ADDRESS(582,34))+INDIRECT(ADDRESS(580,35))-INDIRECT(ADDRESS(581,35))</f>
        <v>0</v>
      </c>
      <c r="AJ582">
        <f>INDIRECT(ADDRESS(582,35))+INDIRECT(ADDRESS(580,36))-INDIRECT(ADDRESS(581,36))</f>
        <v>0</v>
      </c>
      <c r="AK582">
        <f>INDIRECT(ADDRESS(582,36))+INDIRECT(ADDRESS(580,37))-INDIRECT(ADDRESS(581,37))</f>
        <v>0</v>
      </c>
      <c r="AL582">
        <f>INDIRECT(ADDRESS(582,37))+INDIRECT(ADDRESS(580,38))-INDIRECT(ADDRESS(581,38))</f>
        <v>0</v>
      </c>
      <c r="AM582">
        <f>INDIRECT(ADDRESS(582,38))+INDIRECT(ADDRESS(580,39))-INDIRECT(ADDRESS(581,39))</f>
        <v>0</v>
      </c>
      <c r="AN582">
        <f>INDIRECT(ADDRESS(582,39))+INDIRECT(ADDRESS(580,40))-INDIRECT(ADDRESS(581,40))</f>
        <v>0</v>
      </c>
      <c r="AO582">
        <f>SUM(INDIRECT(ADDRESS(581,8)):INDIRECT(ADDRESS(581,39)))</f>
        <v>0</v>
      </c>
    </row>
    <row r="583" spans="1:41">
      <c r="A583" t="s">
        <v>185</v>
      </c>
      <c r="B583" t="s">
        <v>310</v>
      </c>
      <c r="C583" t="s">
        <v>401</v>
      </c>
      <c r="E583">
        <v>1</v>
      </c>
      <c r="I583" t="s">
        <v>177</v>
      </c>
    </row>
    <row r="584" spans="1:41">
      <c r="I584" t="s">
        <v>178</v>
      </c>
      <c r="J584">
        <f>IFERROR(VLOOKUP("924-011808-100",B:AB,1+8,0),0)</f>
        <v>0</v>
      </c>
      <c r="K584">
        <f>IFERROR(VLOOKUP("924-011808-100",B:AB,2+8,0),0)</f>
        <v>0</v>
      </c>
      <c r="L584">
        <f>IFERROR(VLOOKUP("924-011808-100",B:AB,3+8,0),0)</f>
        <v>0</v>
      </c>
      <c r="M584">
        <f>IFERROR(VLOOKUP("924-011808-100",B:AB,4+8,0),0)</f>
        <v>0</v>
      </c>
      <c r="N584">
        <f>IFERROR(VLOOKUP("924-011808-100",B:AB,5+8,0),0)</f>
        <v>0</v>
      </c>
      <c r="O584">
        <f>IFERROR(VLOOKUP("924-011808-100",B:AB,6+8,0),0)</f>
        <v>0</v>
      </c>
      <c r="P584">
        <f>IFERROR(VLOOKUP("924-011808-100",B:AB,7+8,0),0)</f>
        <v>0</v>
      </c>
      <c r="Q584">
        <f>IFERROR(VLOOKUP("924-011808-100",B:AB,8+8,0),0)</f>
        <v>0</v>
      </c>
      <c r="R584">
        <f>IFERROR(VLOOKUP("924-011808-100",B:AB,9+8,0),0)</f>
        <v>0</v>
      </c>
      <c r="S584">
        <f>IFERROR(VLOOKUP("924-011808-100",B:AB,10+8,0),0)</f>
        <v>0</v>
      </c>
      <c r="T584">
        <f>IFERROR(VLOOKUP("924-011808-100",B:AB,11+8,0),0)</f>
        <v>0</v>
      </c>
      <c r="U584">
        <f>IFERROR(VLOOKUP("924-011808-100",B:AB,12+8,0),0)</f>
        <v>0</v>
      </c>
      <c r="V584">
        <f>IFERROR(VLOOKUP("924-011808-100",B:AB,13+8,0),0)</f>
        <v>0</v>
      </c>
      <c r="W584">
        <f>IFERROR(VLOOKUP("924-011808-100",B:AB,14+8,0),0)</f>
        <v>0</v>
      </c>
      <c r="X584">
        <f>IFERROR(VLOOKUP("924-011808-100",B:AB,15+8,0),0)</f>
        <v>0</v>
      </c>
      <c r="Y584">
        <f>IFERROR(VLOOKUP("924-011808-100",B:AB,16+8,0),0)</f>
        <v>0</v>
      </c>
      <c r="Z584">
        <f>IFERROR(VLOOKUP("924-011808-100",B:AB,17+8,0),0)</f>
        <v>0</v>
      </c>
      <c r="AA584">
        <f>IFERROR(VLOOKUP("924-011808-100",B:AB,18+8,0),0)</f>
        <v>0</v>
      </c>
      <c r="AB584">
        <f>IFERROR(VLOOKUP("924-011808-100",B:AB,19+8,0),0)</f>
        <v>0</v>
      </c>
      <c r="AC584">
        <f>IFERROR(VLOOKUP("924-011808-100",B:AB,20+8,0),0)</f>
        <v>0</v>
      </c>
      <c r="AD584">
        <f>IFERROR(VLOOKUP("924-011808-100",B:AB,21+8,0),0)</f>
        <v>0</v>
      </c>
      <c r="AE584">
        <f>IFERROR(VLOOKUP("924-011808-100",B:AB,22+8,0),0)</f>
        <v>0</v>
      </c>
      <c r="AF584">
        <f>IFERROR(VLOOKUP("924-011808-100",B:AB,23+8,0),0)</f>
        <v>0</v>
      </c>
      <c r="AG584">
        <f>IFERROR(VLOOKUP("924-011808-100",B:AB,24+8,0),0)</f>
        <v>0</v>
      </c>
      <c r="AH584">
        <f>IFERROR(VLOOKUP("924-011808-100",B:AB,25+8,0),0)</f>
        <v>0</v>
      </c>
      <c r="AI584">
        <f>IFERROR(VLOOKUP("924-011808-100",B:AB,26+8,0),0)</f>
        <v>0</v>
      </c>
      <c r="AJ584">
        <f>IFERROR(VLOOKUP("924-011808-100",B:AB,27+8,0),0)</f>
        <v>0</v>
      </c>
      <c r="AK584">
        <f>IFERROR(VLOOKUP("924-011808-100",B:AB,28+8,0),0)</f>
        <v>0</v>
      </c>
      <c r="AL584">
        <f>IFERROR(VLOOKUP("924-011808-100",B:AB,29+8,0),0)</f>
        <v>0</v>
      </c>
      <c r="AM584">
        <f>IFERROR(VLOOKUP("924-011808-100",B:AB,30+8,0),0)</f>
        <v>0</v>
      </c>
      <c r="AN584">
        <f>IFERROR(VLOOKUP("924-011808-100",B:AB,31+8,0),0)</f>
        <v>0</v>
      </c>
      <c r="AO584">
        <f>SUN(INDIRECT(ADDRESS(583,8)):INDIRECT(ADDRESS(583,39)))</f>
        <v>0</v>
      </c>
    </row>
    <row r="585" spans="1:41">
      <c r="H585" t="s">
        <v>179</v>
      </c>
      <c r="J585">
        <f>INDIRECT(ADDRESS(585,9))+INDIRECT(ADDRESS(583,10))-INDIRECT(ADDRESS(584,10))</f>
        <v>0</v>
      </c>
      <c r="K585">
        <f>INDIRECT(ADDRESS(585,10))+INDIRECT(ADDRESS(583,11))-INDIRECT(ADDRESS(584,11))</f>
        <v>0</v>
      </c>
      <c r="L585">
        <f>INDIRECT(ADDRESS(585,11))+INDIRECT(ADDRESS(583,12))-INDIRECT(ADDRESS(584,12))</f>
        <v>0</v>
      </c>
      <c r="M585">
        <f>INDIRECT(ADDRESS(585,12))+INDIRECT(ADDRESS(583,13))-INDIRECT(ADDRESS(584,13))</f>
        <v>0</v>
      </c>
      <c r="N585">
        <f>INDIRECT(ADDRESS(585,13))+INDIRECT(ADDRESS(583,14))-INDIRECT(ADDRESS(584,14))</f>
        <v>0</v>
      </c>
      <c r="O585">
        <f>INDIRECT(ADDRESS(585,14))+INDIRECT(ADDRESS(583,15))-INDIRECT(ADDRESS(584,15))</f>
        <v>0</v>
      </c>
      <c r="P585">
        <f>INDIRECT(ADDRESS(585,15))+INDIRECT(ADDRESS(583,16))-INDIRECT(ADDRESS(584,16))</f>
        <v>0</v>
      </c>
      <c r="Q585">
        <f>INDIRECT(ADDRESS(585,16))+INDIRECT(ADDRESS(583,17))-INDIRECT(ADDRESS(584,17))</f>
        <v>0</v>
      </c>
      <c r="R585">
        <f>INDIRECT(ADDRESS(585,17))+INDIRECT(ADDRESS(583,18))-INDIRECT(ADDRESS(584,18))</f>
        <v>0</v>
      </c>
      <c r="S585">
        <f>INDIRECT(ADDRESS(585,18))+INDIRECT(ADDRESS(583,19))-INDIRECT(ADDRESS(584,19))</f>
        <v>0</v>
      </c>
      <c r="T585">
        <f>INDIRECT(ADDRESS(585,19))+INDIRECT(ADDRESS(583,20))-INDIRECT(ADDRESS(584,20))</f>
        <v>0</v>
      </c>
      <c r="U585">
        <f>INDIRECT(ADDRESS(585,20))+INDIRECT(ADDRESS(583,21))-INDIRECT(ADDRESS(584,21))</f>
        <v>0</v>
      </c>
      <c r="V585">
        <f>INDIRECT(ADDRESS(585,21))+INDIRECT(ADDRESS(583,22))-INDIRECT(ADDRESS(584,22))</f>
        <v>0</v>
      </c>
      <c r="W585">
        <f>INDIRECT(ADDRESS(585,22))+INDIRECT(ADDRESS(583,23))-INDIRECT(ADDRESS(584,23))</f>
        <v>0</v>
      </c>
      <c r="X585">
        <f>INDIRECT(ADDRESS(585,23))+INDIRECT(ADDRESS(583,24))-INDIRECT(ADDRESS(584,24))</f>
        <v>0</v>
      </c>
      <c r="Y585">
        <f>INDIRECT(ADDRESS(585,24))+INDIRECT(ADDRESS(583,25))-INDIRECT(ADDRESS(584,25))</f>
        <v>0</v>
      </c>
      <c r="Z585">
        <f>INDIRECT(ADDRESS(585,25))+INDIRECT(ADDRESS(583,26))-INDIRECT(ADDRESS(584,26))</f>
        <v>0</v>
      </c>
      <c r="AA585">
        <f>INDIRECT(ADDRESS(585,26))+INDIRECT(ADDRESS(583,27))-INDIRECT(ADDRESS(584,27))</f>
        <v>0</v>
      </c>
      <c r="AB585">
        <f>INDIRECT(ADDRESS(585,27))+INDIRECT(ADDRESS(583,28))-INDIRECT(ADDRESS(584,28))</f>
        <v>0</v>
      </c>
      <c r="AC585">
        <f>INDIRECT(ADDRESS(585,28))+INDIRECT(ADDRESS(583,29))-INDIRECT(ADDRESS(584,29))</f>
        <v>0</v>
      </c>
      <c r="AD585">
        <f>INDIRECT(ADDRESS(585,29))+INDIRECT(ADDRESS(583,30))-INDIRECT(ADDRESS(584,30))</f>
        <v>0</v>
      </c>
      <c r="AE585">
        <f>INDIRECT(ADDRESS(585,30))+INDIRECT(ADDRESS(583,31))-INDIRECT(ADDRESS(584,31))</f>
        <v>0</v>
      </c>
      <c r="AF585">
        <f>INDIRECT(ADDRESS(585,31))+INDIRECT(ADDRESS(583,32))-INDIRECT(ADDRESS(584,32))</f>
        <v>0</v>
      </c>
      <c r="AG585">
        <f>INDIRECT(ADDRESS(585,32))+INDIRECT(ADDRESS(583,33))-INDIRECT(ADDRESS(584,33))</f>
        <v>0</v>
      </c>
      <c r="AH585">
        <f>INDIRECT(ADDRESS(585,33))+INDIRECT(ADDRESS(583,34))-INDIRECT(ADDRESS(584,34))</f>
        <v>0</v>
      </c>
      <c r="AI585">
        <f>INDIRECT(ADDRESS(585,34))+INDIRECT(ADDRESS(583,35))-INDIRECT(ADDRESS(584,35))</f>
        <v>0</v>
      </c>
      <c r="AJ585">
        <f>INDIRECT(ADDRESS(585,35))+INDIRECT(ADDRESS(583,36))-INDIRECT(ADDRESS(584,36))</f>
        <v>0</v>
      </c>
      <c r="AK585">
        <f>INDIRECT(ADDRESS(585,36))+INDIRECT(ADDRESS(583,37))-INDIRECT(ADDRESS(584,37))</f>
        <v>0</v>
      </c>
      <c r="AL585">
        <f>INDIRECT(ADDRESS(585,37))+INDIRECT(ADDRESS(583,38))-INDIRECT(ADDRESS(584,38))</f>
        <v>0</v>
      </c>
      <c r="AM585">
        <f>INDIRECT(ADDRESS(585,38))+INDIRECT(ADDRESS(583,39))-INDIRECT(ADDRESS(584,39))</f>
        <v>0</v>
      </c>
      <c r="AN585">
        <f>INDIRECT(ADDRESS(585,39))+INDIRECT(ADDRESS(583,40))-INDIRECT(ADDRESS(584,40))</f>
        <v>0</v>
      </c>
      <c r="AO585">
        <f>SUM(INDIRECT(ADDRESS(584,8)):INDIRECT(ADDRESS(584,39)))</f>
        <v>0</v>
      </c>
    </row>
    <row r="586" spans="1:41">
      <c r="A586" t="s">
        <v>185</v>
      </c>
      <c r="B586" t="s">
        <v>402</v>
      </c>
      <c r="C586" t="s">
        <v>403</v>
      </c>
      <c r="E586">
        <v>1</v>
      </c>
      <c r="I586" t="s">
        <v>177</v>
      </c>
    </row>
    <row r="587" spans="1:41">
      <c r="I587" t="s">
        <v>178</v>
      </c>
      <c r="J587">
        <f>IFERROR(VLOOKUP("924-011808-100",B:AB,1+8,0),0)</f>
        <v>0</v>
      </c>
      <c r="K587">
        <f>IFERROR(VLOOKUP("924-011808-100",B:AB,2+8,0),0)</f>
        <v>0</v>
      </c>
      <c r="L587">
        <f>IFERROR(VLOOKUP("924-011808-100",B:AB,3+8,0),0)</f>
        <v>0</v>
      </c>
      <c r="M587">
        <f>IFERROR(VLOOKUP("924-011808-100",B:AB,4+8,0),0)</f>
        <v>0</v>
      </c>
      <c r="N587">
        <f>IFERROR(VLOOKUP("924-011808-100",B:AB,5+8,0),0)</f>
        <v>0</v>
      </c>
      <c r="O587">
        <f>IFERROR(VLOOKUP("924-011808-100",B:AB,6+8,0),0)</f>
        <v>0</v>
      </c>
      <c r="P587">
        <f>IFERROR(VLOOKUP("924-011808-100",B:AB,7+8,0),0)</f>
        <v>0</v>
      </c>
      <c r="Q587">
        <f>IFERROR(VLOOKUP("924-011808-100",B:AB,8+8,0),0)</f>
        <v>0</v>
      </c>
      <c r="R587">
        <f>IFERROR(VLOOKUP("924-011808-100",B:AB,9+8,0),0)</f>
        <v>0</v>
      </c>
      <c r="S587">
        <f>IFERROR(VLOOKUP("924-011808-100",B:AB,10+8,0),0)</f>
        <v>0</v>
      </c>
      <c r="T587">
        <f>IFERROR(VLOOKUP("924-011808-100",B:AB,11+8,0),0)</f>
        <v>0</v>
      </c>
      <c r="U587">
        <f>IFERROR(VLOOKUP("924-011808-100",B:AB,12+8,0),0)</f>
        <v>0</v>
      </c>
      <c r="V587">
        <f>IFERROR(VLOOKUP("924-011808-100",B:AB,13+8,0),0)</f>
        <v>0</v>
      </c>
      <c r="W587">
        <f>IFERROR(VLOOKUP("924-011808-100",B:AB,14+8,0),0)</f>
        <v>0</v>
      </c>
      <c r="X587">
        <f>IFERROR(VLOOKUP("924-011808-100",B:AB,15+8,0),0)</f>
        <v>0</v>
      </c>
      <c r="Y587">
        <f>IFERROR(VLOOKUP("924-011808-100",B:AB,16+8,0),0)</f>
        <v>0</v>
      </c>
      <c r="Z587">
        <f>IFERROR(VLOOKUP("924-011808-100",B:AB,17+8,0),0)</f>
        <v>0</v>
      </c>
      <c r="AA587">
        <f>IFERROR(VLOOKUP("924-011808-100",B:AB,18+8,0),0)</f>
        <v>0</v>
      </c>
      <c r="AB587">
        <f>IFERROR(VLOOKUP("924-011808-100",B:AB,19+8,0),0)</f>
        <v>0</v>
      </c>
      <c r="AC587">
        <f>IFERROR(VLOOKUP("924-011808-100",B:AB,20+8,0),0)</f>
        <v>0</v>
      </c>
      <c r="AD587">
        <f>IFERROR(VLOOKUP("924-011808-100",B:AB,21+8,0),0)</f>
        <v>0</v>
      </c>
      <c r="AE587">
        <f>IFERROR(VLOOKUP("924-011808-100",B:AB,22+8,0),0)</f>
        <v>0</v>
      </c>
      <c r="AF587">
        <f>IFERROR(VLOOKUP("924-011808-100",B:AB,23+8,0),0)</f>
        <v>0</v>
      </c>
      <c r="AG587">
        <f>IFERROR(VLOOKUP("924-011808-100",B:AB,24+8,0),0)</f>
        <v>0</v>
      </c>
      <c r="AH587">
        <f>IFERROR(VLOOKUP("924-011808-100",B:AB,25+8,0),0)</f>
        <v>0</v>
      </c>
      <c r="AI587">
        <f>IFERROR(VLOOKUP("924-011808-100",B:AB,26+8,0),0)</f>
        <v>0</v>
      </c>
      <c r="AJ587">
        <f>IFERROR(VLOOKUP("924-011808-100",B:AB,27+8,0),0)</f>
        <v>0</v>
      </c>
      <c r="AK587">
        <f>IFERROR(VLOOKUP("924-011808-100",B:AB,28+8,0),0)</f>
        <v>0</v>
      </c>
      <c r="AL587">
        <f>IFERROR(VLOOKUP("924-011808-100",B:AB,29+8,0),0)</f>
        <v>0</v>
      </c>
      <c r="AM587">
        <f>IFERROR(VLOOKUP("924-011808-100",B:AB,30+8,0),0)</f>
        <v>0</v>
      </c>
      <c r="AN587">
        <f>IFERROR(VLOOKUP("924-011808-100",B:AB,31+8,0),0)</f>
        <v>0</v>
      </c>
      <c r="AO587">
        <f>SUN(INDIRECT(ADDRESS(586,8)):INDIRECT(ADDRESS(586,39)))</f>
        <v>0</v>
      </c>
    </row>
    <row r="588" spans="1:41">
      <c r="H588" t="s">
        <v>179</v>
      </c>
      <c r="J588">
        <f>INDIRECT(ADDRESS(588,9))+INDIRECT(ADDRESS(586,10))-INDIRECT(ADDRESS(587,10))</f>
        <v>0</v>
      </c>
      <c r="K588">
        <f>INDIRECT(ADDRESS(588,10))+INDIRECT(ADDRESS(586,11))-INDIRECT(ADDRESS(587,11))</f>
        <v>0</v>
      </c>
      <c r="L588">
        <f>INDIRECT(ADDRESS(588,11))+INDIRECT(ADDRESS(586,12))-INDIRECT(ADDRESS(587,12))</f>
        <v>0</v>
      </c>
      <c r="M588">
        <f>INDIRECT(ADDRESS(588,12))+INDIRECT(ADDRESS(586,13))-INDIRECT(ADDRESS(587,13))</f>
        <v>0</v>
      </c>
      <c r="N588">
        <f>INDIRECT(ADDRESS(588,13))+INDIRECT(ADDRESS(586,14))-INDIRECT(ADDRESS(587,14))</f>
        <v>0</v>
      </c>
      <c r="O588">
        <f>INDIRECT(ADDRESS(588,14))+INDIRECT(ADDRESS(586,15))-INDIRECT(ADDRESS(587,15))</f>
        <v>0</v>
      </c>
      <c r="P588">
        <f>INDIRECT(ADDRESS(588,15))+INDIRECT(ADDRESS(586,16))-INDIRECT(ADDRESS(587,16))</f>
        <v>0</v>
      </c>
      <c r="Q588">
        <f>INDIRECT(ADDRESS(588,16))+INDIRECT(ADDRESS(586,17))-INDIRECT(ADDRESS(587,17))</f>
        <v>0</v>
      </c>
      <c r="R588">
        <f>INDIRECT(ADDRESS(588,17))+INDIRECT(ADDRESS(586,18))-INDIRECT(ADDRESS(587,18))</f>
        <v>0</v>
      </c>
      <c r="S588">
        <f>INDIRECT(ADDRESS(588,18))+INDIRECT(ADDRESS(586,19))-INDIRECT(ADDRESS(587,19))</f>
        <v>0</v>
      </c>
      <c r="T588">
        <f>INDIRECT(ADDRESS(588,19))+INDIRECT(ADDRESS(586,20))-INDIRECT(ADDRESS(587,20))</f>
        <v>0</v>
      </c>
      <c r="U588">
        <f>INDIRECT(ADDRESS(588,20))+INDIRECT(ADDRESS(586,21))-INDIRECT(ADDRESS(587,21))</f>
        <v>0</v>
      </c>
      <c r="V588">
        <f>INDIRECT(ADDRESS(588,21))+INDIRECT(ADDRESS(586,22))-INDIRECT(ADDRESS(587,22))</f>
        <v>0</v>
      </c>
      <c r="W588">
        <f>INDIRECT(ADDRESS(588,22))+INDIRECT(ADDRESS(586,23))-INDIRECT(ADDRESS(587,23))</f>
        <v>0</v>
      </c>
      <c r="X588">
        <f>INDIRECT(ADDRESS(588,23))+INDIRECT(ADDRESS(586,24))-INDIRECT(ADDRESS(587,24))</f>
        <v>0</v>
      </c>
      <c r="Y588">
        <f>INDIRECT(ADDRESS(588,24))+INDIRECT(ADDRESS(586,25))-INDIRECT(ADDRESS(587,25))</f>
        <v>0</v>
      </c>
      <c r="Z588">
        <f>INDIRECT(ADDRESS(588,25))+INDIRECT(ADDRESS(586,26))-INDIRECT(ADDRESS(587,26))</f>
        <v>0</v>
      </c>
      <c r="AA588">
        <f>INDIRECT(ADDRESS(588,26))+INDIRECT(ADDRESS(586,27))-INDIRECT(ADDRESS(587,27))</f>
        <v>0</v>
      </c>
      <c r="AB588">
        <f>INDIRECT(ADDRESS(588,27))+INDIRECT(ADDRESS(586,28))-INDIRECT(ADDRESS(587,28))</f>
        <v>0</v>
      </c>
      <c r="AC588">
        <f>INDIRECT(ADDRESS(588,28))+INDIRECT(ADDRESS(586,29))-INDIRECT(ADDRESS(587,29))</f>
        <v>0</v>
      </c>
      <c r="AD588">
        <f>INDIRECT(ADDRESS(588,29))+INDIRECT(ADDRESS(586,30))-INDIRECT(ADDRESS(587,30))</f>
        <v>0</v>
      </c>
      <c r="AE588">
        <f>INDIRECT(ADDRESS(588,30))+INDIRECT(ADDRESS(586,31))-INDIRECT(ADDRESS(587,31))</f>
        <v>0</v>
      </c>
      <c r="AF588">
        <f>INDIRECT(ADDRESS(588,31))+INDIRECT(ADDRESS(586,32))-INDIRECT(ADDRESS(587,32))</f>
        <v>0</v>
      </c>
      <c r="AG588">
        <f>INDIRECT(ADDRESS(588,32))+INDIRECT(ADDRESS(586,33))-INDIRECT(ADDRESS(587,33))</f>
        <v>0</v>
      </c>
      <c r="AH588">
        <f>INDIRECT(ADDRESS(588,33))+INDIRECT(ADDRESS(586,34))-INDIRECT(ADDRESS(587,34))</f>
        <v>0</v>
      </c>
      <c r="AI588">
        <f>INDIRECT(ADDRESS(588,34))+INDIRECT(ADDRESS(586,35))-INDIRECT(ADDRESS(587,35))</f>
        <v>0</v>
      </c>
      <c r="AJ588">
        <f>INDIRECT(ADDRESS(588,35))+INDIRECT(ADDRESS(586,36))-INDIRECT(ADDRESS(587,36))</f>
        <v>0</v>
      </c>
      <c r="AK588">
        <f>INDIRECT(ADDRESS(588,36))+INDIRECT(ADDRESS(586,37))-INDIRECT(ADDRESS(587,37))</f>
        <v>0</v>
      </c>
      <c r="AL588">
        <f>INDIRECT(ADDRESS(588,37))+INDIRECT(ADDRESS(586,38))-INDIRECT(ADDRESS(587,38))</f>
        <v>0</v>
      </c>
      <c r="AM588">
        <f>INDIRECT(ADDRESS(588,38))+INDIRECT(ADDRESS(586,39))-INDIRECT(ADDRESS(587,39))</f>
        <v>0</v>
      </c>
      <c r="AN588">
        <f>INDIRECT(ADDRESS(588,39))+INDIRECT(ADDRESS(586,40))-INDIRECT(ADDRESS(587,40))</f>
        <v>0</v>
      </c>
      <c r="AO588">
        <f>SUM(INDIRECT(ADDRESS(587,8)):INDIRECT(ADDRESS(587,39)))</f>
        <v>0</v>
      </c>
    </row>
    <row r="589" spans="1:41">
      <c r="A589" t="s">
        <v>185</v>
      </c>
      <c r="B589" t="s">
        <v>404</v>
      </c>
      <c r="C589" t="s">
        <v>405</v>
      </c>
      <c r="E589">
        <v>2</v>
      </c>
      <c r="I589" t="s">
        <v>177</v>
      </c>
    </row>
    <row r="590" spans="1:41">
      <c r="I590" t="s">
        <v>178</v>
      </c>
      <c r="J590">
        <f>IFERROR(VLOOKUP("924-011808-100",B:AB,1+8,0),0)</f>
        <v>0</v>
      </c>
      <c r="K590">
        <f>IFERROR(VLOOKUP("924-011808-100",B:AB,2+8,0),0)</f>
        <v>0</v>
      </c>
      <c r="L590">
        <f>IFERROR(VLOOKUP("924-011808-100",B:AB,3+8,0),0)</f>
        <v>0</v>
      </c>
      <c r="M590">
        <f>IFERROR(VLOOKUP("924-011808-100",B:AB,4+8,0),0)</f>
        <v>0</v>
      </c>
      <c r="N590">
        <f>IFERROR(VLOOKUP("924-011808-100",B:AB,5+8,0),0)</f>
        <v>0</v>
      </c>
      <c r="O590">
        <f>IFERROR(VLOOKUP("924-011808-100",B:AB,6+8,0),0)</f>
        <v>0</v>
      </c>
      <c r="P590">
        <f>IFERROR(VLOOKUP("924-011808-100",B:AB,7+8,0),0)</f>
        <v>0</v>
      </c>
      <c r="Q590">
        <f>IFERROR(VLOOKUP("924-011808-100",B:AB,8+8,0),0)</f>
        <v>0</v>
      </c>
      <c r="R590">
        <f>IFERROR(VLOOKUP("924-011808-100",B:AB,9+8,0),0)</f>
        <v>0</v>
      </c>
      <c r="S590">
        <f>IFERROR(VLOOKUP("924-011808-100",B:AB,10+8,0),0)</f>
        <v>0</v>
      </c>
      <c r="T590">
        <f>IFERROR(VLOOKUP("924-011808-100",B:AB,11+8,0),0)</f>
        <v>0</v>
      </c>
      <c r="U590">
        <f>IFERROR(VLOOKUP("924-011808-100",B:AB,12+8,0),0)</f>
        <v>0</v>
      </c>
      <c r="V590">
        <f>IFERROR(VLOOKUP("924-011808-100",B:AB,13+8,0),0)</f>
        <v>0</v>
      </c>
      <c r="W590">
        <f>IFERROR(VLOOKUP("924-011808-100",B:AB,14+8,0),0)</f>
        <v>0</v>
      </c>
      <c r="X590">
        <f>IFERROR(VLOOKUP("924-011808-100",B:AB,15+8,0),0)</f>
        <v>0</v>
      </c>
      <c r="Y590">
        <f>IFERROR(VLOOKUP("924-011808-100",B:AB,16+8,0),0)</f>
        <v>0</v>
      </c>
      <c r="Z590">
        <f>IFERROR(VLOOKUP("924-011808-100",B:AB,17+8,0),0)</f>
        <v>0</v>
      </c>
      <c r="AA590">
        <f>IFERROR(VLOOKUP("924-011808-100",B:AB,18+8,0),0)</f>
        <v>0</v>
      </c>
      <c r="AB590">
        <f>IFERROR(VLOOKUP("924-011808-100",B:AB,19+8,0),0)</f>
        <v>0</v>
      </c>
      <c r="AC590">
        <f>IFERROR(VLOOKUP("924-011808-100",B:AB,20+8,0),0)</f>
        <v>0</v>
      </c>
      <c r="AD590">
        <f>IFERROR(VLOOKUP("924-011808-100",B:AB,21+8,0),0)</f>
        <v>0</v>
      </c>
      <c r="AE590">
        <f>IFERROR(VLOOKUP("924-011808-100",B:AB,22+8,0),0)</f>
        <v>0</v>
      </c>
      <c r="AF590">
        <f>IFERROR(VLOOKUP("924-011808-100",B:AB,23+8,0),0)</f>
        <v>0</v>
      </c>
      <c r="AG590">
        <f>IFERROR(VLOOKUP("924-011808-100",B:AB,24+8,0),0)</f>
        <v>0</v>
      </c>
      <c r="AH590">
        <f>IFERROR(VLOOKUP("924-011808-100",B:AB,25+8,0),0)</f>
        <v>0</v>
      </c>
      <c r="AI590">
        <f>IFERROR(VLOOKUP("924-011808-100",B:AB,26+8,0),0)</f>
        <v>0</v>
      </c>
      <c r="AJ590">
        <f>IFERROR(VLOOKUP("924-011808-100",B:AB,27+8,0),0)</f>
        <v>0</v>
      </c>
      <c r="AK590">
        <f>IFERROR(VLOOKUP("924-011808-100",B:AB,28+8,0),0)</f>
        <v>0</v>
      </c>
      <c r="AL590">
        <f>IFERROR(VLOOKUP("924-011808-100",B:AB,29+8,0),0)</f>
        <v>0</v>
      </c>
      <c r="AM590">
        <f>IFERROR(VLOOKUP("924-011808-100",B:AB,30+8,0),0)</f>
        <v>0</v>
      </c>
      <c r="AN590">
        <f>IFERROR(VLOOKUP("924-011808-100",B:AB,31+8,0),0)</f>
        <v>0</v>
      </c>
      <c r="AO590">
        <f>SUN(INDIRECT(ADDRESS(589,8)):INDIRECT(ADDRESS(589,39)))</f>
        <v>0</v>
      </c>
    </row>
    <row r="591" spans="1:41">
      <c r="H591" t="s">
        <v>179</v>
      </c>
      <c r="J591">
        <f>INDIRECT(ADDRESS(591,9))+INDIRECT(ADDRESS(589,10))-INDIRECT(ADDRESS(590,10))</f>
        <v>0</v>
      </c>
      <c r="K591">
        <f>INDIRECT(ADDRESS(591,10))+INDIRECT(ADDRESS(589,11))-INDIRECT(ADDRESS(590,11))</f>
        <v>0</v>
      </c>
      <c r="L591">
        <f>INDIRECT(ADDRESS(591,11))+INDIRECT(ADDRESS(589,12))-INDIRECT(ADDRESS(590,12))</f>
        <v>0</v>
      </c>
      <c r="M591">
        <f>INDIRECT(ADDRESS(591,12))+INDIRECT(ADDRESS(589,13))-INDIRECT(ADDRESS(590,13))</f>
        <v>0</v>
      </c>
      <c r="N591">
        <f>INDIRECT(ADDRESS(591,13))+INDIRECT(ADDRESS(589,14))-INDIRECT(ADDRESS(590,14))</f>
        <v>0</v>
      </c>
      <c r="O591">
        <f>INDIRECT(ADDRESS(591,14))+INDIRECT(ADDRESS(589,15))-INDIRECT(ADDRESS(590,15))</f>
        <v>0</v>
      </c>
      <c r="P591">
        <f>INDIRECT(ADDRESS(591,15))+INDIRECT(ADDRESS(589,16))-INDIRECT(ADDRESS(590,16))</f>
        <v>0</v>
      </c>
      <c r="Q591">
        <f>INDIRECT(ADDRESS(591,16))+INDIRECT(ADDRESS(589,17))-INDIRECT(ADDRESS(590,17))</f>
        <v>0</v>
      </c>
      <c r="R591">
        <f>INDIRECT(ADDRESS(591,17))+INDIRECT(ADDRESS(589,18))-INDIRECT(ADDRESS(590,18))</f>
        <v>0</v>
      </c>
      <c r="S591">
        <f>INDIRECT(ADDRESS(591,18))+INDIRECT(ADDRESS(589,19))-INDIRECT(ADDRESS(590,19))</f>
        <v>0</v>
      </c>
      <c r="T591">
        <f>INDIRECT(ADDRESS(591,19))+INDIRECT(ADDRESS(589,20))-INDIRECT(ADDRESS(590,20))</f>
        <v>0</v>
      </c>
      <c r="U591">
        <f>INDIRECT(ADDRESS(591,20))+INDIRECT(ADDRESS(589,21))-INDIRECT(ADDRESS(590,21))</f>
        <v>0</v>
      </c>
      <c r="V591">
        <f>INDIRECT(ADDRESS(591,21))+INDIRECT(ADDRESS(589,22))-INDIRECT(ADDRESS(590,22))</f>
        <v>0</v>
      </c>
      <c r="W591">
        <f>INDIRECT(ADDRESS(591,22))+INDIRECT(ADDRESS(589,23))-INDIRECT(ADDRESS(590,23))</f>
        <v>0</v>
      </c>
      <c r="X591">
        <f>INDIRECT(ADDRESS(591,23))+INDIRECT(ADDRESS(589,24))-INDIRECT(ADDRESS(590,24))</f>
        <v>0</v>
      </c>
      <c r="Y591">
        <f>INDIRECT(ADDRESS(591,24))+INDIRECT(ADDRESS(589,25))-INDIRECT(ADDRESS(590,25))</f>
        <v>0</v>
      </c>
      <c r="Z591">
        <f>INDIRECT(ADDRESS(591,25))+INDIRECT(ADDRESS(589,26))-INDIRECT(ADDRESS(590,26))</f>
        <v>0</v>
      </c>
      <c r="AA591">
        <f>INDIRECT(ADDRESS(591,26))+INDIRECT(ADDRESS(589,27))-INDIRECT(ADDRESS(590,27))</f>
        <v>0</v>
      </c>
      <c r="AB591">
        <f>INDIRECT(ADDRESS(591,27))+INDIRECT(ADDRESS(589,28))-INDIRECT(ADDRESS(590,28))</f>
        <v>0</v>
      </c>
      <c r="AC591">
        <f>INDIRECT(ADDRESS(591,28))+INDIRECT(ADDRESS(589,29))-INDIRECT(ADDRESS(590,29))</f>
        <v>0</v>
      </c>
      <c r="AD591">
        <f>INDIRECT(ADDRESS(591,29))+INDIRECT(ADDRESS(589,30))-INDIRECT(ADDRESS(590,30))</f>
        <v>0</v>
      </c>
      <c r="AE591">
        <f>INDIRECT(ADDRESS(591,30))+INDIRECT(ADDRESS(589,31))-INDIRECT(ADDRESS(590,31))</f>
        <v>0</v>
      </c>
      <c r="AF591">
        <f>INDIRECT(ADDRESS(591,31))+INDIRECT(ADDRESS(589,32))-INDIRECT(ADDRESS(590,32))</f>
        <v>0</v>
      </c>
      <c r="AG591">
        <f>INDIRECT(ADDRESS(591,32))+INDIRECT(ADDRESS(589,33))-INDIRECT(ADDRESS(590,33))</f>
        <v>0</v>
      </c>
      <c r="AH591">
        <f>INDIRECT(ADDRESS(591,33))+INDIRECT(ADDRESS(589,34))-INDIRECT(ADDRESS(590,34))</f>
        <v>0</v>
      </c>
      <c r="AI591">
        <f>INDIRECT(ADDRESS(591,34))+INDIRECT(ADDRESS(589,35))-INDIRECT(ADDRESS(590,35))</f>
        <v>0</v>
      </c>
      <c r="AJ591">
        <f>INDIRECT(ADDRESS(591,35))+INDIRECT(ADDRESS(589,36))-INDIRECT(ADDRESS(590,36))</f>
        <v>0</v>
      </c>
      <c r="AK591">
        <f>INDIRECT(ADDRESS(591,36))+INDIRECT(ADDRESS(589,37))-INDIRECT(ADDRESS(590,37))</f>
        <v>0</v>
      </c>
      <c r="AL591">
        <f>INDIRECT(ADDRESS(591,37))+INDIRECT(ADDRESS(589,38))-INDIRECT(ADDRESS(590,38))</f>
        <v>0</v>
      </c>
      <c r="AM591">
        <f>INDIRECT(ADDRESS(591,38))+INDIRECT(ADDRESS(589,39))-INDIRECT(ADDRESS(590,39))</f>
        <v>0</v>
      </c>
      <c r="AN591">
        <f>INDIRECT(ADDRESS(591,39))+INDIRECT(ADDRESS(589,40))-INDIRECT(ADDRESS(590,40))</f>
        <v>0</v>
      </c>
      <c r="AO591">
        <f>SUM(INDIRECT(ADDRESS(590,8)):INDIRECT(ADDRESS(590,39)))</f>
        <v>0</v>
      </c>
    </row>
    <row r="592" spans="1:41">
      <c r="A592" t="s">
        <v>185</v>
      </c>
      <c r="B592" t="s">
        <v>406</v>
      </c>
      <c r="C592" t="s">
        <v>407</v>
      </c>
      <c r="E592">
        <v>1</v>
      </c>
      <c r="I592" t="s">
        <v>177</v>
      </c>
    </row>
    <row r="593" spans="1:41">
      <c r="I593" t="s">
        <v>178</v>
      </c>
      <c r="J593">
        <f>IFERROR(VLOOKUP("924-011808-100",B:AB,1+8,0),0)</f>
        <v>0</v>
      </c>
      <c r="K593">
        <f>IFERROR(VLOOKUP("924-011808-100",B:AB,2+8,0),0)</f>
        <v>0</v>
      </c>
      <c r="L593">
        <f>IFERROR(VLOOKUP("924-011808-100",B:AB,3+8,0),0)</f>
        <v>0</v>
      </c>
      <c r="M593">
        <f>IFERROR(VLOOKUP("924-011808-100",B:AB,4+8,0),0)</f>
        <v>0</v>
      </c>
      <c r="N593">
        <f>IFERROR(VLOOKUP("924-011808-100",B:AB,5+8,0),0)</f>
        <v>0</v>
      </c>
      <c r="O593">
        <f>IFERROR(VLOOKUP("924-011808-100",B:AB,6+8,0),0)</f>
        <v>0</v>
      </c>
      <c r="P593">
        <f>IFERROR(VLOOKUP("924-011808-100",B:AB,7+8,0),0)</f>
        <v>0</v>
      </c>
      <c r="Q593">
        <f>IFERROR(VLOOKUP("924-011808-100",B:AB,8+8,0),0)</f>
        <v>0</v>
      </c>
      <c r="R593">
        <f>IFERROR(VLOOKUP("924-011808-100",B:AB,9+8,0),0)</f>
        <v>0</v>
      </c>
      <c r="S593">
        <f>IFERROR(VLOOKUP("924-011808-100",B:AB,10+8,0),0)</f>
        <v>0</v>
      </c>
      <c r="T593">
        <f>IFERROR(VLOOKUP("924-011808-100",B:AB,11+8,0),0)</f>
        <v>0</v>
      </c>
      <c r="U593">
        <f>IFERROR(VLOOKUP("924-011808-100",B:AB,12+8,0),0)</f>
        <v>0</v>
      </c>
      <c r="V593">
        <f>IFERROR(VLOOKUP("924-011808-100",B:AB,13+8,0),0)</f>
        <v>0</v>
      </c>
      <c r="W593">
        <f>IFERROR(VLOOKUP("924-011808-100",B:AB,14+8,0),0)</f>
        <v>0</v>
      </c>
      <c r="X593">
        <f>IFERROR(VLOOKUP("924-011808-100",B:AB,15+8,0),0)</f>
        <v>0</v>
      </c>
      <c r="Y593">
        <f>IFERROR(VLOOKUP("924-011808-100",B:AB,16+8,0),0)</f>
        <v>0</v>
      </c>
      <c r="Z593">
        <f>IFERROR(VLOOKUP("924-011808-100",B:AB,17+8,0),0)</f>
        <v>0</v>
      </c>
      <c r="AA593">
        <f>IFERROR(VLOOKUP("924-011808-100",B:AB,18+8,0),0)</f>
        <v>0</v>
      </c>
      <c r="AB593">
        <f>IFERROR(VLOOKUP("924-011808-100",B:AB,19+8,0),0)</f>
        <v>0</v>
      </c>
      <c r="AC593">
        <f>IFERROR(VLOOKUP("924-011808-100",B:AB,20+8,0),0)</f>
        <v>0</v>
      </c>
      <c r="AD593">
        <f>IFERROR(VLOOKUP("924-011808-100",B:AB,21+8,0),0)</f>
        <v>0</v>
      </c>
      <c r="AE593">
        <f>IFERROR(VLOOKUP("924-011808-100",B:AB,22+8,0),0)</f>
        <v>0</v>
      </c>
      <c r="AF593">
        <f>IFERROR(VLOOKUP("924-011808-100",B:AB,23+8,0),0)</f>
        <v>0</v>
      </c>
      <c r="AG593">
        <f>IFERROR(VLOOKUP("924-011808-100",B:AB,24+8,0),0)</f>
        <v>0</v>
      </c>
      <c r="AH593">
        <f>IFERROR(VLOOKUP("924-011808-100",B:AB,25+8,0),0)</f>
        <v>0</v>
      </c>
      <c r="AI593">
        <f>IFERROR(VLOOKUP("924-011808-100",B:AB,26+8,0),0)</f>
        <v>0</v>
      </c>
      <c r="AJ593">
        <f>IFERROR(VLOOKUP("924-011808-100",B:AB,27+8,0),0)</f>
        <v>0</v>
      </c>
      <c r="AK593">
        <f>IFERROR(VLOOKUP("924-011808-100",B:AB,28+8,0),0)</f>
        <v>0</v>
      </c>
      <c r="AL593">
        <f>IFERROR(VLOOKUP("924-011808-100",B:AB,29+8,0),0)</f>
        <v>0</v>
      </c>
      <c r="AM593">
        <f>IFERROR(VLOOKUP("924-011808-100",B:AB,30+8,0),0)</f>
        <v>0</v>
      </c>
      <c r="AN593">
        <f>IFERROR(VLOOKUP("924-011808-100",B:AB,31+8,0),0)</f>
        <v>0</v>
      </c>
      <c r="AO593">
        <f>SUN(INDIRECT(ADDRESS(592,8)):INDIRECT(ADDRESS(592,39)))</f>
        <v>0</v>
      </c>
    </row>
    <row r="594" spans="1:41">
      <c r="H594" t="s">
        <v>179</v>
      </c>
      <c r="J594">
        <f>INDIRECT(ADDRESS(594,9))+INDIRECT(ADDRESS(592,10))-INDIRECT(ADDRESS(593,10))</f>
        <v>0</v>
      </c>
      <c r="K594">
        <f>INDIRECT(ADDRESS(594,10))+INDIRECT(ADDRESS(592,11))-INDIRECT(ADDRESS(593,11))</f>
        <v>0</v>
      </c>
      <c r="L594">
        <f>INDIRECT(ADDRESS(594,11))+INDIRECT(ADDRESS(592,12))-INDIRECT(ADDRESS(593,12))</f>
        <v>0</v>
      </c>
      <c r="M594">
        <f>INDIRECT(ADDRESS(594,12))+INDIRECT(ADDRESS(592,13))-INDIRECT(ADDRESS(593,13))</f>
        <v>0</v>
      </c>
      <c r="N594">
        <f>INDIRECT(ADDRESS(594,13))+INDIRECT(ADDRESS(592,14))-INDIRECT(ADDRESS(593,14))</f>
        <v>0</v>
      </c>
      <c r="O594">
        <f>INDIRECT(ADDRESS(594,14))+INDIRECT(ADDRESS(592,15))-INDIRECT(ADDRESS(593,15))</f>
        <v>0</v>
      </c>
      <c r="P594">
        <f>INDIRECT(ADDRESS(594,15))+INDIRECT(ADDRESS(592,16))-INDIRECT(ADDRESS(593,16))</f>
        <v>0</v>
      </c>
      <c r="Q594">
        <f>INDIRECT(ADDRESS(594,16))+INDIRECT(ADDRESS(592,17))-INDIRECT(ADDRESS(593,17))</f>
        <v>0</v>
      </c>
      <c r="R594">
        <f>INDIRECT(ADDRESS(594,17))+INDIRECT(ADDRESS(592,18))-INDIRECT(ADDRESS(593,18))</f>
        <v>0</v>
      </c>
      <c r="S594">
        <f>INDIRECT(ADDRESS(594,18))+INDIRECT(ADDRESS(592,19))-INDIRECT(ADDRESS(593,19))</f>
        <v>0</v>
      </c>
      <c r="T594">
        <f>INDIRECT(ADDRESS(594,19))+INDIRECT(ADDRESS(592,20))-INDIRECT(ADDRESS(593,20))</f>
        <v>0</v>
      </c>
      <c r="U594">
        <f>INDIRECT(ADDRESS(594,20))+INDIRECT(ADDRESS(592,21))-INDIRECT(ADDRESS(593,21))</f>
        <v>0</v>
      </c>
      <c r="V594">
        <f>INDIRECT(ADDRESS(594,21))+INDIRECT(ADDRESS(592,22))-INDIRECT(ADDRESS(593,22))</f>
        <v>0</v>
      </c>
      <c r="W594">
        <f>INDIRECT(ADDRESS(594,22))+INDIRECT(ADDRESS(592,23))-INDIRECT(ADDRESS(593,23))</f>
        <v>0</v>
      </c>
      <c r="X594">
        <f>INDIRECT(ADDRESS(594,23))+INDIRECT(ADDRESS(592,24))-INDIRECT(ADDRESS(593,24))</f>
        <v>0</v>
      </c>
      <c r="Y594">
        <f>INDIRECT(ADDRESS(594,24))+INDIRECT(ADDRESS(592,25))-INDIRECT(ADDRESS(593,25))</f>
        <v>0</v>
      </c>
      <c r="Z594">
        <f>INDIRECT(ADDRESS(594,25))+INDIRECT(ADDRESS(592,26))-INDIRECT(ADDRESS(593,26))</f>
        <v>0</v>
      </c>
      <c r="AA594">
        <f>INDIRECT(ADDRESS(594,26))+INDIRECT(ADDRESS(592,27))-INDIRECT(ADDRESS(593,27))</f>
        <v>0</v>
      </c>
      <c r="AB594">
        <f>INDIRECT(ADDRESS(594,27))+INDIRECT(ADDRESS(592,28))-INDIRECT(ADDRESS(593,28))</f>
        <v>0</v>
      </c>
      <c r="AC594">
        <f>INDIRECT(ADDRESS(594,28))+INDIRECT(ADDRESS(592,29))-INDIRECT(ADDRESS(593,29))</f>
        <v>0</v>
      </c>
      <c r="AD594">
        <f>INDIRECT(ADDRESS(594,29))+INDIRECT(ADDRESS(592,30))-INDIRECT(ADDRESS(593,30))</f>
        <v>0</v>
      </c>
      <c r="AE594">
        <f>INDIRECT(ADDRESS(594,30))+INDIRECT(ADDRESS(592,31))-INDIRECT(ADDRESS(593,31))</f>
        <v>0</v>
      </c>
      <c r="AF594">
        <f>INDIRECT(ADDRESS(594,31))+INDIRECT(ADDRESS(592,32))-INDIRECT(ADDRESS(593,32))</f>
        <v>0</v>
      </c>
      <c r="AG594">
        <f>INDIRECT(ADDRESS(594,32))+INDIRECT(ADDRESS(592,33))-INDIRECT(ADDRESS(593,33))</f>
        <v>0</v>
      </c>
      <c r="AH594">
        <f>INDIRECT(ADDRESS(594,33))+INDIRECT(ADDRESS(592,34))-INDIRECT(ADDRESS(593,34))</f>
        <v>0</v>
      </c>
      <c r="AI594">
        <f>INDIRECT(ADDRESS(594,34))+INDIRECT(ADDRESS(592,35))-INDIRECT(ADDRESS(593,35))</f>
        <v>0</v>
      </c>
      <c r="AJ594">
        <f>INDIRECT(ADDRESS(594,35))+INDIRECT(ADDRESS(592,36))-INDIRECT(ADDRESS(593,36))</f>
        <v>0</v>
      </c>
      <c r="AK594">
        <f>INDIRECT(ADDRESS(594,36))+INDIRECT(ADDRESS(592,37))-INDIRECT(ADDRESS(593,37))</f>
        <v>0</v>
      </c>
      <c r="AL594">
        <f>INDIRECT(ADDRESS(594,37))+INDIRECT(ADDRESS(592,38))-INDIRECT(ADDRESS(593,38))</f>
        <v>0</v>
      </c>
      <c r="AM594">
        <f>INDIRECT(ADDRESS(594,38))+INDIRECT(ADDRESS(592,39))-INDIRECT(ADDRESS(593,39))</f>
        <v>0</v>
      </c>
      <c r="AN594">
        <f>INDIRECT(ADDRESS(594,39))+INDIRECT(ADDRESS(592,40))-INDIRECT(ADDRESS(593,40))</f>
        <v>0</v>
      </c>
      <c r="AO594">
        <f>SUM(INDIRECT(ADDRESS(593,8)):INDIRECT(ADDRESS(593,39)))</f>
        <v>0</v>
      </c>
    </row>
    <row r="595" spans="1:41">
      <c r="A595" t="s">
        <v>408</v>
      </c>
      <c r="B595" t="s">
        <v>409</v>
      </c>
      <c r="C595" t="s">
        <v>410</v>
      </c>
      <c r="E595">
        <v>0.1</v>
      </c>
      <c r="I595" t="s">
        <v>177</v>
      </c>
    </row>
    <row r="596" spans="1:41">
      <c r="I596" t="s">
        <v>178</v>
      </c>
      <c r="J596">
        <f>IFERROR(VLOOKUP("924-011808-100",B:AB,1+8,0),0)</f>
        <v>0</v>
      </c>
      <c r="K596">
        <f>IFERROR(VLOOKUP("924-011808-100",B:AB,2+8,0),0)</f>
        <v>0</v>
      </c>
      <c r="L596">
        <f>IFERROR(VLOOKUP("924-011808-100",B:AB,3+8,0),0)</f>
        <v>0</v>
      </c>
      <c r="M596">
        <f>IFERROR(VLOOKUP("924-011808-100",B:AB,4+8,0),0)</f>
        <v>0</v>
      </c>
      <c r="N596">
        <f>IFERROR(VLOOKUP("924-011808-100",B:AB,5+8,0),0)</f>
        <v>0</v>
      </c>
      <c r="O596">
        <f>IFERROR(VLOOKUP("924-011808-100",B:AB,6+8,0),0)</f>
        <v>0</v>
      </c>
      <c r="P596">
        <f>IFERROR(VLOOKUP("924-011808-100",B:AB,7+8,0),0)</f>
        <v>0</v>
      </c>
      <c r="Q596">
        <f>IFERROR(VLOOKUP("924-011808-100",B:AB,8+8,0),0)</f>
        <v>0</v>
      </c>
      <c r="R596">
        <f>IFERROR(VLOOKUP("924-011808-100",B:AB,9+8,0),0)</f>
        <v>0</v>
      </c>
      <c r="S596">
        <f>IFERROR(VLOOKUP("924-011808-100",B:AB,10+8,0),0)</f>
        <v>0</v>
      </c>
      <c r="T596">
        <f>IFERROR(VLOOKUP("924-011808-100",B:AB,11+8,0),0)</f>
        <v>0</v>
      </c>
      <c r="U596">
        <f>IFERROR(VLOOKUP("924-011808-100",B:AB,12+8,0),0)</f>
        <v>0</v>
      </c>
      <c r="V596">
        <f>IFERROR(VLOOKUP("924-011808-100",B:AB,13+8,0),0)</f>
        <v>0</v>
      </c>
      <c r="W596">
        <f>IFERROR(VLOOKUP("924-011808-100",B:AB,14+8,0),0)</f>
        <v>0</v>
      </c>
      <c r="X596">
        <f>IFERROR(VLOOKUP("924-011808-100",B:AB,15+8,0),0)</f>
        <v>0</v>
      </c>
      <c r="Y596">
        <f>IFERROR(VLOOKUP("924-011808-100",B:AB,16+8,0),0)</f>
        <v>0</v>
      </c>
      <c r="Z596">
        <f>IFERROR(VLOOKUP("924-011808-100",B:AB,17+8,0),0)</f>
        <v>0</v>
      </c>
      <c r="AA596">
        <f>IFERROR(VLOOKUP("924-011808-100",B:AB,18+8,0),0)</f>
        <v>0</v>
      </c>
      <c r="AB596">
        <f>IFERROR(VLOOKUP("924-011808-100",B:AB,19+8,0),0)</f>
        <v>0</v>
      </c>
      <c r="AC596">
        <f>IFERROR(VLOOKUP("924-011808-100",B:AB,20+8,0),0)</f>
        <v>0</v>
      </c>
      <c r="AD596">
        <f>IFERROR(VLOOKUP("924-011808-100",B:AB,21+8,0),0)</f>
        <v>0</v>
      </c>
      <c r="AE596">
        <f>IFERROR(VLOOKUP("924-011808-100",B:AB,22+8,0),0)</f>
        <v>0</v>
      </c>
      <c r="AF596">
        <f>IFERROR(VLOOKUP("924-011808-100",B:AB,23+8,0),0)</f>
        <v>0</v>
      </c>
      <c r="AG596">
        <f>IFERROR(VLOOKUP("924-011808-100",B:AB,24+8,0),0)</f>
        <v>0</v>
      </c>
      <c r="AH596">
        <f>IFERROR(VLOOKUP("924-011808-100",B:AB,25+8,0),0)</f>
        <v>0</v>
      </c>
      <c r="AI596">
        <f>IFERROR(VLOOKUP("924-011808-100",B:AB,26+8,0),0)</f>
        <v>0</v>
      </c>
      <c r="AJ596">
        <f>IFERROR(VLOOKUP("924-011808-100",B:AB,27+8,0),0)</f>
        <v>0</v>
      </c>
      <c r="AK596">
        <f>IFERROR(VLOOKUP("924-011808-100",B:AB,28+8,0),0)</f>
        <v>0</v>
      </c>
      <c r="AL596">
        <f>IFERROR(VLOOKUP("924-011808-100",B:AB,29+8,0),0)</f>
        <v>0</v>
      </c>
      <c r="AM596">
        <f>IFERROR(VLOOKUP("924-011808-100",B:AB,30+8,0),0)</f>
        <v>0</v>
      </c>
      <c r="AN596">
        <f>IFERROR(VLOOKUP("924-011808-100",B:AB,31+8,0),0)</f>
        <v>0</v>
      </c>
      <c r="AO596">
        <f>SUN(INDIRECT(ADDRESS(595,8)):INDIRECT(ADDRESS(595,39)))</f>
        <v>0</v>
      </c>
    </row>
    <row r="597" spans="1:41">
      <c r="H597" t="s">
        <v>179</v>
      </c>
      <c r="J597">
        <f>INDIRECT(ADDRESS(597,9))+INDIRECT(ADDRESS(595,10))-INDIRECT(ADDRESS(596,10))</f>
        <v>0</v>
      </c>
      <c r="K597">
        <f>INDIRECT(ADDRESS(597,10))+INDIRECT(ADDRESS(595,11))-INDIRECT(ADDRESS(596,11))</f>
        <v>0</v>
      </c>
      <c r="L597">
        <f>INDIRECT(ADDRESS(597,11))+INDIRECT(ADDRESS(595,12))-INDIRECT(ADDRESS(596,12))</f>
        <v>0</v>
      </c>
      <c r="M597">
        <f>INDIRECT(ADDRESS(597,12))+INDIRECT(ADDRESS(595,13))-INDIRECT(ADDRESS(596,13))</f>
        <v>0</v>
      </c>
      <c r="N597">
        <f>INDIRECT(ADDRESS(597,13))+INDIRECT(ADDRESS(595,14))-INDIRECT(ADDRESS(596,14))</f>
        <v>0</v>
      </c>
      <c r="O597">
        <f>INDIRECT(ADDRESS(597,14))+INDIRECT(ADDRESS(595,15))-INDIRECT(ADDRESS(596,15))</f>
        <v>0</v>
      </c>
      <c r="P597">
        <f>INDIRECT(ADDRESS(597,15))+INDIRECT(ADDRESS(595,16))-INDIRECT(ADDRESS(596,16))</f>
        <v>0</v>
      </c>
      <c r="Q597">
        <f>INDIRECT(ADDRESS(597,16))+INDIRECT(ADDRESS(595,17))-INDIRECT(ADDRESS(596,17))</f>
        <v>0</v>
      </c>
      <c r="R597">
        <f>INDIRECT(ADDRESS(597,17))+INDIRECT(ADDRESS(595,18))-INDIRECT(ADDRESS(596,18))</f>
        <v>0</v>
      </c>
      <c r="S597">
        <f>INDIRECT(ADDRESS(597,18))+INDIRECT(ADDRESS(595,19))-INDIRECT(ADDRESS(596,19))</f>
        <v>0</v>
      </c>
      <c r="T597">
        <f>INDIRECT(ADDRESS(597,19))+INDIRECT(ADDRESS(595,20))-INDIRECT(ADDRESS(596,20))</f>
        <v>0</v>
      </c>
      <c r="U597">
        <f>INDIRECT(ADDRESS(597,20))+INDIRECT(ADDRESS(595,21))-INDIRECT(ADDRESS(596,21))</f>
        <v>0</v>
      </c>
      <c r="V597">
        <f>INDIRECT(ADDRESS(597,21))+INDIRECT(ADDRESS(595,22))-INDIRECT(ADDRESS(596,22))</f>
        <v>0</v>
      </c>
      <c r="W597">
        <f>INDIRECT(ADDRESS(597,22))+INDIRECT(ADDRESS(595,23))-INDIRECT(ADDRESS(596,23))</f>
        <v>0</v>
      </c>
      <c r="X597">
        <f>INDIRECT(ADDRESS(597,23))+INDIRECT(ADDRESS(595,24))-INDIRECT(ADDRESS(596,24))</f>
        <v>0</v>
      </c>
      <c r="Y597">
        <f>INDIRECT(ADDRESS(597,24))+INDIRECT(ADDRESS(595,25))-INDIRECT(ADDRESS(596,25))</f>
        <v>0</v>
      </c>
      <c r="Z597">
        <f>INDIRECT(ADDRESS(597,25))+INDIRECT(ADDRESS(595,26))-INDIRECT(ADDRESS(596,26))</f>
        <v>0</v>
      </c>
      <c r="AA597">
        <f>INDIRECT(ADDRESS(597,26))+INDIRECT(ADDRESS(595,27))-INDIRECT(ADDRESS(596,27))</f>
        <v>0</v>
      </c>
      <c r="AB597">
        <f>INDIRECT(ADDRESS(597,27))+INDIRECT(ADDRESS(595,28))-INDIRECT(ADDRESS(596,28))</f>
        <v>0</v>
      </c>
      <c r="AC597">
        <f>INDIRECT(ADDRESS(597,28))+INDIRECT(ADDRESS(595,29))-INDIRECT(ADDRESS(596,29))</f>
        <v>0</v>
      </c>
      <c r="AD597">
        <f>INDIRECT(ADDRESS(597,29))+INDIRECT(ADDRESS(595,30))-INDIRECT(ADDRESS(596,30))</f>
        <v>0</v>
      </c>
      <c r="AE597">
        <f>INDIRECT(ADDRESS(597,30))+INDIRECT(ADDRESS(595,31))-INDIRECT(ADDRESS(596,31))</f>
        <v>0</v>
      </c>
      <c r="AF597">
        <f>INDIRECT(ADDRESS(597,31))+INDIRECT(ADDRESS(595,32))-INDIRECT(ADDRESS(596,32))</f>
        <v>0</v>
      </c>
      <c r="AG597">
        <f>INDIRECT(ADDRESS(597,32))+INDIRECT(ADDRESS(595,33))-INDIRECT(ADDRESS(596,33))</f>
        <v>0</v>
      </c>
      <c r="AH597">
        <f>INDIRECT(ADDRESS(597,33))+INDIRECT(ADDRESS(595,34))-INDIRECT(ADDRESS(596,34))</f>
        <v>0</v>
      </c>
      <c r="AI597">
        <f>INDIRECT(ADDRESS(597,34))+INDIRECT(ADDRESS(595,35))-INDIRECT(ADDRESS(596,35))</f>
        <v>0</v>
      </c>
      <c r="AJ597">
        <f>INDIRECT(ADDRESS(597,35))+INDIRECT(ADDRESS(595,36))-INDIRECT(ADDRESS(596,36))</f>
        <v>0</v>
      </c>
      <c r="AK597">
        <f>INDIRECT(ADDRESS(597,36))+INDIRECT(ADDRESS(595,37))-INDIRECT(ADDRESS(596,37))</f>
        <v>0</v>
      </c>
      <c r="AL597">
        <f>INDIRECT(ADDRESS(597,37))+INDIRECT(ADDRESS(595,38))-INDIRECT(ADDRESS(596,38))</f>
        <v>0</v>
      </c>
      <c r="AM597">
        <f>INDIRECT(ADDRESS(597,38))+INDIRECT(ADDRESS(595,39))-INDIRECT(ADDRESS(596,39))</f>
        <v>0</v>
      </c>
      <c r="AN597">
        <f>INDIRECT(ADDRESS(597,39))+INDIRECT(ADDRESS(595,40))-INDIRECT(ADDRESS(596,40))</f>
        <v>0</v>
      </c>
      <c r="AO597">
        <f>SUM(INDIRECT(ADDRESS(596,8)):INDIRECT(ADDRESS(596,39)))</f>
        <v>0</v>
      </c>
    </row>
    <row r="598" spans="1:41">
      <c r="A598" t="s">
        <v>8</v>
      </c>
      <c r="B598" t="s">
        <v>47</v>
      </c>
      <c r="C598" t="s">
        <v>48</v>
      </c>
      <c r="E598">
        <v>1</v>
      </c>
      <c r="I598" t="s">
        <v>177</v>
      </c>
    </row>
    <row r="599" spans="1:41">
      <c r="I599" t="s">
        <v>178</v>
      </c>
      <c r="J599">
        <f>IFERROR(VLOOKUP("924-011808-200",Out!B:AB,1+8,0),0)</f>
        <v>0</v>
      </c>
      <c r="K599">
        <f>IFERROR(VLOOKUP("924-011808-200",Out!B:AB,2+8,0),0)</f>
        <v>0</v>
      </c>
      <c r="L599">
        <f>IFERROR(VLOOKUP("924-011808-200",Out!B:AB,3+8,0),0)</f>
        <v>0</v>
      </c>
      <c r="M599">
        <f>IFERROR(VLOOKUP("924-011808-200",Out!B:AB,4+8,0),0)</f>
        <v>0</v>
      </c>
      <c r="N599">
        <f>IFERROR(VLOOKUP("924-011808-200",Out!B:AB,5+8,0),0)</f>
        <v>0</v>
      </c>
      <c r="O599">
        <f>IFERROR(VLOOKUP("924-011808-200",Out!B:AB,6+8,0),0)</f>
        <v>0</v>
      </c>
      <c r="P599">
        <f>IFERROR(VLOOKUP("924-011808-200",Out!B:AB,7+8,0),0)</f>
        <v>0</v>
      </c>
      <c r="Q599">
        <f>IFERROR(VLOOKUP("924-011808-200",Out!B:AB,8+8,0),0)</f>
        <v>0</v>
      </c>
      <c r="R599">
        <f>IFERROR(VLOOKUP("924-011808-200",Out!B:AB,9+8,0),0)</f>
        <v>0</v>
      </c>
      <c r="S599">
        <f>IFERROR(VLOOKUP("924-011808-200",Out!B:AB,10+8,0),0)</f>
        <v>0</v>
      </c>
      <c r="T599">
        <f>IFERROR(VLOOKUP("924-011808-200",Out!B:AB,11+8,0),0)</f>
        <v>0</v>
      </c>
      <c r="U599">
        <f>IFERROR(VLOOKUP("924-011808-200",Out!B:AB,12+8,0),0)</f>
        <v>0</v>
      </c>
      <c r="V599">
        <f>IFERROR(VLOOKUP("924-011808-200",Out!B:AB,13+8,0),0)</f>
        <v>0</v>
      </c>
      <c r="W599">
        <f>IFERROR(VLOOKUP("924-011808-200",Out!B:AB,14+8,0),0)</f>
        <v>0</v>
      </c>
      <c r="X599">
        <f>IFERROR(VLOOKUP("924-011808-200",Out!B:AB,15+8,0),0)</f>
        <v>0</v>
      </c>
      <c r="Y599">
        <f>IFERROR(VLOOKUP("924-011808-200",Out!B:AB,16+8,0),0)</f>
        <v>0</v>
      </c>
      <c r="Z599">
        <f>IFERROR(VLOOKUP("924-011808-200",Out!B:AB,17+8,0),0)</f>
        <v>0</v>
      </c>
      <c r="AA599">
        <f>IFERROR(VLOOKUP("924-011808-200",Out!B:AB,18+8,0),0)</f>
        <v>0</v>
      </c>
      <c r="AB599">
        <f>IFERROR(VLOOKUP("924-011808-200",Out!B:AB,19+8,0),0)</f>
        <v>0</v>
      </c>
      <c r="AC599">
        <f>IFERROR(VLOOKUP("924-011808-200",Out!B:AB,20+8,0),0)</f>
        <v>0</v>
      </c>
      <c r="AD599">
        <f>IFERROR(VLOOKUP("924-011808-200",Out!B:AB,21+8,0),0)</f>
        <v>0</v>
      </c>
      <c r="AE599">
        <f>IFERROR(VLOOKUP("924-011808-200",Out!B:AB,22+8,0),0)</f>
        <v>0</v>
      </c>
      <c r="AF599">
        <f>IFERROR(VLOOKUP("924-011808-200",Out!B:AB,23+8,0),0)</f>
        <v>0</v>
      </c>
      <c r="AG599">
        <f>IFERROR(VLOOKUP("924-011808-200",Out!B:AB,24+8,0),0)</f>
        <v>0</v>
      </c>
      <c r="AH599">
        <f>IFERROR(VLOOKUP("924-011808-200",Out!B:AB,25+8,0),0)</f>
        <v>0</v>
      </c>
      <c r="AI599">
        <f>IFERROR(VLOOKUP("924-011808-200",Out!B:AB,26+8,0),0)</f>
        <v>0</v>
      </c>
      <c r="AJ599">
        <f>IFERROR(VLOOKUP("924-011808-200",Out!B:AB,27+8,0),0)</f>
        <v>0</v>
      </c>
      <c r="AK599">
        <f>IFERROR(VLOOKUP("924-011808-200",Out!B:AB,28+8,0),0)</f>
        <v>0</v>
      </c>
      <c r="AL599">
        <f>IFERROR(VLOOKUP("924-011808-200",Out!B:AB,29+8,0),0)</f>
        <v>0</v>
      </c>
      <c r="AM599">
        <f>IFERROR(VLOOKUP("924-011808-200",Out!B:AB,30+8,0),0)</f>
        <v>0</v>
      </c>
      <c r="AN599">
        <f>IFERROR(VLOOKUP("924-011808-200",Out!B:AB,31+8,0),0)</f>
        <v>0</v>
      </c>
      <c r="AO599">
        <f>SUN(INDIRECT(ADDRESS(598,8)):INDIRECT(ADDRESS(598,39)))</f>
        <v>0</v>
      </c>
    </row>
    <row r="600" spans="1:41">
      <c r="H600" t="s">
        <v>179</v>
      </c>
      <c r="J600">
        <f>INDIRECT(ADDRESS(600,9))+INDIRECT(ADDRESS(598,10))-INDIRECT(ADDRESS(599,10))</f>
        <v>0</v>
      </c>
      <c r="K600">
        <f>INDIRECT(ADDRESS(600,10))+INDIRECT(ADDRESS(598,11))-INDIRECT(ADDRESS(599,11))</f>
        <v>0</v>
      </c>
      <c r="L600">
        <f>INDIRECT(ADDRESS(600,11))+INDIRECT(ADDRESS(598,12))-INDIRECT(ADDRESS(599,12))</f>
        <v>0</v>
      </c>
      <c r="M600">
        <f>INDIRECT(ADDRESS(600,12))+INDIRECT(ADDRESS(598,13))-INDIRECT(ADDRESS(599,13))</f>
        <v>0</v>
      </c>
      <c r="N600">
        <f>INDIRECT(ADDRESS(600,13))+INDIRECT(ADDRESS(598,14))-INDIRECT(ADDRESS(599,14))</f>
        <v>0</v>
      </c>
      <c r="O600">
        <f>INDIRECT(ADDRESS(600,14))+INDIRECT(ADDRESS(598,15))-INDIRECT(ADDRESS(599,15))</f>
        <v>0</v>
      </c>
      <c r="P600">
        <f>INDIRECT(ADDRESS(600,15))+INDIRECT(ADDRESS(598,16))-INDIRECT(ADDRESS(599,16))</f>
        <v>0</v>
      </c>
      <c r="Q600">
        <f>INDIRECT(ADDRESS(600,16))+INDIRECT(ADDRESS(598,17))-INDIRECT(ADDRESS(599,17))</f>
        <v>0</v>
      </c>
      <c r="R600">
        <f>INDIRECT(ADDRESS(600,17))+INDIRECT(ADDRESS(598,18))-INDIRECT(ADDRESS(599,18))</f>
        <v>0</v>
      </c>
      <c r="S600">
        <f>INDIRECT(ADDRESS(600,18))+INDIRECT(ADDRESS(598,19))-INDIRECT(ADDRESS(599,19))</f>
        <v>0</v>
      </c>
      <c r="T600">
        <f>INDIRECT(ADDRESS(600,19))+INDIRECT(ADDRESS(598,20))-INDIRECT(ADDRESS(599,20))</f>
        <v>0</v>
      </c>
      <c r="U600">
        <f>INDIRECT(ADDRESS(600,20))+INDIRECT(ADDRESS(598,21))-INDIRECT(ADDRESS(599,21))</f>
        <v>0</v>
      </c>
      <c r="V600">
        <f>INDIRECT(ADDRESS(600,21))+INDIRECT(ADDRESS(598,22))-INDIRECT(ADDRESS(599,22))</f>
        <v>0</v>
      </c>
      <c r="W600">
        <f>INDIRECT(ADDRESS(600,22))+INDIRECT(ADDRESS(598,23))-INDIRECT(ADDRESS(599,23))</f>
        <v>0</v>
      </c>
      <c r="X600">
        <f>INDIRECT(ADDRESS(600,23))+INDIRECT(ADDRESS(598,24))-INDIRECT(ADDRESS(599,24))</f>
        <v>0</v>
      </c>
      <c r="Y600">
        <f>INDIRECT(ADDRESS(600,24))+INDIRECT(ADDRESS(598,25))-INDIRECT(ADDRESS(599,25))</f>
        <v>0</v>
      </c>
      <c r="Z600">
        <f>INDIRECT(ADDRESS(600,25))+INDIRECT(ADDRESS(598,26))-INDIRECT(ADDRESS(599,26))</f>
        <v>0</v>
      </c>
      <c r="AA600">
        <f>INDIRECT(ADDRESS(600,26))+INDIRECT(ADDRESS(598,27))-INDIRECT(ADDRESS(599,27))</f>
        <v>0</v>
      </c>
      <c r="AB600">
        <f>INDIRECT(ADDRESS(600,27))+INDIRECT(ADDRESS(598,28))-INDIRECT(ADDRESS(599,28))</f>
        <v>0</v>
      </c>
      <c r="AC600">
        <f>INDIRECT(ADDRESS(600,28))+INDIRECT(ADDRESS(598,29))-INDIRECT(ADDRESS(599,29))</f>
        <v>0</v>
      </c>
      <c r="AD600">
        <f>INDIRECT(ADDRESS(600,29))+INDIRECT(ADDRESS(598,30))-INDIRECT(ADDRESS(599,30))</f>
        <v>0</v>
      </c>
      <c r="AE600">
        <f>INDIRECT(ADDRESS(600,30))+INDIRECT(ADDRESS(598,31))-INDIRECT(ADDRESS(599,31))</f>
        <v>0</v>
      </c>
      <c r="AF600">
        <f>INDIRECT(ADDRESS(600,31))+INDIRECT(ADDRESS(598,32))-INDIRECT(ADDRESS(599,32))</f>
        <v>0</v>
      </c>
      <c r="AG600">
        <f>INDIRECT(ADDRESS(600,32))+INDIRECT(ADDRESS(598,33))-INDIRECT(ADDRESS(599,33))</f>
        <v>0</v>
      </c>
      <c r="AH600">
        <f>INDIRECT(ADDRESS(600,33))+INDIRECT(ADDRESS(598,34))-INDIRECT(ADDRESS(599,34))</f>
        <v>0</v>
      </c>
      <c r="AI600">
        <f>INDIRECT(ADDRESS(600,34))+INDIRECT(ADDRESS(598,35))-INDIRECT(ADDRESS(599,35))</f>
        <v>0</v>
      </c>
      <c r="AJ600">
        <f>INDIRECT(ADDRESS(600,35))+INDIRECT(ADDRESS(598,36))-INDIRECT(ADDRESS(599,36))</f>
        <v>0</v>
      </c>
      <c r="AK600">
        <f>INDIRECT(ADDRESS(600,36))+INDIRECT(ADDRESS(598,37))-INDIRECT(ADDRESS(599,37))</f>
        <v>0</v>
      </c>
      <c r="AL600">
        <f>INDIRECT(ADDRESS(600,37))+INDIRECT(ADDRESS(598,38))-INDIRECT(ADDRESS(599,38))</f>
        <v>0</v>
      </c>
      <c r="AM600">
        <f>INDIRECT(ADDRESS(600,38))+INDIRECT(ADDRESS(598,39))-INDIRECT(ADDRESS(599,39))</f>
        <v>0</v>
      </c>
      <c r="AN600">
        <f>INDIRECT(ADDRESS(600,39))+INDIRECT(ADDRESS(598,40))-INDIRECT(ADDRESS(599,40))</f>
        <v>0</v>
      </c>
      <c r="AO600">
        <f>SUM(INDIRECT(ADDRESS(599,8)):INDIRECT(ADDRESS(599,39)))</f>
        <v>0</v>
      </c>
    </row>
    <row r="601" spans="1:41">
      <c r="A601" t="s">
        <v>185</v>
      </c>
      <c r="B601" t="s">
        <v>395</v>
      </c>
      <c r="C601" t="s">
        <v>396</v>
      </c>
      <c r="E601">
        <v>1</v>
      </c>
      <c r="I601" t="s">
        <v>177</v>
      </c>
    </row>
    <row r="602" spans="1:41">
      <c r="I602" t="s">
        <v>178</v>
      </c>
      <c r="J602">
        <f>IFERROR(VLOOKUP("924-011808-200",B:AB,1+8,0),0)</f>
        <v>0</v>
      </c>
      <c r="K602">
        <f>IFERROR(VLOOKUP("924-011808-200",B:AB,2+8,0),0)</f>
        <v>0</v>
      </c>
      <c r="L602">
        <f>IFERROR(VLOOKUP("924-011808-200",B:AB,3+8,0),0)</f>
        <v>0</v>
      </c>
      <c r="M602">
        <f>IFERROR(VLOOKUP("924-011808-200",B:AB,4+8,0),0)</f>
        <v>0</v>
      </c>
      <c r="N602">
        <f>IFERROR(VLOOKUP("924-011808-200",B:AB,5+8,0),0)</f>
        <v>0</v>
      </c>
      <c r="O602">
        <f>IFERROR(VLOOKUP("924-011808-200",B:AB,6+8,0),0)</f>
        <v>0</v>
      </c>
      <c r="P602">
        <f>IFERROR(VLOOKUP("924-011808-200",B:AB,7+8,0),0)</f>
        <v>0</v>
      </c>
      <c r="Q602">
        <f>IFERROR(VLOOKUP("924-011808-200",B:AB,8+8,0),0)</f>
        <v>0</v>
      </c>
      <c r="R602">
        <f>IFERROR(VLOOKUP("924-011808-200",B:AB,9+8,0),0)</f>
        <v>0</v>
      </c>
      <c r="S602">
        <f>IFERROR(VLOOKUP("924-011808-200",B:AB,10+8,0),0)</f>
        <v>0</v>
      </c>
      <c r="T602">
        <f>IFERROR(VLOOKUP("924-011808-200",B:AB,11+8,0),0)</f>
        <v>0</v>
      </c>
      <c r="U602">
        <f>IFERROR(VLOOKUP("924-011808-200",B:AB,12+8,0),0)</f>
        <v>0</v>
      </c>
      <c r="V602">
        <f>IFERROR(VLOOKUP("924-011808-200",B:AB,13+8,0),0)</f>
        <v>0</v>
      </c>
      <c r="W602">
        <f>IFERROR(VLOOKUP("924-011808-200",B:AB,14+8,0),0)</f>
        <v>0</v>
      </c>
      <c r="X602">
        <f>IFERROR(VLOOKUP("924-011808-200",B:AB,15+8,0),0)</f>
        <v>0</v>
      </c>
      <c r="Y602">
        <f>IFERROR(VLOOKUP("924-011808-200",B:AB,16+8,0),0)</f>
        <v>0</v>
      </c>
      <c r="Z602">
        <f>IFERROR(VLOOKUP("924-011808-200",B:AB,17+8,0),0)</f>
        <v>0</v>
      </c>
      <c r="AA602">
        <f>IFERROR(VLOOKUP("924-011808-200",B:AB,18+8,0),0)</f>
        <v>0</v>
      </c>
      <c r="AB602">
        <f>IFERROR(VLOOKUP("924-011808-200",B:AB,19+8,0),0)</f>
        <v>0</v>
      </c>
      <c r="AC602">
        <f>IFERROR(VLOOKUP("924-011808-200",B:AB,20+8,0),0)</f>
        <v>0</v>
      </c>
      <c r="AD602">
        <f>IFERROR(VLOOKUP("924-011808-200",B:AB,21+8,0),0)</f>
        <v>0</v>
      </c>
      <c r="AE602">
        <f>IFERROR(VLOOKUP("924-011808-200",B:AB,22+8,0),0)</f>
        <v>0</v>
      </c>
      <c r="AF602">
        <f>IFERROR(VLOOKUP("924-011808-200",B:AB,23+8,0),0)</f>
        <v>0</v>
      </c>
      <c r="AG602">
        <f>IFERROR(VLOOKUP("924-011808-200",B:AB,24+8,0),0)</f>
        <v>0</v>
      </c>
      <c r="AH602">
        <f>IFERROR(VLOOKUP("924-011808-200",B:AB,25+8,0),0)</f>
        <v>0</v>
      </c>
      <c r="AI602">
        <f>IFERROR(VLOOKUP("924-011808-200",B:AB,26+8,0),0)</f>
        <v>0</v>
      </c>
      <c r="AJ602">
        <f>IFERROR(VLOOKUP("924-011808-200",B:AB,27+8,0),0)</f>
        <v>0</v>
      </c>
      <c r="AK602">
        <f>IFERROR(VLOOKUP("924-011808-200",B:AB,28+8,0),0)</f>
        <v>0</v>
      </c>
      <c r="AL602">
        <f>IFERROR(VLOOKUP("924-011808-200",B:AB,29+8,0),0)</f>
        <v>0</v>
      </c>
      <c r="AM602">
        <f>IFERROR(VLOOKUP("924-011808-200",B:AB,30+8,0),0)</f>
        <v>0</v>
      </c>
      <c r="AN602">
        <f>IFERROR(VLOOKUP("924-011808-200",B:AB,31+8,0),0)</f>
        <v>0</v>
      </c>
      <c r="AO602">
        <f>SUN(INDIRECT(ADDRESS(601,8)):INDIRECT(ADDRESS(601,39)))</f>
        <v>0</v>
      </c>
    </row>
    <row r="603" spans="1:41">
      <c r="H603" t="s">
        <v>179</v>
      </c>
      <c r="J603">
        <f>INDIRECT(ADDRESS(603,9))+INDIRECT(ADDRESS(601,10))-INDIRECT(ADDRESS(602,10))</f>
        <v>0</v>
      </c>
      <c r="K603">
        <f>INDIRECT(ADDRESS(603,10))+INDIRECT(ADDRESS(601,11))-INDIRECT(ADDRESS(602,11))</f>
        <v>0</v>
      </c>
      <c r="L603">
        <f>INDIRECT(ADDRESS(603,11))+INDIRECT(ADDRESS(601,12))-INDIRECT(ADDRESS(602,12))</f>
        <v>0</v>
      </c>
      <c r="M603">
        <f>INDIRECT(ADDRESS(603,12))+INDIRECT(ADDRESS(601,13))-INDIRECT(ADDRESS(602,13))</f>
        <v>0</v>
      </c>
      <c r="N603">
        <f>INDIRECT(ADDRESS(603,13))+INDIRECT(ADDRESS(601,14))-INDIRECT(ADDRESS(602,14))</f>
        <v>0</v>
      </c>
      <c r="O603">
        <f>INDIRECT(ADDRESS(603,14))+INDIRECT(ADDRESS(601,15))-INDIRECT(ADDRESS(602,15))</f>
        <v>0</v>
      </c>
      <c r="P603">
        <f>INDIRECT(ADDRESS(603,15))+INDIRECT(ADDRESS(601,16))-INDIRECT(ADDRESS(602,16))</f>
        <v>0</v>
      </c>
      <c r="Q603">
        <f>INDIRECT(ADDRESS(603,16))+INDIRECT(ADDRESS(601,17))-INDIRECT(ADDRESS(602,17))</f>
        <v>0</v>
      </c>
      <c r="R603">
        <f>INDIRECT(ADDRESS(603,17))+INDIRECT(ADDRESS(601,18))-INDIRECT(ADDRESS(602,18))</f>
        <v>0</v>
      </c>
      <c r="S603">
        <f>INDIRECT(ADDRESS(603,18))+INDIRECT(ADDRESS(601,19))-INDIRECT(ADDRESS(602,19))</f>
        <v>0</v>
      </c>
      <c r="T603">
        <f>INDIRECT(ADDRESS(603,19))+INDIRECT(ADDRESS(601,20))-INDIRECT(ADDRESS(602,20))</f>
        <v>0</v>
      </c>
      <c r="U603">
        <f>INDIRECT(ADDRESS(603,20))+INDIRECT(ADDRESS(601,21))-INDIRECT(ADDRESS(602,21))</f>
        <v>0</v>
      </c>
      <c r="V603">
        <f>INDIRECT(ADDRESS(603,21))+INDIRECT(ADDRESS(601,22))-INDIRECT(ADDRESS(602,22))</f>
        <v>0</v>
      </c>
      <c r="W603">
        <f>INDIRECT(ADDRESS(603,22))+INDIRECT(ADDRESS(601,23))-INDIRECT(ADDRESS(602,23))</f>
        <v>0</v>
      </c>
      <c r="X603">
        <f>INDIRECT(ADDRESS(603,23))+INDIRECT(ADDRESS(601,24))-INDIRECT(ADDRESS(602,24))</f>
        <v>0</v>
      </c>
      <c r="Y603">
        <f>INDIRECT(ADDRESS(603,24))+INDIRECT(ADDRESS(601,25))-INDIRECT(ADDRESS(602,25))</f>
        <v>0</v>
      </c>
      <c r="Z603">
        <f>INDIRECT(ADDRESS(603,25))+INDIRECT(ADDRESS(601,26))-INDIRECT(ADDRESS(602,26))</f>
        <v>0</v>
      </c>
      <c r="AA603">
        <f>INDIRECT(ADDRESS(603,26))+INDIRECT(ADDRESS(601,27))-INDIRECT(ADDRESS(602,27))</f>
        <v>0</v>
      </c>
      <c r="AB603">
        <f>INDIRECT(ADDRESS(603,27))+INDIRECT(ADDRESS(601,28))-INDIRECT(ADDRESS(602,28))</f>
        <v>0</v>
      </c>
      <c r="AC603">
        <f>INDIRECT(ADDRESS(603,28))+INDIRECT(ADDRESS(601,29))-INDIRECT(ADDRESS(602,29))</f>
        <v>0</v>
      </c>
      <c r="AD603">
        <f>INDIRECT(ADDRESS(603,29))+INDIRECT(ADDRESS(601,30))-INDIRECT(ADDRESS(602,30))</f>
        <v>0</v>
      </c>
      <c r="AE603">
        <f>INDIRECT(ADDRESS(603,30))+INDIRECT(ADDRESS(601,31))-INDIRECT(ADDRESS(602,31))</f>
        <v>0</v>
      </c>
      <c r="AF603">
        <f>INDIRECT(ADDRESS(603,31))+INDIRECT(ADDRESS(601,32))-INDIRECT(ADDRESS(602,32))</f>
        <v>0</v>
      </c>
      <c r="AG603">
        <f>INDIRECT(ADDRESS(603,32))+INDIRECT(ADDRESS(601,33))-INDIRECT(ADDRESS(602,33))</f>
        <v>0</v>
      </c>
      <c r="AH603">
        <f>INDIRECT(ADDRESS(603,33))+INDIRECT(ADDRESS(601,34))-INDIRECT(ADDRESS(602,34))</f>
        <v>0</v>
      </c>
      <c r="AI603">
        <f>INDIRECT(ADDRESS(603,34))+INDIRECT(ADDRESS(601,35))-INDIRECT(ADDRESS(602,35))</f>
        <v>0</v>
      </c>
      <c r="AJ603">
        <f>INDIRECT(ADDRESS(603,35))+INDIRECT(ADDRESS(601,36))-INDIRECT(ADDRESS(602,36))</f>
        <v>0</v>
      </c>
      <c r="AK603">
        <f>INDIRECT(ADDRESS(603,36))+INDIRECT(ADDRESS(601,37))-INDIRECT(ADDRESS(602,37))</f>
        <v>0</v>
      </c>
      <c r="AL603">
        <f>INDIRECT(ADDRESS(603,37))+INDIRECT(ADDRESS(601,38))-INDIRECT(ADDRESS(602,38))</f>
        <v>0</v>
      </c>
      <c r="AM603">
        <f>INDIRECT(ADDRESS(603,38))+INDIRECT(ADDRESS(601,39))-INDIRECT(ADDRESS(602,39))</f>
        <v>0</v>
      </c>
      <c r="AN603">
        <f>INDIRECT(ADDRESS(603,39))+INDIRECT(ADDRESS(601,40))-INDIRECT(ADDRESS(602,40))</f>
        <v>0</v>
      </c>
      <c r="AO603">
        <f>SUM(INDIRECT(ADDRESS(602,8)):INDIRECT(ADDRESS(602,39)))</f>
        <v>0</v>
      </c>
    </row>
    <row r="604" spans="1:41">
      <c r="A604" t="s">
        <v>185</v>
      </c>
      <c r="B604" t="s">
        <v>397</v>
      </c>
      <c r="C604" t="s">
        <v>398</v>
      </c>
      <c r="E604">
        <v>1</v>
      </c>
      <c r="I604" t="s">
        <v>177</v>
      </c>
    </row>
    <row r="605" spans="1:41">
      <c r="I605" t="s">
        <v>178</v>
      </c>
      <c r="J605">
        <f>IFERROR(VLOOKUP("924-011808-200",B:AB,1+8,0),0)</f>
        <v>0</v>
      </c>
      <c r="K605">
        <f>IFERROR(VLOOKUP("924-011808-200",B:AB,2+8,0),0)</f>
        <v>0</v>
      </c>
      <c r="L605">
        <f>IFERROR(VLOOKUP("924-011808-200",B:AB,3+8,0),0)</f>
        <v>0</v>
      </c>
      <c r="M605">
        <f>IFERROR(VLOOKUP("924-011808-200",B:AB,4+8,0),0)</f>
        <v>0</v>
      </c>
      <c r="N605">
        <f>IFERROR(VLOOKUP("924-011808-200",B:AB,5+8,0),0)</f>
        <v>0</v>
      </c>
      <c r="O605">
        <f>IFERROR(VLOOKUP("924-011808-200",B:AB,6+8,0),0)</f>
        <v>0</v>
      </c>
      <c r="P605">
        <f>IFERROR(VLOOKUP("924-011808-200",B:AB,7+8,0),0)</f>
        <v>0</v>
      </c>
      <c r="Q605">
        <f>IFERROR(VLOOKUP("924-011808-200",B:AB,8+8,0),0)</f>
        <v>0</v>
      </c>
      <c r="R605">
        <f>IFERROR(VLOOKUP("924-011808-200",B:AB,9+8,0),0)</f>
        <v>0</v>
      </c>
      <c r="S605">
        <f>IFERROR(VLOOKUP("924-011808-200",B:AB,10+8,0),0)</f>
        <v>0</v>
      </c>
      <c r="T605">
        <f>IFERROR(VLOOKUP("924-011808-200",B:AB,11+8,0),0)</f>
        <v>0</v>
      </c>
      <c r="U605">
        <f>IFERROR(VLOOKUP("924-011808-200",B:AB,12+8,0),0)</f>
        <v>0</v>
      </c>
      <c r="V605">
        <f>IFERROR(VLOOKUP("924-011808-200",B:AB,13+8,0),0)</f>
        <v>0</v>
      </c>
      <c r="W605">
        <f>IFERROR(VLOOKUP("924-011808-200",B:AB,14+8,0),0)</f>
        <v>0</v>
      </c>
      <c r="X605">
        <f>IFERROR(VLOOKUP("924-011808-200",B:AB,15+8,0),0)</f>
        <v>0</v>
      </c>
      <c r="Y605">
        <f>IFERROR(VLOOKUP("924-011808-200",B:AB,16+8,0),0)</f>
        <v>0</v>
      </c>
      <c r="Z605">
        <f>IFERROR(VLOOKUP("924-011808-200",B:AB,17+8,0),0)</f>
        <v>0</v>
      </c>
      <c r="AA605">
        <f>IFERROR(VLOOKUP("924-011808-200",B:AB,18+8,0),0)</f>
        <v>0</v>
      </c>
      <c r="AB605">
        <f>IFERROR(VLOOKUP("924-011808-200",B:AB,19+8,0),0)</f>
        <v>0</v>
      </c>
      <c r="AC605">
        <f>IFERROR(VLOOKUP("924-011808-200",B:AB,20+8,0),0)</f>
        <v>0</v>
      </c>
      <c r="AD605">
        <f>IFERROR(VLOOKUP("924-011808-200",B:AB,21+8,0),0)</f>
        <v>0</v>
      </c>
      <c r="AE605">
        <f>IFERROR(VLOOKUP("924-011808-200",B:AB,22+8,0),0)</f>
        <v>0</v>
      </c>
      <c r="AF605">
        <f>IFERROR(VLOOKUP("924-011808-200",B:AB,23+8,0),0)</f>
        <v>0</v>
      </c>
      <c r="AG605">
        <f>IFERROR(VLOOKUP("924-011808-200",B:AB,24+8,0),0)</f>
        <v>0</v>
      </c>
      <c r="AH605">
        <f>IFERROR(VLOOKUP("924-011808-200",B:AB,25+8,0),0)</f>
        <v>0</v>
      </c>
      <c r="AI605">
        <f>IFERROR(VLOOKUP("924-011808-200",B:AB,26+8,0),0)</f>
        <v>0</v>
      </c>
      <c r="AJ605">
        <f>IFERROR(VLOOKUP("924-011808-200",B:AB,27+8,0),0)</f>
        <v>0</v>
      </c>
      <c r="AK605">
        <f>IFERROR(VLOOKUP("924-011808-200",B:AB,28+8,0),0)</f>
        <v>0</v>
      </c>
      <c r="AL605">
        <f>IFERROR(VLOOKUP("924-011808-200",B:AB,29+8,0),0)</f>
        <v>0</v>
      </c>
      <c r="AM605">
        <f>IFERROR(VLOOKUP("924-011808-200",B:AB,30+8,0),0)</f>
        <v>0</v>
      </c>
      <c r="AN605">
        <f>IFERROR(VLOOKUP("924-011808-200",B:AB,31+8,0),0)</f>
        <v>0</v>
      </c>
      <c r="AO605">
        <f>SUN(INDIRECT(ADDRESS(604,8)):INDIRECT(ADDRESS(604,39)))</f>
        <v>0</v>
      </c>
    </row>
    <row r="606" spans="1:41">
      <c r="H606" t="s">
        <v>179</v>
      </c>
      <c r="J606">
        <f>INDIRECT(ADDRESS(606,9))+INDIRECT(ADDRESS(604,10))-INDIRECT(ADDRESS(605,10))</f>
        <v>0</v>
      </c>
      <c r="K606">
        <f>INDIRECT(ADDRESS(606,10))+INDIRECT(ADDRESS(604,11))-INDIRECT(ADDRESS(605,11))</f>
        <v>0</v>
      </c>
      <c r="L606">
        <f>INDIRECT(ADDRESS(606,11))+INDIRECT(ADDRESS(604,12))-INDIRECT(ADDRESS(605,12))</f>
        <v>0</v>
      </c>
      <c r="M606">
        <f>INDIRECT(ADDRESS(606,12))+INDIRECT(ADDRESS(604,13))-INDIRECT(ADDRESS(605,13))</f>
        <v>0</v>
      </c>
      <c r="N606">
        <f>INDIRECT(ADDRESS(606,13))+INDIRECT(ADDRESS(604,14))-INDIRECT(ADDRESS(605,14))</f>
        <v>0</v>
      </c>
      <c r="O606">
        <f>INDIRECT(ADDRESS(606,14))+INDIRECT(ADDRESS(604,15))-INDIRECT(ADDRESS(605,15))</f>
        <v>0</v>
      </c>
      <c r="P606">
        <f>INDIRECT(ADDRESS(606,15))+INDIRECT(ADDRESS(604,16))-INDIRECT(ADDRESS(605,16))</f>
        <v>0</v>
      </c>
      <c r="Q606">
        <f>INDIRECT(ADDRESS(606,16))+INDIRECT(ADDRESS(604,17))-INDIRECT(ADDRESS(605,17))</f>
        <v>0</v>
      </c>
      <c r="R606">
        <f>INDIRECT(ADDRESS(606,17))+INDIRECT(ADDRESS(604,18))-INDIRECT(ADDRESS(605,18))</f>
        <v>0</v>
      </c>
      <c r="S606">
        <f>INDIRECT(ADDRESS(606,18))+INDIRECT(ADDRESS(604,19))-INDIRECT(ADDRESS(605,19))</f>
        <v>0</v>
      </c>
      <c r="T606">
        <f>INDIRECT(ADDRESS(606,19))+INDIRECT(ADDRESS(604,20))-INDIRECT(ADDRESS(605,20))</f>
        <v>0</v>
      </c>
      <c r="U606">
        <f>INDIRECT(ADDRESS(606,20))+INDIRECT(ADDRESS(604,21))-INDIRECT(ADDRESS(605,21))</f>
        <v>0</v>
      </c>
      <c r="V606">
        <f>INDIRECT(ADDRESS(606,21))+INDIRECT(ADDRESS(604,22))-INDIRECT(ADDRESS(605,22))</f>
        <v>0</v>
      </c>
      <c r="W606">
        <f>INDIRECT(ADDRESS(606,22))+INDIRECT(ADDRESS(604,23))-INDIRECT(ADDRESS(605,23))</f>
        <v>0</v>
      </c>
      <c r="X606">
        <f>INDIRECT(ADDRESS(606,23))+INDIRECT(ADDRESS(604,24))-INDIRECT(ADDRESS(605,24))</f>
        <v>0</v>
      </c>
      <c r="Y606">
        <f>INDIRECT(ADDRESS(606,24))+INDIRECT(ADDRESS(604,25))-INDIRECT(ADDRESS(605,25))</f>
        <v>0</v>
      </c>
      <c r="Z606">
        <f>INDIRECT(ADDRESS(606,25))+INDIRECT(ADDRESS(604,26))-INDIRECT(ADDRESS(605,26))</f>
        <v>0</v>
      </c>
      <c r="AA606">
        <f>INDIRECT(ADDRESS(606,26))+INDIRECT(ADDRESS(604,27))-INDIRECT(ADDRESS(605,27))</f>
        <v>0</v>
      </c>
      <c r="AB606">
        <f>INDIRECT(ADDRESS(606,27))+INDIRECT(ADDRESS(604,28))-INDIRECT(ADDRESS(605,28))</f>
        <v>0</v>
      </c>
      <c r="AC606">
        <f>INDIRECT(ADDRESS(606,28))+INDIRECT(ADDRESS(604,29))-INDIRECT(ADDRESS(605,29))</f>
        <v>0</v>
      </c>
      <c r="AD606">
        <f>INDIRECT(ADDRESS(606,29))+INDIRECT(ADDRESS(604,30))-INDIRECT(ADDRESS(605,30))</f>
        <v>0</v>
      </c>
      <c r="AE606">
        <f>INDIRECT(ADDRESS(606,30))+INDIRECT(ADDRESS(604,31))-INDIRECT(ADDRESS(605,31))</f>
        <v>0</v>
      </c>
      <c r="AF606">
        <f>INDIRECT(ADDRESS(606,31))+INDIRECT(ADDRESS(604,32))-INDIRECT(ADDRESS(605,32))</f>
        <v>0</v>
      </c>
      <c r="AG606">
        <f>INDIRECT(ADDRESS(606,32))+INDIRECT(ADDRESS(604,33))-INDIRECT(ADDRESS(605,33))</f>
        <v>0</v>
      </c>
      <c r="AH606">
        <f>INDIRECT(ADDRESS(606,33))+INDIRECT(ADDRESS(604,34))-INDIRECT(ADDRESS(605,34))</f>
        <v>0</v>
      </c>
      <c r="AI606">
        <f>INDIRECT(ADDRESS(606,34))+INDIRECT(ADDRESS(604,35))-INDIRECT(ADDRESS(605,35))</f>
        <v>0</v>
      </c>
      <c r="AJ606">
        <f>INDIRECT(ADDRESS(606,35))+INDIRECT(ADDRESS(604,36))-INDIRECT(ADDRESS(605,36))</f>
        <v>0</v>
      </c>
      <c r="AK606">
        <f>INDIRECT(ADDRESS(606,36))+INDIRECT(ADDRESS(604,37))-INDIRECT(ADDRESS(605,37))</f>
        <v>0</v>
      </c>
      <c r="AL606">
        <f>INDIRECT(ADDRESS(606,37))+INDIRECT(ADDRESS(604,38))-INDIRECT(ADDRESS(605,38))</f>
        <v>0</v>
      </c>
      <c r="AM606">
        <f>INDIRECT(ADDRESS(606,38))+INDIRECT(ADDRESS(604,39))-INDIRECT(ADDRESS(605,39))</f>
        <v>0</v>
      </c>
      <c r="AN606">
        <f>INDIRECT(ADDRESS(606,39))+INDIRECT(ADDRESS(604,40))-INDIRECT(ADDRESS(605,40))</f>
        <v>0</v>
      </c>
      <c r="AO606">
        <f>SUM(INDIRECT(ADDRESS(605,8)):INDIRECT(ADDRESS(605,39)))</f>
        <v>0</v>
      </c>
    </row>
    <row r="607" spans="1:41">
      <c r="A607" t="s">
        <v>185</v>
      </c>
      <c r="B607" t="s">
        <v>399</v>
      </c>
      <c r="C607" t="s">
        <v>400</v>
      </c>
      <c r="E607">
        <v>1</v>
      </c>
      <c r="I607" t="s">
        <v>177</v>
      </c>
    </row>
    <row r="608" spans="1:41">
      <c r="I608" t="s">
        <v>178</v>
      </c>
      <c r="J608">
        <f>IFERROR(VLOOKUP("924-011808-200",B:AB,1+8,0),0)</f>
        <v>0</v>
      </c>
      <c r="K608">
        <f>IFERROR(VLOOKUP("924-011808-200",B:AB,2+8,0),0)</f>
        <v>0</v>
      </c>
      <c r="L608">
        <f>IFERROR(VLOOKUP("924-011808-200",B:AB,3+8,0),0)</f>
        <v>0</v>
      </c>
      <c r="M608">
        <f>IFERROR(VLOOKUP("924-011808-200",B:AB,4+8,0),0)</f>
        <v>0</v>
      </c>
      <c r="N608">
        <f>IFERROR(VLOOKUP("924-011808-200",B:AB,5+8,0),0)</f>
        <v>0</v>
      </c>
      <c r="O608">
        <f>IFERROR(VLOOKUP("924-011808-200",B:AB,6+8,0),0)</f>
        <v>0</v>
      </c>
      <c r="P608">
        <f>IFERROR(VLOOKUP("924-011808-200",B:AB,7+8,0),0)</f>
        <v>0</v>
      </c>
      <c r="Q608">
        <f>IFERROR(VLOOKUP("924-011808-200",B:AB,8+8,0),0)</f>
        <v>0</v>
      </c>
      <c r="R608">
        <f>IFERROR(VLOOKUP("924-011808-200",B:AB,9+8,0),0)</f>
        <v>0</v>
      </c>
      <c r="S608">
        <f>IFERROR(VLOOKUP("924-011808-200",B:AB,10+8,0),0)</f>
        <v>0</v>
      </c>
      <c r="T608">
        <f>IFERROR(VLOOKUP("924-011808-200",B:AB,11+8,0),0)</f>
        <v>0</v>
      </c>
      <c r="U608">
        <f>IFERROR(VLOOKUP("924-011808-200",B:AB,12+8,0),0)</f>
        <v>0</v>
      </c>
      <c r="V608">
        <f>IFERROR(VLOOKUP("924-011808-200",B:AB,13+8,0),0)</f>
        <v>0</v>
      </c>
      <c r="W608">
        <f>IFERROR(VLOOKUP("924-011808-200",B:AB,14+8,0),0)</f>
        <v>0</v>
      </c>
      <c r="X608">
        <f>IFERROR(VLOOKUP("924-011808-200",B:AB,15+8,0),0)</f>
        <v>0</v>
      </c>
      <c r="Y608">
        <f>IFERROR(VLOOKUP("924-011808-200",B:AB,16+8,0),0)</f>
        <v>0</v>
      </c>
      <c r="Z608">
        <f>IFERROR(VLOOKUP("924-011808-200",B:AB,17+8,0),0)</f>
        <v>0</v>
      </c>
      <c r="AA608">
        <f>IFERROR(VLOOKUP("924-011808-200",B:AB,18+8,0),0)</f>
        <v>0</v>
      </c>
      <c r="AB608">
        <f>IFERROR(VLOOKUP("924-011808-200",B:AB,19+8,0),0)</f>
        <v>0</v>
      </c>
      <c r="AC608">
        <f>IFERROR(VLOOKUP("924-011808-200",B:AB,20+8,0),0)</f>
        <v>0</v>
      </c>
      <c r="AD608">
        <f>IFERROR(VLOOKUP("924-011808-200",B:AB,21+8,0),0)</f>
        <v>0</v>
      </c>
      <c r="AE608">
        <f>IFERROR(VLOOKUP("924-011808-200",B:AB,22+8,0),0)</f>
        <v>0</v>
      </c>
      <c r="AF608">
        <f>IFERROR(VLOOKUP("924-011808-200",B:AB,23+8,0),0)</f>
        <v>0</v>
      </c>
      <c r="AG608">
        <f>IFERROR(VLOOKUP("924-011808-200",B:AB,24+8,0),0)</f>
        <v>0</v>
      </c>
      <c r="AH608">
        <f>IFERROR(VLOOKUP("924-011808-200",B:AB,25+8,0),0)</f>
        <v>0</v>
      </c>
      <c r="AI608">
        <f>IFERROR(VLOOKUP("924-011808-200",B:AB,26+8,0),0)</f>
        <v>0</v>
      </c>
      <c r="AJ608">
        <f>IFERROR(VLOOKUP("924-011808-200",B:AB,27+8,0),0)</f>
        <v>0</v>
      </c>
      <c r="AK608">
        <f>IFERROR(VLOOKUP("924-011808-200",B:AB,28+8,0),0)</f>
        <v>0</v>
      </c>
      <c r="AL608">
        <f>IFERROR(VLOOKUP("924-011808-200",B:AB,29+8,0),0)</f>
        <v>0</v>
      </c>
      <c r="AM608">
        <f>IFERROR(VLOOKUP("924-011808-200",B:AB,30+8,0),0)</f>
        <v>0</v>
      </c>
      <c r="AN608">
        <f>IFERROR(VLOOKUP("924-011808-200",B:AB,31+8,0),0)</f>
        <v>0</v>
      </c>
      <c r="AO608">
        <f>SUN(INDIRECT(ADDRESS(607,8)):INDIRECT(ADDRESS(607,39)))</f>
        <v>0</v>
      </c>
    </row>
    <row r="609" spans="1:41">
      <c r="H609" t="s">
        <v>179</v>
      </c>
      <c r="J609">
        <f>INDIRECT(ADDRESS(609,9))+INDIRECT(ADDRESS(607,10))-INDIRECT(ADDRESS(608,10))</f>
        <v>0</v>
      </c>
      <c r="K609">
        <f>INDIRECT(ADDRESS(609,10))+INDIRECT(ADDRESS(607,11))-INDIRECT(ADDRESS(608,11))</f>
        <v>0</v>
      </c>
      <c r="L609">
        <f>INDIRECT(ADDRESS(609,11))+INDIRECT(ADDRESS(607,12))-INDIRECT(ADDRESS(608,12))</f>
        <v>0</v>
      </c>
      <c r="M609">
        <f>INDIRECT(ADDRESS(609,12))+INDIRECT(ADDRESS(607,13))-INDIRECT(ADDRESS(608,13))</f>
        <v>0</v>
      </c>
      <c r="N609">
        <f>INDIRECT(ADDRESS(609,13))+INDIRECT(ADDRESS(607,14))-INDIRECT(ADDRESS(608,14))</f>
        <v>0</v>
      </c>
      <c r="O609">
        <f>INDIRECT(ADDRESS(609,14))+INDIRECT(ADDRESS(607,15))-INDIRECT(ADDRESS(608,15))</f>
        <v>0</v>
      </c>
      <c r="P609">
        <f>INDIRECT(ADDRESS(609,15))+INDIRECT(ADDRESS(607,16))-INDIRECT(ADDRESS(608,16))</f>
        <v>0</v>
      </c>
      <c r="Q609">
        <f>INDIRECT(ADDRESS(609,16))+INDIRECT(ADDRESS(607,17))-INDIRECT(ADDRESS(608,17))</f>
        <v>0</v>
      </c>
      <c r="R609">
        <f>INDIRECT(ADDRESS(609,17))+INDIRECT(ADDRESS(607,18))-INDIRECT(ADDRESS(608,18))</f>
        <v>0</v>
      </c>
      <c r="S609">
        <f>INDIRECT(ADDRESS(609,18))+INDIRECT(ADDRESS(607,19))-INDIRECT(ADDRESS(608,19))</f>
        <v>0</v>
      </c>
      <c r="T609">
        <f>INDIRECT(ADDRESS(609,19))+INDIRECT(ADDRESS(607,20))-INDIRECT(ADDRESS(608,20))</f>
        <v>0</v>
      </c>
      <c r="U609">
        <f>INDIRECT(ADDRESS(609,20))+INDIRECT(ADDRESS(607,21))-INDIRECT(ADDRESS(608,21))</f>
        <v>0</v>
      </c>
      <c r="V609">
        <f>INDIRECT(ADDRESS(609,21))+INDIRECT(ADDRESS(607,22))-INDIRECT(ADDRESS(608,22))</f>
        <v>0</v>
      </c>
      <c r="W609">
        <f>INDIRECT(ADDRESS(609,22))+INDIRECT(ADDRESS(607,23))-INDIRECT(ADDRESS(608,23))</f>
        <v>0</v>
      </c>
      <c r="X609">
        <f>INDIRECT(ADDRESS(609,23))+INDIRECT(ADDRESS(607,24))-INDIRECT(ADDRESS(608,24))</f>
        <v>0</v>
      </c>
      <c r="Y609">
        <f>INDIRECT(ADDRESS(609,24))+INDIRECT(ADDRESS(607,25))-INDIRECT(ADDRESS(608,25))</f>
        <v>0</v>
      </c>
      <c r="Z609">
        <f>INDIRECT(ADDRESS(609,25))+INDIRECT(ADDRESS(607,26))-INDIRECT(ADDRESS(608,26))</f>
        <v>0</v>
      </c>
      <c r="AA609">
        <f>INDIRECT(ADDRESS(609,26))+INDIRECT(ADDRESS(607,27))-INDIRECT(ADDRESS(608,27))</f>
        <v>0</v>
      </c>
      <c r="AB609">
        <f>INDIRECT(ADDRESS(609,27))+INDIRECT(ADDRESS(607,28))-INDIRECT(ADDRESS(608,28))</f>
        <v>0</v>
      </c>
      <c r="AC609">
        <f>INDIRECT(ADDRESS(609,28))+INDIRECT(ADDRESS(607,29))-INDIRECT(ADDRESS(608,29))</f>
        <v>0</v>
      </c>
      <c r="AD609">
        <f>INDIRECT(ADDRESS(609,29))+INDIRECT(ADDRESS(607,30))-INDIRECT(ADDRESS(608,30))</f>
        <v>0</v>
      </c>
      <c r="AE609">
        <f>INDIRECT(ADDRESS(609,30))+INDIRECT(ADDRESS(607,31))-INDIRECT(ADDRESS(608,31))</f>
        <v>0</v>
      </c>
      <c r="AF609">
        <f>INDIRECT(ADDRESS(609,31))+INDIRECT(ADDRESS(607,32))-INDIRECT(ADDRESS(608,32))</f>
        <v>0</v>
      </c>
      <c r="AG609">
        <f>INDIRECT(ADDRESS(609,32))+INDIRECT(ADDRESS(607,33))-INDIRECT(ADDRESS(608,33))</f>
        <v>0</v>
      </c>
      <c r="AH609">
        <f>INDIRECT(ADDRESS(609,33))+INDIRECT(ADDRESS(607,34))-INDIRECT(ADDRESS(608,34))</f>
        <v>0</v>
      </c>
      <c r="AI609">
        <f>INDIRECT(ADDRESS(609,34))+INDIRECT(ADDRESS(607,35))-INDIRECT(ADDRESS(608,35))</f>
        <v>0</v>
      </c>
      <c r="AJ609">
        <f>INDIRECT(ADDRESS(609,35))+INDIRECT(ADDRESS(607,36))-INDIRECT(ADDRESS(608,36))</f>
        <v>0</v>
      </c>
      <c r="AK609">
        <f>INDIRECT(ADDRESS(609,36))+INDIRECT(ADDRESS(607,37))-INDIRECT(ADDRESS(608,37))</f>
        <v>0</v>
      </c>
      <c r="AL609">
        <f>INDIRECT(ADDRESS(609,37))+INDIRECT(ADDRESS(607,38))-INDIRECT(ADDRESS(608,38))</f>
        <v>0</v>
      </c>
      <c r="AM609">
        <f>INDIRECT(ADDRESS(609,38))+INDIRECT(ADDRESS(607,39))-INDIRECT(ADDRESS(608,39))</f>
        <v>0</v>
      </c>
      <c r="AN609">
        <f>INDIRECT(ADDRESS(609,39))+INDIRECT(ADDRESS(607,40))-INDIRECT(ADDRESS(608,40))</f>
        <v>0</v>
      </c>
      <c r="AO609">
        <f>SUM(INDIRECT(ADDRESS(608,8)):INDIRECT(ADDRESS(608,39)))</f>
        <v>0</v>
      </c>
    </row>
    <row r="610" spans="1:41">
      <c r="A610" t="s">
        <v>185</v>
      </c>
      <c r="B610" t="s">
        <v>310</v>
      </c>
      <c r="C610" t="s">
        <v>401</v>
      </c>
      <c r="E610">
        <v>1</v>
      </c>
      <c r="I610" t="s">
        <v>177</v>
      </c>
    </row>
    <row r="611" spans="1:41">
      <c r="I611" t="s">
        <v>178</v>
      </c>
      <c r="J611">
        <f>IFERROR(VLOOKUP("924-011808-200",B:AB,1+8,0),0)</f>
        <v>0</v>
      </c>
      <c r="K611">
        <f>IFERROR(VLOOKUP("924-011808-200",B:AB,2+8,0),0)</f>
        <v>0</v>
      </c>
      <c r="L611">
        <f>IFERROR(VLOOKUP("924-011808-200",B:AB,3+8,0),0)</f>
        <v>0</v>
      </c>
      <c r="M611">
        <f>IFERROR(VLOOKUP("924-011808-200",B:AB,4+8,0),0)</f>
        <v>0</v>
      </c>
      <c r="N611">
        <f>IFERROR(VLOOKUP("924-011808-200",B:AB,5+8,0),0)</f>
        <v>0</v>
      </c>
      <c r="O611">
        <f>IFERROR(VLOOKUP("924-011808-200",B:AB,6+8,0),0)</f>
        <v>0</v>
      </c>
      <c r="P611">
        <f>IFERROR(VLOOKUP("924-011808-200",B:AB,7+8,0),0)</f>
        <v>0</v>
      </c>
      <c r="Q611">
        <f>IFERROR(VLOOKUP("924-011808-200",B:AB,8+8,0),0)</f>
        <v>0</v>
      </c>
      <c r="R611">
        <f>IFERROR(VLOOKUP("924-011808-200",B:AB,9+8,0),0)</f>
        <v>0</v>
      </c>
      <c r="S611">
        <f>IFERROR(VLOOKUP("924-011808-200",B:AB,10+8,0),0)</f>
        <v>0</v>
      </c>
      <c r="T611">
        <f>IFERROR(VLOOKUP("924-011808-200",B:AB,11+8,0),0)</f>
        <v>0</v>
      </c>
      <c r="U611">
        <f>IFERROR(VLOOKUP("924-011808-200",B:AB,12+8,0),0)</f>
        <v>0</v>
      </c>
      <c r="V611">
        <f>IFERROR(VLOOKUP("924-011808-200",B:AB,13+8,0),0)</f>
        <v>0</v>
      </c>
      <c r="W611">
        <f>IFERROR(VLOOKUP("924-011808-200",B:AB,14+8,0),0)</f>
        <v>0</v>
      </c>
      <c r="X611">
        <f>IFERROR(VLOOKUP("924-011808-200",B:AB,15+8,0),0)</f>
        <v>0</v>
      </c>
      <c r="Y611">
        <f>IFERROR(VLOOKUP("924-011808-200",B:AB,16+8,0),0)</f>
        <v>0</v>
      </c>
      <c r="Z611">
        <f>IFERROR(VLOOKUP("924-011808-200",B:AB,17+8,0),0)</f>
        <v>0</v>
      </c>
      <c r="AA611">
        <f>IFERROR(VLOOKUP("924-011808-200",B:AB,18+8,0),0)</f>
        <v>0</v>
      </c>
      <c r="AB611">
        <f>IFERROR(VLOOKUP("924-011808-200",B:AB,19+8,0),0)</f>
        <v>0</v>
      </c>
      <c r="AC611">
        <f>IFERROR(VLOOKUP("924-011808-200",B:AB,20+8,0),0)</f>
        <v>0</v>
      </c>
      <c r="AD611">
        <f>IFERROR(VLOOKUP("924-011808-200",B:AB,21+8,0),0)</f>
        <v>0</v>
      </c>
      <c r="AE611">
        <f>IFERROR(VLOOKUP("924-011808-200",B:AB,22+8,0),0)</f>
        <v>0</v>
      </c>
      <c r="AF611">
        <f>IFERROR(VLOOKUP("924-011808-200",B:AB,23+8,0),0)</f>
        <v>0</v>
      </c>
      <c r="AG611">
        <f>IFERROR(VLOOKUP("924-011808-200",B:AB,24+8,0),0)</f>
        <v>0</v>
      </c>
      <c r="AH611">
        <f>IFERROR(VLOOKUP("924-011808-200",B:AB,25+8,0),0)</f>
        <v>0</v>
      </c>
      <c r="AI611">
        <f>IFERROR(VLOOKUP("924-011808-200",B:AB,26+8,0),0)</f>
        <v>0</v>
      </c>
      <c r="AJ611">
        <f>IFERROR(VLOOKUP("924-011808-200",B:AB,27+8,0),0)</f>
        <v>0</v>
      </c>
      <c r="AK611">
        <f>IFERROR(VLOOKUP("924-011808-200",B:AB,28+8,0),0)</f>
        <v>0</v>
      </c>
      <c r="AL611">
        <f>IFERROR(VLOOKUP("924-011808-200",B:AB,29+8,0),0)</f>
        <v>0</v>
      </c>
      <c r="AM611">
        <f>IFERROR(VLOOKUP("924-011808-200",B:AB,30+8,0),0)</f>
        <v>0</v>
      </c>
      <c r="AN611">
        <f>IFERROR(VLOOKUP("924-011808-200",B:AB,31+8,0),0)</f>
        <v>0</v>
      </c>
      <c r="AO611">
        <f>SUN(INDIRECT(ADDRESS(610,8)):INDIRECT(ADDRESS(610,39)))</f>
        <v>0</v>
      </c>
    </row>
    <row r="612" spans="1:41">
      <c r="H612" t="s">
        <v>179</v>
      </c>
      <c r="J612">
        <f>INDIRECT(ADDRESS(612,9))+INDIRECT(ADDRESS(610,10))-INDIRECT(ADDRESS(611,10))</f>
        <v>0</v>
      </c>
      <c r="K612">
        <f>INDIRECT(ADDRESS(612,10))+INDIRECT(ADDRESS(610,11))-INDIRECT(ADDRESS(611,11))</f>
        <v>0</v>
      </c>
      <c r="L612">
        <f>INDIRECT(ADDRESS(612,11))+INDIRECT(ADDRESS(610,12))-INDIRECT(ADDRESS(611,12))</f>
        <v>0</v>
      </c>
      <c r="M612">
        <f>INDIRECT(ADDRESS(612,12))+INDIRECT(ADDRESS(610,13))-INDIRECT(ADDRESS(611,13))</f>
        <v>0</v>
      </c>
      <c r="N612">
        <f>INDIRECT(ADDRESS(612,13))+INDIRECT(ADDRESS(610,14))-INDIRECT(ADDRESS(611,14))</f>
        <v>0</v>
      </c>
      <c r="O612">
        <f>INDIRECT(ADDRESS(612,14))+INDIRECT(ADDRESS(610,15))-INDIRECT(ADDRESS(611,15))</f>
        <v>0</v>
      </c>
      <c r="P612">
        <f>INDIRECT(ADDRESS(612,15))+INDIRECT(ADDRESS(610,16))-INDIRECT(ADDRESS(611,16))</f>
        <v>0</v>
      </c>
      <c r="Q612">
        <f>INDIRECT(ADDRESS(612,16))+INDIRECT(ADDRESS(610,17))-INDIRECT(ADDRESS(611,17))</f>
        <v>0</v>
      </c>
      <c r="R612">
        <f>INDIRECT(ADDRESS(612,17))+INDIRECT(ADDRESS(610,18))-INDIRECT(ADDRESS(611,18))</f>
        <v>0</v>
      </c>
      <c r="S612">
        <f>INDIRECT(ADDRESS(612,18))+INDIRECT(ADDRESS(610,19))-INDIRECT(ADDRESS(611,19))</f>
        <v>0</v>
      </c>
      <c r="T612">
        <f>INDIRECT(ADDRESS(612,19))+INDIRECT(ADDRESS(610,20))-INDIRECT(ADDRESS(611,20))</f>
        <v>0</v>
      </c>
      <c r="U612">
        <f>INDIRECT(ADDRESS(612,20))+INDIRECT(ADDRESS(610,21))-INDIRECT(ADDRESS(611,21))</f>
        <v>0</v>
      </c>
      <c r="V612">
        <f>INDIRECT(ADDRESS(612,21))+INDIRECT(ADDRESS(610,22))-INDIRECT(ADDRESS(611,22))</f>
        <v>0</v>
      </c>
      <c r="W612">
        <f>INDIRECT(ADDRESS(612,22))+INDIRECT(ADDRESS(610,23))-INDIRECT(ADDRESS(611,23))</f>
        <v>0</v>
      </c>
      <c r="X612">
        <f>INDIRECT(ADDRESS(612,23))+INDIRECT(ADDRESS(610,24))-INDIRECT(ADDRESS(611,24))</f>
        <v>0</v>
      </c>
      <c r="Y612">
        <f>INDIRECT(ADDRESS(612,24))+INDIRECT(ADDRESS(610,25))-INDIRECT(ADDRESS(611,25))</f>
        <v>0</v>
      </c>
      <c r="Z612">
        <f>INDIRECT(ADDRESS(612,25))+INDIRECT(ADDRESS(610,26))-INDIRECT(ADDRESS(611,26))</f>
        <v>0</v>
      </c>
      <c r="AA612">
        <f>INDIRECT(ADDRESS(612,26))+INDIRECT(ADDRESS(610,27))-INDIRECT(ADDRESS(611,27))</f>
        <v>0</v>
      </c>
      <c r="AB612">
        <f>INDIRECT(ADDRESS(612,27))+INDIRECT(ADDRESS(610,28))-INDIRECT(ADDRESS(611,28))</f>
        <v>0</v>
      </c>
      <c r="AC612">
        <f>INDIRECT(ADDRESS(612,28))+INDIRECT(ADDRESS(610,29))-INDIRECT(ADDRESS(611,29))</f>
        <v>0</v>
      </c>
      <c r="AD612">
        <f>INDIRECT(ADDRESS(612,29))+INDIRECT(ADDRESS(610,30))-INDIRECT(ADDRESS(611,30))</f>
        <v>0</v>
      </c>
      <c r="AE612">
        <f>INDIRECT(ADDRESS(612,30))+INDIRECT(ADDRESS(610,31))-INDIRECT(ADDRESS(611,31))</f>
        <v>0</v>
      </c>
      <c r="AF612">
        <f>INDIRECT(ADDRESS(612,31))+INDIRECT(ADDRESS(610,32))-INDIRECT(ADDRESS(611,32))</f>
        <v>0</v>
      </c>
      <c r="AG612">
        <f>INDIRECT(ADDRESS(612,32))+INDIRECT(ADDRESS(610,33))-INDIRECT(ADDRESS(611,33))</f>
        <v>0</v>
      </c>
      <c r="AH612">
        <f>INDIRECT(ADDRESS(612,33))+INDIRECT(ADDRESS(610,34))-INDIRECT(ADDRESS(611,34))</f>
        <v>0</v>
      </c>
      <c r="AI612">
        <f>INDIRECT(ADDRESS(612,34))+INDIRECT(ADDRESS(610,35))-INDIRECT(ADDRESS(611,35))</f>
        <v>0</v>
      </c>
      <c r="AJ612">
        <f>INDIRECT(ADDRESS(612,35))+INDIRECT(ADDRESS(610,36))-INDIRECT(ADDRESS(611,36))</f>
        <v>0</v>
      </c>
      <c r="AK612">
        <f>INDIRECT(ADDRESS(612,36))+INDIRECT(ADDRESS(610,37))-INDIRECT(ADDRESS(611,37))</f>
        <v>0</v>
      </c>
      <c r="AL612">
        <f>INDIRECT(ADDRESS(612,37))+INDIRECT(ADDRESS(610,38))-INDIRECT(ADDRESS(611,38))</f>
        <v>0</v>
      </c>
      <c r="AM612">
        <f>INDIRECT(ADDRESS(612,38))+INDIRECT(ADDRESS(610,39))-INDIRECT(ADDRESS(611,39))</f>
        <v>0</v>
      </c>
      <c r="AN612">
        <f>INDIRECT(ADDRESS(612,39))+INDIRECT(ADDRESS(610,40))-INDIRECT(ADDRESS(611,40))</f>
        <v>0</v>
      </c>
      <c r="AO612">
        <f>SUM(INDIRECT(ADDRESS(611,8)):INDIRECT(ADDRESS(611,39)))</f>
        <v>0</v>
      </c>
    </row>
    <row r="613" spans="1:41">
      <c r="A613" t="s">
        <v>185</v>
      </c>
      <c r="B613" t="s">
        <v>402</v>
      </c>
      <c r="C613" t="s">
        <v>403</v>
      </c>
      <c r="E613">
        <v>1</v>
      </c>
      <c r="I613" t="s">
        <v>177</v>
      </c>
    </row>
    <row r="614" spans="1:41">
      <c r="I614" t="s">
        <v>178</v>
      </c>
      <c r="J614">
        <f>IFERROR(VLOOKUP("924-011808-200",B:AB,1+8,0),0)</f>
        <v>0</v>
      </c>
      <c r="K614">
        <f>IFERROR(VLOOKUP("924-011808-200",B:AB,2+8,0),0)</f>
        <v>0</v>
      </c>
      <c r="L614">
        <f>IFERROR(VLOOKUP("924-011808-200",B:AB,3+8,0),0)</f>
        <v>0</v>
      </c>
      <c r="M614">
        <f>IFERROR(VLOOKUP("924-011808-200",B:AB,4+8,0),0)</f>
        <v>0</v>
      </c>
      <c r="N614">
        <f>IFERROR(VLOOKUP("924-011808-200",B:AB,5+8,0),0)</f>
        <v>0</v>
      </c>
      <c r="O614">
        <f>IFERROR(VLOOKUP("924-011808-200",B:AB,6+8,0),0)</f>
        <v>0</v>
      </c>
      <c r="P614">
        <f>IFERROR(VLOOKUP("924-011808-200",B:AB,7+8,0),0)</f>
        <v>0</v>
      </c>
      <c r="Q614">
        <f>IFERROR(VLOOKUP("924-011808-200",B:AB,8+8,0),0)</f>
        <v>0</v>
      </c>
      <c r="R614">
        <f>IFERROR(VLOOKUP("924-011808-200",B:AB,9+8,0),0)</f>
        <v>0</v>
      </c>
      <c r="S614">
        <f>IFERROR(VLOOKUP("924-011808-200",B:AB,10+8,0),0)</f>
        <v>0</v>
      </c>
      <c r="T614">
        <f>IFERROR(VLOOKUP("924-011808-200",B:AB,11+8,0),0)</f>
        <v>0</v>
      </c>
      <c r="U614">
        <f>IFERROR(VLOOKUP("924-011808-200",B:AB,12+8,0),0)</f>
        <v>0</v>
      </c>
      <c r="V614">
        <f>IFERROR(VLOOKUP("924-011808-200",B:AB,13+8,0),0)</f>
        <v>0</v>
      </c>
      <c r="W614">
        <f>IFERROR(VLOOKUP("924-011808-200",B:AB,14+8,0),0)</f>
        <v>0</v>
      </c>
      <c r="X614">
        <f>IFERROR(VLOOKUP("924-011808-200",B:AB,15+8,0),0)</f>
        <v>0</v>
      </c>
      <c r="Y614">
        <f>IFERROR(VLOOKUP("924-011808-200",B:AB,16+8,0),0)</f>
        <v>0</v>
      </c>
      <c r="Z614">
        <f>IFERROR(VLOOKUP("924-011808-200",B:AB,17+8,0),0)</f>
        <v>0</v>
      </c>
      <c r="AA614">
        <f>IFERROR(VLOOKUP("924-011808-200",B:AB,18+8,0),0)</f>
        <v>0</v>
      </c>
      <c r="AB614">
        <f>IFERROR(VLOOKUP("924-011808-200",B:AB,19+8,0),0)</f>
        <v>0</v>
      </c>
      <c r="AC614">
        <f>IFERROR(VLOOKUP("924-011808-200",B:AB,20+8,0),0)</f>
        <v>0</v>
      </c>
      <c r="AD614">
        <f>IFERROR(VLOOKUP("924-011808-200",B:AB,21+8,0),0)</f>
        <v>0</v>
      </c>
      <c r="AE614">
        <f>IFERROR(VLOOKUP("924-011808-200",B:AB,22+8,0),0)</f>
        <v>0</v>
      </c>
      <c r="AF614">
        <f>IFERROR(VLOOKUP("924-011808-200",B:AB,23+8,0),0)</f>
        <v>0</v>
      </c>
      <c r="AG614">
        <f>IFERROR(VLOOKUP("924-011808-200",B:AB,24+8,0),0)</f>
        <v>0</v>
      </c>
      <c r="AH614">
        <f>IFERROR(VLOOKUP("924-011808-200",B:AB,25+8,0),0)</f>
        <v>0</v>
      </c>
      <c r="AI614">
        <f>IFERROR(VLOOKUP("924-011808-200",B:AB,26+8,0),0)</f>
        <v>0</v>
      </c>
      <c r="AJ614">
        <f>IFERROR(VLOOKUP("924-011808-200",B:AB,27+8,0),0)</f>
        <v>0</v>
      </c>
      <c r="AK614">
        <f>IFERROR(VLOOKUP("924-011808-200",B:AB,28+8,0),0)</f>
        <v>0</v>
      </c>
      <c r="AL614">
        <f>IFERROR(VLOOKUP("924-011808-200",B:AB,29+8,0),0)</f>
        <v>0</v>
      </c>
      <c r="AM614">
        <f>IFERROR(VLOOKUP("924-011808-200",B:AB,30+8,0),0)</f>
        <v>0</v>
      </c>
      <c r="AN614">
        <f>IFERROR(VLOOKUP("924-011808-200",B:AB,31+8,0),0)</f>
        <v>0</v>
      </c>
      <c r="AO614">
        <f>SUN(INDIRECT(ADDRESS(613,8)):INDIRECT(ADDRESS(613,39)))</f>
        <v>0</v>
      </c>
    </row>
    <row r="615" spans="1:41">
      <c r="H615" t="s">
        <v>179</v>
      </c>
      <c r="J615">
        <f>INDIRECT(ADDRESS(615,9))+INDIRECT(ADDRESS(613,10))-INDIRECT(ADDRESS(614,10))</f>
        <v>0</v>
      </c>
      <c r="K615">
        <f>INDIRECT(ADDRESS(615,10))+INDIRECT(ADDRESS(613,11))-INDIRECT(ADDRESS(614,11))</f>
        <v>0</v>
      </c>
      <c r="L615">
        <f>INDIRECT(ADDRESS(615,11))+INDIRECT(ADDRESS(613,12))-INDIRECT(ADDRESS(614,12))</f>
        <v>0</v>
      </c>
      <c r="M615">
        <f>INDIRECT(ADDRESS(615,12))+INDIRECT(ADDRESS(613,13))-INDIRECT(ADDRESS(614,13))</f>
        <v>0</v>
      </c>
      <c r="N615">
        <f>INDIRECT(ADDRESS(615,13))+INDIRECT(ADDRESS(613,14))-INDIRECT(ADDRESS(614,14))</f>
        <v>0</v>
      </c>
      <c r="O615">
        <f>INDIRECT(ADDRESS(615,14))+INDIRECT(ADDRESS(613,15))-INDIRECT(ADDRESS(614,15))</f>
        <v>0</v>
      </c>
      <c r="P615">
        <f>INDIRECT(ADDRESS(615,15))+INDIRECT(ADDRESS(613,16))-INDIRECT(ADDRESS(614,16))</f>
        <v>0</v>
      </c>
      <c r="Q615">
        <f>INDIRECT(ADDRESS(615,16))+INDIRECT(ADDRESS(613,17))-INDIRECT(ADDRESS(614,17))</f>
        <v>0</v>
      </c>
      <c r="R615">
        <f>INDIRECT(ADDRESS(615,17))+INDIRECT(ADDRESS(613,18))-INDIRECT(ADDRESS(614,18))</f>
        <v>0</v>
      </c>
      <c r="S615">
        <f>INDIRECT(ADDRESS(615,18))+INDIRECT(ADDRESS(613,19))-INDIRECT(ADDRESS(614,19))</f>
        <v>0</v>
      </c>
      <c r="T615">
        <f>INDIRECT(ADDRESS(615,19))+INDIRECT(ADDRESS(613,20))-INDIRECT(ADDRESS(614,20))</f>
        <v>0</v>
      </c>
      <c r="U615">
        <f>INDIRECT(ADDRESS(615,20))+INDIRECT(ADDRESS(613,21))-INDIRECT(ADDRESS(614,21))</f>
        <v>0</v>
      </c>
      <c r="V615">
        <f>INDIRECT(ADDRESS(615,21))+INDIRECT(ADDRESS(613,22))-INDIRECT(ADDRESS(614,22))</f>
        <v>0</v>
      </c>
      <c r="W615">
        <f>INDIRECT(ADDRESS(615,22))+INDIRECT(ADDRESS(613,23))-INDIRECT(ADDRESS(614,23))</f>
        <v>0</v>
      </c>
      <c r="X615">
        <f>INDIRECT(ADDRESS(615,23))+INDIRECT(ADDRESS(613,24))-INDIRECT(ADDRESS(614,24))</f>
        <v>0</v>
      </c>
      <c r="Y615">
        <f>INDIRECT(ADDRESS(615,24))+INDIRECT(ADDRESS(613,25))-INDIRECT(ADDRESS(614,25))</f>
        <v>0</v>
      </c>
      <c r="Z615">
        <f>INDIRECT(ADDRESS(615,25))+INDIRECT(ADDRESS(613,26))-INDIRECT(ADDRESS(614,26))</f>
        <v>0</v>
      </c>
      <c r="AA615">
        <f>INDIRECT(ADDRESS(615,26))+INDIRECT(ADDRESS(613,27))-INDIRECT(ADDRESS(614,27))</f>
        <v>0</v>
      </c>
      <c r="AB615">
        <f>INDIRECT(ADDRESS(615,27))+INDIRECT(ADDRESS(613,28))-INDIRECT(ADDRESS(614,28))</f>
        <v>0</v>
      </c>
      <c r="AC615">
        <f>INDIRECT(ADDRESS(615,28))+INDIRECT(ADDRESS(613,29))-INDIRECT(ADDRESS(614,29))</f>
        <v>0</v>
      </c>
      <c r="AD615">
        <f>INDIRECT(ADDRESS(615,29))+INDIRECT(ADDRESS(613,30))-INDIRECT(ADDRESS(614,30))</f>
        <v>0</v>
      </c>
      <c r="AE615">
        <f>INDIRECT(ADDRESS(615,30))+INDIRECT(ADDRESS(613,31))-INDIRECT(ADDRESS(614,31))</f>
        <v>0</v>
      </c>
      <c r="AF615">
        <f>INDIRECT(ADDRESS(615,31))+INDIRECT(ADDRESS(613,32))-INDIRECT(ADDRESS(614,32))</f>
        <v>0</v>
      </c>
      <c r="AG615">
        <f>INDIRECT(ADDRESS(615,32))+INDIRECT(ADDRESS(613,33))-INDIRECT(ADDRESS(614,33))</f>
        <v>0</v>
      </c>
      <c r="AH615">
        <f>INDIRECT(ADDRESS(615,33))+INDIRECT(ADDRESS(613,34))-INDIRECT(ADDRESS(614,34))</f>
        <v>0</v>
      </c>
      <c r="AI615">
        <f>INDIRECT(ADDRESS(615,34))+INDIRECT(ADDRESS(613,35))-INDIRECT(ADDRESS(614,35))</f>
        <v>0</v>
      </c>
      <c r="AJ615">
        <f>INDIRECT(ADDRESS(615,35))+INDIRECT(ADDRESS(613,36))-INDIRECT(ADDRESS(614,36))</f>
        <v>0</v>
      </c>
      <c r="AK615">
        <f>INDIRECT(ADDRESS(615,36))+INDIRECT(ADDRESS(613,37))-INDIRECT(ADDRESS(614,37))</f>
        <v>0</v>
      </c>
      <c r="AL615">
        <f>INDIRECT(ADDRESS(615,37))+INDIRECT(ADDRESS(613,38))-INDIRECT(ADDRESS(614,38))</f>
        <v>0</v>
      </c>
      <c r="AM615">
        <f>INDIRECT(ADDRESS(615,38))+INDIRECT(ADDRESS(613,39))-INDIRECT(ADDRESS(614,39))</f>
        <v>0</v>
      </c>
      <c r="AN615">
        <f>INDIRECT(ADDRESS(615,39))+INDIRECT(ADDRESS(613,40))-INDIRECT(ADDRESS(614,40))</f>
        <v>0</v>
      </c>
      <c r="AO615">
        <f>SUM(INDIRECT(ADDRESS(614,8)):INDIRECT(ADDRESS(614,39)))</f>
        <v>0</v>
      </c>
    </row>
    <row r="616" spans="1:41">
      <c r="A616" t="s">
        <v>185</v>
      </c>
      <c r="B616" t="s">
        <v>404</v>
      </c>
      <c r="C616" t="s">
        <v>405</v>
      </c>
      <c r="E616">
        <v>2</v>
      </c>
      <c r="I616" t="s">
        <v>177</v>
      </c>
    </row>
    <row r="617" spans="1:41">
      <c r="I617" t="s">
        <v>178</v>
      </c>
      <c r="J617">
        <f>IFERROR(VLOOKUP("924-011808-200",B:AB,1+8,0),0)</f>
        <v>0</v>
      </c>
      <c r="K617">
        <f>IFERROR(VLOOKUP("924-011808-200",B:AB,2+8,0),0)</f>
        <v>0</v>
      </c>
      <c r="L617">
        <f>IFERROR(VLOOKUP("924-011808-200",B:AB,3+8,0),0)</f>
        <v>0</v>
      </c>
      <c r="M617">
        <f>IFERROR(VLOOKUP("924-011808-200",B:AB,4+8,0),0)</f>
        <v>0</v>
      </c>
      <c r="N617">
        <f>IFERROR(VLOOKUP("924-011808-200",B:AB,5+8,0),0)</f>
        <v>0</v>
      </c>
      <c r="O617">
        <f>IFERROR(VLOOKUP("924-011808-200",B:AB,6+8,0),0)</f>
        <v>0</v>
      </c>
      <c r="P617">
        <f>IFERROR(VLOOKUP("924-011808-200",B:AB,7+8,0),0)</f>
        <v>0</v>
      </c>
      <c r="Q617">
        <f>IFERROR(VLOOKUP("924-011808-200",B:AB,8+8,0),0)</f>
        <v>0</v>
      </c>
      <c r="R617">
        <f>IFERROR(VLOOKUP("924-011808-200",B:AB,9+8,0),0)</f>
        <v>0</v>
      </c>
      <c r="S617">
        <f>IFERROR(VLOOKUP("924-011808-200",B:AB,10+8,0),0)</f>
        <v>0</v>
      </c>
      <c r="T617">
        <f>IFERROR(VLOOKUP("924-011808-200",B:AB,11+8,0),0)</f>
        <v>0</v>
      </c>
      <c r="U617">
        <f>IFERROR(VLOOKUP("924-011808-200",B:AB,12+8,0),0)</f>
        <v>0</v>
      </c>
      <c r="V617">
        <f>IFERROR(VLOOKUP("924-011808-200",B:AB,13+8,0),0)</f>
        <v>0</v>
      </c>
      <c r="W617">
        <f>IFERROR(VLOOKUP("924-011808-200",B:AB,14+8,0),0)</f>
        <v>0</v>
      </c>
      <c r="X617">
        <f>IFERROR(VLOOKUP("924-011808-200",B:AB,15+8,0),0)</f>
        <v>0</v>
      </c>
      <c r="Y617">
        <f>IFERROR(VLOOKUP("924-011808-200",B:AB,16+8,0),0)</f>
        <v>0</v>
      </c>
      <c r="Z617">
        <f>IFERROR(VLOOKUP("924-011808-200",B:AB,17+8,0),0)</f>
        <v>0</v>
      </c>
      <c r="AA617">
        <f>IFERROR(VLOOKUP("924-011808-200",B:AB,18+8,0),0)</f>
        <v>0</v>
      </c>
      <c r="AB617">
        <f>IFERROR(VLOOKUP("924-011808-200",B:AB,19+8,0),0)</f>
        <v>0</v>
      </c>
      <c r="AC617">
        <f>IFERROR(VLOOKUP("924-011808-200",B:AB,20+8,0),0)</f>
        <v>0</v>
      </c>
      <c r="AD617">
        <f>IFERROR(VLOOKUP("924-011808-200",B:AB,21+8,0),0)</f>
        <v>0</v>
      </c>
      <c r="AE617">
        <f>IFERROR(VLOOKUP("924-011808-200",B:AB,22+8,0),0)</f>
        <v>0</v>
      </c>
      <c r="AF617">
        <f>IFERROR(VLOOKUP("924-011808-200",B:AB,23+8,0),0)</f>
        <v>0</v>
      </c>
      <c r="AG617">
        <f>IFERROR(VLOOKUP("924-011808-200",B:AB,24+8,0),0)</f>
        <v>0</v>
      </c>
      <c r="AH617">
        <f>IFERROR(VLOOKUP("924-011808-200",B:AB,25+8,0),0)</f>
        <v>0</v>
      </c>
      <c r="AI617">
        <f>IFERROR(VLOOKUP("924-011808-200",B:AB,26+8,0),0)</f>
        <v>0</v>
      </c>
      <c r="AJ617">
        <f>IFERROR(VLOOKUP("924-011808-200",B:AB,27+8,0),0)</f>
        <v>0</v>
      </c>
      <c r="AK617">
        <f>IFERROR(VLOOKUP("924-011808-200",B:AB,28+8,0),0)</f>
        <v>0</v>
      </c>
      <c r="AL617">
        <f>IFERROR(VLOOKUP("924-011808-200",B:AB,29+8,0),0)</f>
        <v>0</v>
      </c>
      <c r="AM617">
        <f>IFERROR(VLOOKUP("924-011808-200",B:AB,30+8,0),0)</f>
        <v>0</v>
      </c>
      <c r="AN617">
        <f>IFERROR(VLOOKUP("924-011808-200",B:AB,31+8,0),0)</f>
        <v>0</v>
      </c>
      <c r="AO617">
        <f>SUN(INDIRECT(ADDRESS(616,8)):INDIRECT(ADDRESS(616,39)))</f>
        <v>0</v>
      </c>
    </row>
    <row r="618" spans="1:41">
      <c r="H618" t="s">
        <v>179</v>
      </c>
      <c r="J618">
        <f>INDIRECT(ADDRESS(618,9))+INDIRECT(ADDRESS(616,10))-INDIRECT(ADDRESS(617,10))</f>
        <v>0</v>
      </c>
      <c r="K618">
        <f>INDIRECT(ADDRESS(618,10))+INDIRECT(ADDRESS(616,11))-INDIRECT(ADDRESS(617,11))</f>
        <v>0</v>
      </c>
      <c r="L618">
        <f>INDIRECT(ADDRESS(618,11))+INDIRECT(ADDRESS(616,12))-INDIRECT(ADDRESS(617,12))</f>
        <v>0</v>
      </c>
      <c r="M618">
        <f>INDIRECT(ADDRESS(618,12))+INDIRECT(ADDRESS(616,13))-INDIRECT(ADDRESS(617,13))</f>
        <v>0</v>
      </c>
      <c r="N618">
        <f>INDIRECT(ADDRESS(618,13))+INDIRECT(ADDRESS(616,14))-INDIRECT(ADDRESS(617,14))</f>
        <v>0</v>
      </c>
      <c r="O618">
        <f>INDIRECT(ADDRESS(618,14))+INDIRECT(ADDRESS(616,15))-INDIRECT(ADDRESS(617,15))</f>
        <v>0</v>
      </c>
      <c r="P618">
        <f>INDIRECT(ADDRESS(618,15))+INDIRECT(ADDRESS(616,16))-INDIRECT(ADDRESS(617,16))</f>
        <v>0</v>
      </c>
      <c r="Q618">
        <f>INDIRECT(ADDRESS(618,16))+INDIRECT(ADDRESS(616,17))-INDIRECT(ADDRESS(617,17))</f>
        <v>0</v>
      </c>
      <c r="R618">
        <f>INDIRECT(ADDRESS(618,17))+INDIRECT(ADDRESS(616,18))-INDIRECT(ADDRESS(617,18))</f>
        <v>0</v>
      </c>
      <c r="S618">
        <f>INDIRECT(ADDRESS(618,18))+INDIRECT(ADDRESS(616,19))-INDIRECT(ADDRESS(617,19))</f>
        <v>0</v>
      </c>
      <c r="T618">
        <f>INDIRECT(ADDRESS(618,19))+INDIRECT(ADDRESS(616,20))-INDIRECT(ADDRESS(617,20))</f>
        <v>0</v>
      </c>
      <c r="U618">
        <f>INDIRECT(ADDRESS(618,20))+INDIRECT(ADDRESS(616,21))-INDIRECT(ADDRESS(617,21))</f>
        <v>0</v>
      </c>
      <c r="V618">
        <f>INDIRECT(ADDRESS(618,21))+INDIRECT(ADDRESS(616,22))-INDIRECT(ADDRESS(617,22))</f>
        <v>0</v>
      </c>
      <c r="W618">
        <f>INDIRECT(ADDRESS(618,22))+INDIRECT(ADDRESS(616,23))-INDIRECT(ADDRESS(617,23))</f>
        <v>0</v>
      </c>
      <c r="X618">
        <f>INDIRECT(ADDRESS(618,23))+INDIRECT(ADDRESS(616,24))-INDIRECT(ADDRESS(617,24))</f>
        <v>0</v>
      </c>
      <c r="Y618">
        <f>INDIRECT(ADDRESS(618,24))+INDIRECT(ADDRESS(616,25))-INDIRECT(ADDRESS(617,25))</f>
        <v>0</v>
      </c>
      <c r="Z618">
        <f>INDIRECT(ADDRESS(618,25))+INDIRECT(ADDRESS(616,26))-INDIRECT(ADDRESS(617,26))</f>
        <v>0</v>
      </c>
      <c r="AA618">
        <f>INDIRECT(ADDRESS(618,26))+INDIRECT(ADDRESS(616,27))-INDIRECT(ADDRESS(617,27))</f>
        <v>0</v>
      </c>
      <c r="AB618">
        <f>INDIRECT(ADDRESS(618,27))+INDIRECT(ADDRESS(616,28))-INDIRECT(ADDRESS(617,28))</f>
        <v>0</v>
      </c>
      <c r="AC618">
        <f>INDIRECT(ADDRESS(618,28))+INDIRECT(ADDRESS(616,29))-INDIRECT(ADDRESS(617,29))</f>
        <v>0</v>
      </c>
      <c r="AD618">
        <f>INDIRECT(ADDRESS(618,29))+INDIRECT(ADDRESS(616,30))-INDIRECT(ADDRESS(617,30))</f>
        <v>0</v>
      </c>
      <c r="AE618">
        <f>INDIRECT(ADDRESS(618,30))+INDIRECT(ADDRESS(616,31))-INDIRECT(ADDRESS(617,31))</f>
        <v>0</v>
      </c>
      <c r="AF618">
        <f>INDIRECT(ADDRESS(618,31))+INDIRECT(ADDRESS(616,32))-INDIRECT(ADDRESS(617,32))</f>
        <v>0</v>
      </c>
      <c r="AG618">
        <f>INDIRECT(ADDRESS(618,32))+INDIRECT(ADDRESS(616,33))-INDIRECT(ADDRESS(617,33))</f>
        <v>0</v>
      </c>
      <c r="AH618">
        <f>INDIRECT(ADDRESS(618,33))+INDIRECT(ADDRESS(616,34))-INDIRECT(ADDRESS(617,34))</f>
        <v>0</v>
      </c>
      <c r="AI618">
        <f>INDIRECT(ADDRESS(618,34))+INDIRECT(ADDRESS(616,35))-INDIRECT(ADDRESS(617,35))</f>
        <v>0</v>
      </c>
      <c r="AJ618">
        <f>INDIRECT(ADDRESS(618,35))+INDIRECT(ADDRESS(616,36))-INDIRECT(ADDRESS(617,36))</f>
        <v>0</v>
      </c>
      <c r="AK618">
        <f>INDIRECT(ADDRESS(618,36))+INDIRECT(ADDRESS(616,37))-INDIRECT(ADDRESS(617,37))</f>
        <v>0</v>
      </c>
      <c r="AL618">
        <f>INDIRECT(ADDRESS(618,37))+INDIRECT(ADDRESS(616,38))-INDIRECT(ADDRESS(617,38))</f>
        <v>0</v>
      </c>
      <c r="AM618">
        <f>INDIRECT(ADDRESS(618,38))+INDIRECT(ADDRESS(616,39))-INDIRECT(ADDRESS(617,39))</f>
        <v>0</v>
      </c>
      <c r="AN618">
        <f>INDIRECT(ADDRESS(618,39))+INDIRECT(ADDRESS(616,40))-INDIRECT(ADDRESS(617,40))</f>
        <v>0</v>
      </c>
      <c r="AO618">
        <f>SUM(INDIRECT(ADDRESS(617,8)):INDIRECT(ADDRESS(617,39)))</f>
        <v>0</v>
      </c>
    </row>
    <row r="619" spans="1:41">
      <c r="A619" t="s">
        <v>185</v>
      </c>
      <c r="B619" t="s">
        <v>406</v>
      </c>
      <c r="C619" t="s">
        <v>407</v>
      </c>
      <c r="E619">
        <v>1</v>
      </c>
      <c r="I619" t="s">
        <v>177</v>
      </c>
    </row>
    <row r="620" spans="1:41">
      <c r="I620" t="s">
        <v>178</v>
      </c>
      <c r="J620">
        <f>IFERROR(VLOOKUP("924-011808-200",B:AB,1+8,0),0)</f>
        <v>0</v>
      </c>
      <c r="K620">
        <f>IFERROR(VLOOKUP("924-011808-200",B:AB,2+8,0),0)</f>
        <v>0</v>
      </c>
      <c r="L620">
        <f>IFERROR(VLOOKUP("924-011808-200",B:AB,3+8,0),0)</f>
        <v>0</v>
      </c>
      <c r="M620">
        <f>IFERROR(VLOOKUP("924-011808-200",B:AB,4+8,0),0)</f>
        <v>0</v>
      </c>
      <c r="N620">
        <f>IFERROR(VLOOKUP("924-011808-200",B:AB,5+8,0),0)</f>
        <v>0</v>
      </c>
      <c r="O620">
        <f>IFERROR(VLOOKUP("924-011808-200",B:AB,6+8,0),0)</f>
        <v>0</v>
      </c>
      <c r="P620">
        <f>IFERROR(VLOOKUP("924-011808-200",B:AB,7+8,0),0)</f>
        <v>0</v>
      </c>
      <c r="Q620">
        <f>IFERROR(VLOOKUP("924-011808-200",B:AB,8+8,0),0)</f>
        <v>0</v>
      </c>
      <c r="R620">
        <f>IFERROR(VLOOKUP("924-011808-200",B:AB,9+8,0),0)</f>
        <v>0</v>
      </c>
      <c r="S620">
        <f>IFERROR(VLOOKUP("924-011808-200",B:AB,10+8,0),0)</f>
        <v>0</v>
      </c>
      <c r="T620">
        <f>IFERROR(VLOOKUP("924-011808-200",B:AB,11+8,0),0)</f>
        <v>0</v>
      </c>
      <c r="U620">
        <f>IFERROR(VLOOKUP("924-011808-200",B:AB,12+8,0),0)</f>
        <v>0</v>
      </c>
      <c r="V620">
        <f>IFERROR(VLOOKUP("924-011808-200",B:AB,13+8,0),0)</f>
        <v>0</v>
      </c>
      <c r="W620">
        <f>IFERROR(VLOOKUP("924-011808-200",B:AB,14+8,0),0)</f>
        <v>0</v>
      </c>
      <c r="X620">
        <f>IFERROR(VLOOKUP("924-011808-200",B:AB,15+8,0),0)</f>
        <v>0</v>
      </c>
      <c r="Y620">
        <f>IFERROR(VLOOKUP("924-011808-200",B:AB,16+8,0),0)</f>
        <v>0</v>
      </c>
      <c r="Z620">
        <f>IFERROR(VLOOKUP("924-011808-200",B:AB,17+8,0),0)</f>
        <v>0</v>
      </c>
      <c r="AA620">
        <f>IFERROR(VLOOKUP("924-011808-200",B:AB,18+8,0),0)</f>
        <v>0</v>
      </c>
      <c r="AB620">
        <f>IFERROR(VLOOKUP("924-011808-200",B:AB,19+8,0),0)</f>
        <v>0</v>
      </c>
      <c r="AC620">
        <f>IFERROR(VLOOKUP("924-011808-200",B:AB,20+8,0),0)</f>
        <v>0</v>
      </c>
      <c r="AD620">
        <f>IFERROR(VLOOKUP("924-011808-200",B:AB,21+8,0),0)</f>
        <v>0</v>
      </c>
      <c r="AE620">
        <f>IFERROR(VLOOKUP("924-011808-200",B:AB,22+8,0),0)</f>
        <v>0</v>
      </c>
      <c r="AF620">
        <f>IFERROR(VLOOKUP("924-011808-200",B:AB,23+8,0),0)</f>
        <v>0</v>
      </c>
      <c r="AG620">
        <f>IFERROR(VLOOKUP("924-011808-200",B:AB,24+8,0),0)</f>
        <v>0</v>
      </c>
      <c r="AH620">
        <f>IFERROR(VLOOKUP("924-011808-200",B:AB,25+8,0),0)</f>
        <v>0</v>
      </c>
      <c r="AI620">
        <f>IFERROR(VLOOKUP("924-011808-200",B:AB,26+8,0),0)</f>
        <v>0</v>
      </c>
      <c r="AJ620">
        <f>IFERROR(VLOOKUP("924-011808-200",B:AB,27+8,0),0)</f>
        <v>0</v>
      </c>
      <c r="AK620">
        <f>IFERROR(VLOOKUP("924-011808-200",B:AB,28+8,0),0)</f>
        <v>0</v>
      </c>
      <c r="AL620">
        <f>IFERROR(VLOOKUP("924-011808-200",B:AB,29+8,0),0)</f>
        <v>0</v>
      </c>
      <c r="AM620">
        <f>IFERROR(VLOOKUP("924-011808-200",B:AB,30+8,0),0)</f>
        <v>0</v>
      </c>
      <c r="AN620">
        <f>IFERROR(VLOOKUP("924-011808-200",B:AB,31+8,0),0)</f>
        <v>0</v>
      </c>
      <c r="AO620">
        <f>SUN(INDIRECT(ADDRESS(619,8)):INDIRECT(ADDRESS(619,39)))</f>
        <v>0</v>
      </c>
    </row>
    <row r="621" spans="1:41">
      <c r="H621" t="s">
        <v>179</v>
      </c>
      <c r="J621">
        <f>INDIRECT(ADDRESS(621,9))+INDIRECT(ADDRESS(619,10))-INDIRECT(ADDRESS(620,10))</f>
        <v>0</v>
      </c>
      <c r="K621">
        <f>INDIRECT(ADDRESS(621,10))+INDIRECT(ADDRESS(619,11))-INDIRECT(ADDRESS(620,11))</f>
        <v>0</v>
      </c>
      <c r="L621">
        <f>INDIRECT(ADDRESS(621,11))+INDIRECT(ADDRESS(619,12))-INDIRECT(ADDRESS(620,12))</f>
        <v>0</v>
      </c>
      <c r="M621">
        <f>INDIRECT(ADDRESS(621,12))+INDIRECT(ADDRESS(619,13))-INDIRECT(ADDRESS(620,13))</f>
        <v>0</v>
      </c>
      <c r="N621">
        <f>INDIRECT(ADDRESS(621,13))+INDIRECT(ADDRESS(619,14))-INDIRECT(ADDRESS(620,14))</f>
        <v>0</v>
      </c>
      <c r="O621">
        <f>INDIRECT(ADDRESS(621,14))+INDIRECT(ADDRESS(619,15))-INDIRECT(ADDRESS(620,15))</f>
        <v>0</v>
      </c>
      <c r="P621">
        <f>INDIRECT(ADDRESS(621,15))+INDIRECT(ADDRESS(619,16))-INDIRECT(ADDRESS(620,16))</f>
        <v>0</v>
      </c>
      <c r="Q621">
        <f>INDIRECT(ADDRESS(621,16))+INDIRECT(ADDRESS(619,17))-INDIRECT(ADDRESS(620,17))</f>
        <v>0</v>
      </c>
      <c r="R621">
        <f>INDIRECT(ADDRESS(621,17))+INDIRECT(ADDRESS(619,18))-INDIRECT(ADDRESS(620,18))</f>
        <v>0</v>
      </c>
      <c r="S621">
        <f>INDIRECT(ADDRESS(621,18))+INDIRECT(ADDRESS(619,19))-INDIRECT(ADDRESS(620,19))</f>
        <v>0</v>
      </c>
      <c r="T621">
        <f>INDIRECT(ADDRESS(621,19))+INDIRECT(ADDRESS(619,20))-INDIRECT(ADDRESS(620,20))</f>
        <v>0</v>
      </c>
      <c r="U621">
        <f>INDIRECT(ADDRESS(621,20))+INDIRECT(ADDRESS(619,21))-INDIRECT(ADDRESS(620,21))</f>
        <v>0</v>
      </c>
      <c r="V621">
        <f>INDIRECT(ADDRESS(621,21))+INDIRECT(ADDRESS(619,22))-INDIRECT(ADDRESS(620,22))</f>
        <v>0</v>
      </c>
      <c r="W621">
        <f>INDIRECT(ADDRESS(621,22))+INDIRECT(ADDRESS(619,23))-INDIRECT(ADDRESS(620,23))</f>
        <v>0</v>
      </c>
      <c r="X621">
        <f>INDIRECT(ADDRESS(621,23))+INDIRECT(ADDRESS(619,24))-INDIRECT(ADDRESS(620,24))</f>
        <v>0</v>
      </c>
      <c r="Y621">
        <f>INDIRECT(ADDRESS(621,24))+INDIRECT(ADDRESS(619,25))-INDIRECT(ADDRESS(620,25))</f>
        <v>0</v>
      </c>
      <c r="Z621">
        <f>INDIRECT(ADDRESS(621,25))+INDIRECT(ADDRESS(619,26))-INDIRECT(ADDRESS(620,26))</f>
        <v>0</v>
      </c>
      <c r="AA621">
        <f>INDIRECT(ADDRESS(621,26))+INDIRECT(ADDRESS(619,27))-INDIRECT(ADDRESS(620,27))</f>
        <v>0</v>
      </c>
      <c r="AB621">
        <f>INDIRECT(ADDRESS(621,27))+INDIRECT(ADDRESS(619,28))-INDIRECT(ADDRESS(620,28))</f>
        <v>0</v>
      </c>
      <c r="AC621">
        <f>INDIRECT(ADDRESS(621,28))+INDIRECT(ADDRESS(619,29))-INDIRECT(ADDRESS(620,29))</f>
        <v>0</v>
      </c>
      <c r="AD621">
        <f>INDIRECT(ADDRESS(621,29))+INDIRECT(ADDRESS(619,30))-INDIRECT(ADDRESS(620,30))</f>
        <v>0</v>
      </c>
      <c r="AE621">
        <f>INDIRECT(ADDRESS(621,30))+INDIRECT(ADDRESS(619,31))-INDIRECT(ADDRESS(620,31))</f>
        <v>0</v>
      </c>
      <c r="AF621">
        <f>INDIRECT(ADDRESS(621,31))+INDIRECT(ADDRESS(619,32))-INDIRECT(ADDRESS(620,32))</f>
        <v>0</v>
      </c>
      <c r="AG621">
        <f>INDIRECT(ADDRESS(621,32))+INDIRECT(ADDRESS(619,33))-INDIRECT(ADDRESS(620,33))</f>
        <v>0</v>
      </c>
      <c r="AH621">
        <f>INDIRECT(ADDRESS(621,33))+INDIRECT(ADDRESS(619,34))-INDIRECT(ADDRESS(620,34))</f>
        <v>0</v>
      </c>
      <c r="AI621">
        <f>INDIRECT(ADDRESS(621,34))+INDIRECT(ADDRESS(619,35))-INDIRECT(ADDRESS(620,35))</f>
        <v>0</v>
      </c>
      <c r="AJ621">
        <f>INDIRECT(ADDRESS(621,35))+INDIRECT(ADDRESS(619,36))-INDIRECT(ADDRESS(620,36))</f>
        <v>0</v>
      </c>
      <c r="AK621">
        <f>INDIRECT(ADDRESS(621,36))+INDIRECT(ADDRESS(619,37))-INDIRECT(ADDRESS(620,37))</f>
        <v>0</v>
      </c>
      <c r="AL621">
        <f>INDIRECT(ADDRESS(621,37))+INDIRECT(ADDRESS(619,38))-INDIRECT(ADDRESS(620,38))</f>
        <v>0</v>
      </c>
      <c r="AM621">
        <f>INDIRECT(ADDRESS(621,38))+INDIRECT(ADDRESS(619,39))-INDIRECT(ADDRESS(620,39))</f>
        <v>0</v>
      </c>
      <c r="AN621">
        <f>INDIRECT(ADDRESS(621,39))+INDIRECT(ADDRESS(619,40))-INDIRECT(ADDRESS(620,40))</f>
        <v>0</v>
      </c>
      <c r="AO621">
        <f>SUM(INDIRECT(ADDRESS(620,8)):INDIRECT(ADDRESS(620,39)))</f>
        <v>0</v>
      </c>
    </row>
    <row r="622" spans="1:41">
      <c r="A622" t="s">
        <v>408</v>
      </c>
      <c r="B622" t="s">
        <v>411</v>
      </c>
      <c r="C622" t="s">
        <v>412</v>
      </c>
      <c r="E622">
        <v>0.1</v>
      </c>
      <c r="I622" t="s">
        <v>177</v>
      </c>
    </row>
    <row r="623" spans="1:41">
      <c r="I623" t="s">
        <v>178</v>
      </c>
      <c r="J623">
        <f>IFERROR(VLOOKUP("924-011808-200",B:AB,1+8,0),0)</f>
        <v>0</v>
      </c>
      <c r="K623">
        <f>IFERROR(VLOOKUP("924-011808-200",B:AB,2+8,0),0)</f>
        <v>0</v>
      </c>
      <c r="L623">
        <f>IFERROR(VLOOKUP("924-011808-200",B:AB,3+8,0),0)</f>
        <v>0</v>
      </c>
      <c r="M623">
        <f>IFERROR(VLOOKUP("924-011808-200",B:AB,4+8,0),0)</f>
        <v>0</v>
      </c>
      <c r="N623">
        <f>IFERROR(VLOOKUP("924-011808-200",B:AB,5+8,0),0)</f>
        <v>0</v>
      </c>
      <c r="O623">
        <f>IFERROR(VLOOKUP("924-011808-200",B:AB,6+8,0),0)</f>
        <v>0</v>
      </c>
      <c r="P623">
        <f>IFERROR(VLOOKUP("924-011808-200",B:AB,7+8,0),0)</f>
        <v>0</v>
      </c>
      <c r="Q623">
        <f>IFERROR(VLOOKUP("924-011808-200",B:AB,8+8,0),0)</f>
        <v>0</v>
      </c>
      <c r="R623">
        <f>IFERROR(VLOOKUP("924-011808-200",B:AB,9+8,0),0)</f>
        <v>0</v>
      </c>
      <c r="S623">
        <f>IFERROR(VLOOKUP("924-011808-200",B:AB,10+8,0),0)</f>
        <v>0</v>
      </c>
      <c r="T623">
        <f>IFERROR(VLOOKUP("924-011808-200",B:AB,11+8,0),0)</f>
        <v>0</v>
      </c>
      <c r="U623">
        <f>IFERROR(VLOOKUP("924-011808-200",B:AB,12+8,0),0)</f>
        <v>0</v>
      </c>
      <c r="V623">
        <f>IFERROR(VLOOKUP("924-011808-200",B:AB,13+8,0),0)</f>
        <v>0</v>
      </c>
      <c r="W623">
        <f>IFERROR(VLOOKUP("924-011808-200",B:AB,14+8,0),0)</f>
        <v>0</v>
      </c>
      <c r="X623">
        <f>IFERROR(VLOOKUP("924-011808-200",B:AB,15+8,0),0)</f>
        <v>0</v>
      </c>
      <c r="Y623">
        <f>IFERROR(VLOOKUP("924-011808-200",B:AB,16+8,0),0)</f>
        <v>0</v>
      </c>
      <c r="Z623">
        <f>IFERROR(VLOOKUP("924-011808-200",B:AB,17+8,0),0)</f>
        <v>0</v>
      </c>
      <c r="AA623">
        <f>IFERROR(VLOOKUP("924-011808-200",B:AB,18+8,0),0)</f>
        <v>0</v>
      </c>
      <c r="AB623">
        <f>IFERROR(VLOOKUP("924-011808-200",B:AB,19+8,0),0)</f>
        <v>0</v>
      </c>
      <c r="AC623">
        <f>IFERROR(VLOOKUP("924-011808-200",B:AB,20+8,0),0)</f>
        <v>0</v>
      </c>
      <c r="AD623">
        <f>IFERROR(VLOOKUP("924-011808-200",B:AB,21+8,0),0)</f>
        <v>0</v>
      </c>
      <c r="AE623">
        <f>IFERROR(VLOOKUP("924-011808-200",B:AB,22+8,0),0)</f>
        <v>0</v>
      </c>
      <c r="AF623">
        <f>IFERROR(VLOOKUP("924-011808-200",B:AB,23+8,0),0)</f>
        <v>0</v>
      </c>
      <c r="AG623">
        <f>IFERROR(VLOOKUP("924-011808-200",B:AB,24+8,0),0)</f>
        <v>0</v>
      </c>
      <c r="AH623">
        <f>IFERROR(VLOOKUP("924-011808-200",B:AB,25+8,0),0)</f>
        <v>0</v>
      </c>
      <c r="AI623">
        <f>IFERROR(VLOOKUP("924-011808-200",B:AB,26+8,0),0)</f>
        <v>0</v>
      </c>
      <c r="AJ623">
        <f>IFERROR(VLOOKUP("924-011808-200",B:AB,27+8,0),0)</f>
        <v>0</v>
      </c>
      <c r="AK623">
        <f>IFERROR(VLOOKUP("924-011808-200",B:AB,28+8,0),0)</f>
        <v>0</v>
      </c>
      <c r="AL623">
        <f>IFERROR(VLOOKUP("924-011808-200",B:AB,29+8,0),0)</f>
        <v>0</v>
      </c>
      <c r="AM623">
        <f>IFERROR(VLOOKUP("924-011808-200",B:AB,30+8,0),0)</f>
        <v>0</v>
      </c>
      <c r="AN623">
        <f>IFERROR(VLOOKUP("924-011808-200",B:AB,31+8,0),0)</f>
        <v>0</v>
      </c>
      <c r="AO623">
        <f>SUN(INDIRECT(ADDRESS(622,8)):INDIRECT(ADDRESS(622,39)))</f>
        <v>0</v>
      </c>
    </row>
    <row r="624" spans="1:41">
      <c r="H624" t="s">
        <v>179</v>
      </c>
      <c r="J624">
        <f>INDIRECT(ADDRESS(624,9))+INDIRECT(ADDRESS(622,10))-INDIRECT(ADDRESS(623,10))</f>
        <v>0</v>
      </c>
      <c r="K624">
        <f>INDIRECT(ADDRESS(624,10))+INDIRECT(ADDRESS(622,11))-INDIRECT(ADDRESS(623,11))</f>
        <v>0</v>
      </c>
      <c r="L624">
        <f>INDIRECT(ADDRESS(624,11))+INDIRECT(ADDRESS(622,12))-INDIRECT(ADDRESS(623,12))</f>
        <v>0</v>
      </c>
      <c r="M624">
        <f>INDIRECT(ADDRESS(624,12))+INDIRECT(ADDRESS(622,13))-INDIRECT(ADDRESS(623,13))</f>
        <v>0</v>
      </c>
      <c r="N624">
        <f>INDIRECT(ADDRESS(624,13))+INDIRECT(ADDRESS(622,14))-INDIRECT(ADDRESS(623,14))</f>
        <v>0</v>
      </c>
      <c r="O624">
        <f>INDIRECT(ADDRESS(624,14))+INDIRECT(ADDRESS(622,15))-INDIRECT(ADDRESS(623,15))</f>
        <v>0</v>
      </c>
      <c r="P624">
        <f>INDIRECT(ADDRESS(624,15))+INDIRECT(ADDRESS(622,16))-INDIRECT(ADDRESS(623,16))</f>
        <v>0</v>
      </c>
      <c r="Q624">
        <f>INDIRECT(ADDRESS(624,16))+INDIRECT(ADDRESS(622,17))-INDIRECT(ADDRESS(623,17))</f>
        <v>0</v>
      </c>
      <c r="R624">
        <f>INDIRECT(ADDRESS(624,17))+INDIRECT(ADDRESS(622,18))-INDIRECT(ADDRESS(623,18))</f>
        <v>0</v>
      </c>
      <c r="S624">
        <f>INDIRECT(ADDRESS(624,18))+INDIRECT(ADDRESS(622,19))-INDIRECT(ADDRESS(623,19))</f>
        <v>0</v>
      </c>
      <c r="T624">
        <f>INDIRECT(ADDRESS(624,19))+INDIRECT(ADDRESS(622,20))-INDIRECT(ADDRESS(623,20))</f>
        <v>0</v>
      </c>
      <c r="U624">
        <f>INDIRECT(ADDRESS(624,20))+INDIRECT(ADDRESS(622,21))-INDIRECT(ADDRESS(623,21))</f>
        <v>0</v>
      </c>
      <c r="V624">
        <f>INDIRECT(ADDRESS(624,21))+INDIRECT(ADDRESS(622,22))-INDIRECT(ADDRESS(623,22))</f>
        <v>0</v>
      </c>
      <c r="W624">
        <f>INDIRECT(ADDRESS(624,22))+INDIRECT(ADDRESS(622,23))-INDIRECT(ADDRESS(623,23))</f>
        <v>0</v>
      </c>
      <c r="X624">
        <f>INDIRECT(ADDRESS(624,23))+INDIRECT(ADDRESS(622,24))-INDIRECT(ADDRESS(623,24))</f>
        <v>0</v>
      </c>
      <c r="Y624">
        <f>INDIRECT(ADDRESS(624,24))+INDIRECT(ADDRESS(622,25))-INDIRECT(ADDRESS(623,25))</f>
        <v>0</v>
      </c>
      <c r="Z624">
        <f>INDIRECT(ADDRESS(624,25))+INDIRECT(ADDRESS(622,26))-INDIRECT(ADDRESS(623,26))</f>
        <v>0</v>
      </c>
      <c r="AA624">
        <f>INDIRECT(ADDRESS(624,26))+INDIRECT(ADDRESS(622,27))-INDIRECT(ADDRESS(623,27))</f>
        <v>0</v>
      </c>
      <c r="AB624">
        <f>INDIRECT(ADDRESS(624,27))+INDIRECT(ADDRESS(622,28))-INDIRECT(ADDRESS(623,28))</f>
        <v>0</v>
      </c>
      <c r="AC624">
        <f>INDIRECT(ADDRESS(624,28))+INDIRECT(ADDRESS(622,29))-INDIRECT(ADDRESS(623,29))</f>
        <v>0</v>
      </c>
      <c r="AD624">
        <f>INDIRECT(ADDRESS(624,29))+INDIRECT(ADDRESS(622,30))-INDIRECT(ADDRESS(623,30))</f>
        <v>0</v>
      </c>
      <c r="AE624">
        <f>INDIRECT(ADDRESS(624,30))+INDIRECT(ADDRESS(622,31))-INDIRECT(ADDRESS(623,31))</f>
        <v>0</v>
      </c>
      <c r="AF624">
        <f>INDIRECT(ADDRESS(624,31))+INDIRECT(ADDRESS(622,32))-INDIRECT(ADDRESS(623,32))</f>
        <v>0</v>
      </c>
      <c r="AG624">
        <f>INDIRECT(ADDRESS(624,32))+INDIRECT(ADDRESS(622,33))-INDIRECT(ADDRESS(623,33))</f>
        <v>0</v>
      </c>
      <c r="AH624">
        <f>INDIRECT(ADDRESS(624,33))+INDIRECT(ADDRESS(622,34))-INDIRECT(ADDRESS(623,34))</f>
        <v>0</v>
      </c>
      <c r="AI624">
        <f>INDIRECT(ADDRESS(624,34))+INDIRECT(ADDRESS(622,35))-INDIRECT(ADDRESS(623,35))</f>
        <v>0</v>
      </c>
      <c r="AJ624">
        <f>INDIRECT(ADDRESS(624,35))+INDIRECT(ADDRESS(622,36))-INDIRECT(ADDRESS(623,36))</f>
        <v>0</v>
      </c>
      <c r="AK624">
        <f>INDIRECT(ADDRESS(624,36))+INDIRECT(ADDRESS(622,37))-INDIRECT(ADDRESS(623,37))</f>
        <v>0</v>
      </c>
      <c r="AL624">
        <f>INDIRECT(ADDRESS(624,37))+INDIRECT(ADDRESS(622,38))-INDIRECT(ADDRESS(623,38))</f>
        <v>0</v>
      </c>
      <c r="AM624">
        <f>INDIRECT(ADDRESS(624,38))+INDIRECT(ADDRESS(622,39))-INDIRECT(ADDRESS(623,39))</f>
        <v>0</v>
      </c>
      <c r="AN624">
        <f>INDIRECT(ADDRESS(624,39))+INDIRECT(ADDRESS(622,40))-INDIRECT(ADDRESS(623,40))</f>
        <v>0</v>
      </c>
      <c r="AO624">
        <f>SUM(INDIRECT(ADDRESS(623,8)):INDIRECT(ADDRESS(623,39)))</f>
        <v>0</v>
      </c>
    </row>
    <row r="625" spans="1:41">
      <c r="A625" t="s">
        <v>8</v>
      </c>
      <c r="B625" t="s">
        <v>49</v>
      </c>
      <c r="C625" t="s">
        <v>50</v>
      </c>
      <c r="E625">
        <v>1</v>
      </c>
      <c r="I625" t="s">
        <v>177</v>
      </c>
    </row>
    <row r="626" spans="1:41">
      <c r="I626" t="s">
        <v>178</v>
      </c>
      <c r="J626">
        <f>IFERROR(VLOOKUP("924-007000-100",Out!B:AB,1+8,0),0)</f>
        <v>0</v>
      </c>
      <c r="K626">
        <f>IFERROR(VLOOKUP("924-007000-100",Out!B:AB,2+8,0),0)</f>
        <v>0</v>
      </c>
      <c r="L626">
        <f>IFERROR(VLOOKUP("924-007000-100",Out!B:AB,3+8,0),0)</f>
        <v>0</v>
      </c>
      <c r="M626">
        <f>IFERROR(VLOOKUP("924-007000-100",Out!B:AB,4+8,0),0)</f>
        <v>0</v>
      </c>
      <c r="N626">
        <f>IFERROR(VLOOKUP("924-007000-100",Out!B:AB,5+8,0),0)</f>
        <v>0</v>
      </c>
      <c r="O626">
        <f>IFERROR(VLOOKUP("924-007000-100",Out!B:AB,6+8,0),0)</f>
        <v>0</v>
      </c>
      <c r="P626">
        <f>IFERROR(VLOOKUP("924-007000-100",Out!B:AB,7+8,0),0)</f>
        <v>0</v>
      </c>
      <c r="Q626">
        <f>IFERROR(VLOOKUP("924-007000-100",Out!B:AB,8+8,0),0)</f>
        <v>0</v>
      </c>
      <c r="R626">
        <f>IFERROR(VLOOKUP("924-007000-100",Out!B:AB,9+8,0),0)</f>
        <v>0</v>
      </c>
      <c r="S626">
        <f>IFERROR(VLOOKUP("924-007000-100",Out!B:AB,10+8,0),0)</f>
        <v>0</v>
      </c>
      <c r="T626">
        <f>IFERROR(VLOOKUP("924-007000-100",Out!B:AB,11+8,0),0)</f>
        <v>0</v>
      </c>
      <c r="U626">
        <f>IFERROR(VLOOKUP("924-007000-100",Out!B:AB,12+8,0),0)</f>
        <v>0</v>
      </c>
      <c r="V626">
        <f>IFERROR(VLOOKUP("924-007000-100",Out!B:AB,13+8,0),0)</f>
        <v>0</v>
      </c>
      <c r="W626">
        <f>IFERROR(VLOOKUP("924-007000-100",Out!B:AB,14+8,0),0)</f>
        <v>0</v>
      </c>
      <c r="X626">
        <f>IFERROR(VLOOKUP("924-007000-100",Out!B:AB,15+8,0),0)</f>
        <v>0</v>
      </c>
      <c r="Y626">
        <f>IFERROR(VLOOKUP("924-007000-100",Out!B:AB,16+8,0),0)</f>
        <v>0</v>
      </c>
      <c r="Z626">
        <f>IFERROR(VLOOKUP("924-007000-100",Out!B:AB,17+8,0),0)</f>
        <v>0</v>
      </c>
      <c r="AA626">
        <f>IFERROR(VLOOKUP("924-007000-100",Out!B:AB,18+8,0),0)</f>
        <v>0</v>
      </c>
      <c r="AB626">
        <f>IFERROR(VLOOKUP("924-007000-100",Out!B:AB,19+8,0),0)</f>
        <v>0</v>
      </c>
      <c r="AC626">
        <f>IFERROR(VLOOKUP("924-007000-100",Out!B:AB,20+8,0),0)</f>
        <v>0</v>
      </c>
      <c r="AD626">
        <f>IFERROR(VLOOKUP("924-007000-100",Out!B:AB,21+8,0),0)</f>
        <v>0</v>
      </c>
      <c r="AE626">
        <f>IFERROR(VLOOKUP("924-007000-100",Out!B:AB,22+8,0),0)</f>
        <v>0</v>
      </c>
      <c r="AF626">
        <f>IFERROR(VLOOKUP("924-007000-100",Out!B:AB,23+8,0),0)</f>
        <v>0</v>
      </c>
      <c r="AG626">
        <f>IFERROR(VLOOKUP("924-007000-100",Out!B:AB,24+8,0),0)</f>
        <v>0</v>
      </c>
      <c r="AH626">
        <f>IFERROR(VLOOKUP("924-007000-100",Out!B:AB,25+8,0),0)</f>
        <v>0</v>
      </c>
      <c r="AI626">
        <f>IFERROR(VLOOKUP("924-007000-100",Out!B:AB,26+8,0),0)</f>
        <v>0</v>
      </c>
      <c r="AJ626">
        <f>IFERROR(VLOOKUP("924-007000-100",Out!B:AB,27+8,0),0)</f>
        <v>0</v>
      </c>
      <c r="AK626">
        <f>IFERROR(VLOOKUP("924-007000-100",Out!B:AB,28+8,0),0)</f>
        <v>0</v>
      </c>
      <c r="AL626">
        <f>IFERROR(VLOOKUP("924-007000-100",Out!B:AB,29+8,0),0)</f>
        <v>0</v>
      </c>
      <c r="AM626">
        <f>IFERROR(VLOOKUP("924-007000-100",Out!B:AB,30+8,0),0)</f>
        <v>0</v>
      </c>
      <c r="AN626">
        <f>IFERROR(VLOOKUP("924-007000-100",Out!B:AB,31+8,0),0)</f>
        <v>0</v>
      </c>
      <c r="AO626">
        <f>SUN(INDIRECT(ADDRESS(625,8)):INDIRECT(ADDRESS(625,39)))</f>
        <v>0</v>
      </c>
    </row>
    <row r="627" spans="1:41">
      <c r="H627" t="s">
        <v>179</v>
      </c>
      <c r="J627">
        <f>INDIRECT(ADDRESS(627,9))+INDIRECT(ADDRESS(625,10))-INDIRECT(ADDRESS(626,10))</f>
        <v>0</v>
      </c>
      <c r="K627">
        <f>INDIRECT(ADDRESS(627,10))+INDIRECT(ADDRESS(625,11))-INDIRECT(ADDRESS(626,11))</f>
        <v>0</v>
      </c>
      <c r="L627">
        <f>INDIRECT(ADDRESS(627,11))+INDIRECT(ADDRESS(625,12))-INDIRECT(ADDRESS(626,12))</f>
        <v>0</v>
      </c>
      <c r="M627">
        <f>INDIRECT(ADDRESS(627,12))+INDIRECT(ADDRESS(625,13))-INDIRECT(ADDRESS(626,13))</f>
        <v>0</v>
      </c>
      <c r="N627">
        <f>INDIRECT(ADDRESS(627,13))+INDIRECT(ADDRESS(625,14))-INDIRECT(ADDRESS(626,14))</f>
        <v>0</v>
      </c>
      <c r="O627">
        <f>INDIRECT(ADDRESS(627,14))+INDIRECT(ADDRESS(625,15))-INDIRECT(ADDRESS(626,15))</f>
        <v>0</v>
      </c>
      <c r="P627">
        <f>INDIRECT(ADDRESS(627,15))+INDIRECT(ADDRESS(625,16))-INDIRECT(ADDRESS(626,16))</f>
        <v>0</v>
      </c>
      <c r="Q627">
        <f>INDIRECT(ADDRESS(627,16))+INDIRECT(ADDRESS(625,17))-INDIRECT(ADDRESS(626,17))</f>
        <v>0</v>
      </c>
      <c r="R627">
        <f>INDIRECT(ADDRESS(627,17))+INDIRECT(ADDRESS(625,18))-INDIRECT(ADDRESS(626,18))</f>
        <v>0</v>
      </c>
      <c r="S627">
        <f>INDIRECT(ADDRESS(627,18))+INDIRECT(ADDRESS(625,19))-INDIRECT(ADDRESS(626,19))</f>
        <v>0</v>
      </c>
      <c r="T627">
        <f>INDIRECT(ADDRESS(627,19))+INDIRECT(ADDRESS(625,20))-INDIRECT(ADDRESS(626,20))</f>
        <v>0</v>
      </c>
      <c r="U627">
        <f>INDIRECT(ADDRESS(627,20))+INDIRECT(ADDRESS(625,21))-INDIRECT(ADDRESS(626,21))</f>
        <v>0</v>
      </c>
      <c r="V627">
        <f>INDIRECT(ADDRESS(627,21))+INDIRECT(ADDRESS(625,22))-INDIRECT(ADDRESS(626,22))</f>
        <v>0</v>
      </c>
      <c r="W627">
        <f>INDIRECT(ADDRESS(627,22))+INDIRECT(ADDRESS(625,23))-INDIRECT(ADDRESS(626,23))</f>
        <v>0</v>
      </c>
      <c r="X627">
        <f>INDIRECT(ADDRESS(627,23))+INDIRECT(ADDRESS(625,24))-INDIRECT(ADDRESS(626,24))</f>
        <v>0</v>
      </c>
      <c r="Y627">
        <f>INDIRECT(ADDRESS(627,24))+INDIRECT(ADDRESS(625,25))-INDIRECT(ADDRESS(626,25))</f>
        <v>0</v>
      </c>
      <c r="Z627">
        <f>INDIRECT(ADDRESS(627,25))+INDIRECT(ADDRESS(625,26))-INDIRECT(ADDRESS(626,26))</f>
        <v>0</v>
      </c>
      <c r="AA627">
        <f>INDIRECT(ADDRESS(627,26))+INDIRECT(ADDRESS(625,27))-INDIRECT(ADDRESS(626,27))</f>
        <v>0</v>
      </c>
      <c r="AB627">
        <f>INDIRECT(ADDRESS(627,27))+INDIRECT(ADDRESS(625,28))-INDIRECT(ADDRESS(626,28))</f>
        <v>0</v>
      </c>
      <c r="AC627">
        <f>INDIRECT(ADDRESS(627,28))+INDIRECT(ADDRESS(625,29))-INDIRECT(ADDRESS(626,29))</f>
        <v>0</v>
      </c>
      <c r="AD627">
        <f>INDIRECT(ADDRESS(627,29))+INDIRECT(ADDRESS(625,30))-INDIRECT(ADDRESS(626,30))</f>
        <v>0</v>
      </c>
      <c r="AE627">
        <f>INDIRECT(ADDRESS(627,30))+INDIRECT(ADDRESS(625,31))-INDIRECT(ADDRESS(626,31))</f>
        <v>0</v>
      </c>
      <c r="AF627">
        <f>INDIRECT(ADDRESS(627,31))+INDIRECT(ADDRESS(625,32))-INDIRECT(ADDRESS(626,32))</f>
        <v>0</v>
      </c>
      <c r="AG627">
        <f>INDIRECT(ADDRESS(627,32))+INDIRECT(ADDRESS(625,33))-INDIRECT(ADDRESS(626,33))</f>
        <v>0</v>
      </c>
      <c r="AH627">
        <f>INDIRECT(ADDRESS(627,33))+INDIRECT(ADDRESS(625,34))-INDIRECT(ADDRESS(626,34))</f>
        <v>0</v>
      </c>
      <c r="AI627">
        <f>INDIRECT(ADDRESS(627,34))+INDIRECT(ADDRESS(625,35))-INDIRECT(ADDRESS(626,35))</f>
        <v>0</v>
      </c>
      <c r="AJ627">
        <f>INDIRECT(ADDRESS(627,35))+INDIRECT(ADDRESS(625,36))-INDIRECT(ADDRESS(626,36))</f>
        <v>0</v>
      </c>
      <c r="AK627">
        <f>INDIRECT(ADDRESS(627,36))+INDIRECT(ADDRESS(625,37))-INDIRECT(ADDRESS(626,37))</f>
        <v>0</v>
      </c>
      <c r="AL627">
        <f>INDIRECT(ADDRESS(627,37))+INDIRECT(ADDRESS(625,38))-INDIRECT(ADDRESS(626,38))</f>
        <v>0</v>
      </c>
      <c r="AM627">
        <f>INDIRECT(ADDRESS(627,38))+INDIRECT(ADDRESS(625,39))-INDIRECT(ADDRESS(626,39))</f>
        <v>0</v>
      </c>
      <c r="AN627">
        <f>INDIRECT(ADDRESS(627,39))+INDIRECT(ADDRESS(625,40))-INDIRECT(ADDRESS(626,40))</f>
        <v>0</v>
      </c>
      <c r="AO627">
        <f>SUM(INDIRECT(ADDRESS(626,8)):INDIRECT(ADDRESS(626,39)))</f>
        <v>0</v>
      </c>
    </row>
    <row r="628" spans="1:41">
      <c r="A628" t="s">
        <v>8</v>
      </c>
      <c r="B628" t="s">
        <v>51</v>
      </c>
      <c r="C628" t="s">
        <v>52</v>
      </c>
      <c r="E628">
        <v>1</v>
      </c>
      <c r="I628" t="s">
        <v>177</v>
      </c>
    </row>
    <row r="629" spans="1:41">
      <c r="I629" t="s">
        <v>178</v>
      </c>
      <c r="J629">
        <f>IFERROR(VLOOKUP("924-007000-200",Out!B:AB,1+8,0),0)</f>
        <v>0</v>
      </c>
      <c r="K629">
        <f>IFERROR(VLOOKUP("924-007000-200",Out!B:AB,2+8,0),0)</f>
        <v>0</v>
      </c>
      <c r="L629">
        <f>IFERROR(VLOOKUP("924-007000-200",Out!B:AB,3+8,0),0)</f>
        <v>0</v>
      </c>
      <c r="M629">
        <f>IFERROR(VLOOKUP("924-007000-200",Out!B:AB,4+8,0),0)</f>
        <v>0</v>
      </c>
      <c r="N629">
        <f>IFERROR(VLOOKUP("924-007000-200",Out!B:AB,5+8,0),0)</f>
        <v>0</v>
      </c>
      <c r="O629">
        <f>IFERROR(VLOOKUP("924-007000-200",Out!B:AB,6+8,0),0)</f>
        <v>0</v>
      </c>
      <c r="P629">
        <f>IFERROR(VLOOKUP("924-007000-200",Out!B:AB,7+8,0),0)</f>
        <v>0</v>
      </c>
      <c r="Q629">
        <f>IFERROR(VLOOKUP("924-007000-200",Out!B:AB,8+8,0),0)</f>
        <v>0</v>
      </c>
      <c r="R629">
        <f>IFERROR(VLOOKUP("924-007000-200",Out!B:AB,9+8,0),0)</f>
        <v>0</v>
      </c>
      <c r="S629">
        <f>IFERROR(VLOOKUP("924-007000-200",Out!B:AB,10+8,0),0)</f>
        <v>0</v>
      </c>
      <c r="T629">
        <f>IFERROR(VLOOKUP("924-007000-200",Out!B:AB,11+8,0),0)</f>
        <v>0</v>
      </c>
      <c r="U629">
        <f>IFERROR(VLOOKUP("924-007000-200",Out!B:AB,12+8,0),0)</f>
        <v>0</v>
      </c>
      <c r="V629">
        <f>IFERROR(VLOOKUP("924-007000-200",Out!B:AB,13+8,0),0)</f>
        <v>0</v>
      </c>
      <c r="W629">
        <f>IFERROR(VLOOKUP("924-007000-200",Out!B:AB,14+8,0),0)</f>
        <v>0</v>
      </c>
      <c r="X629">
        <f>IFERROR(VLOOKUP("924-007000-200",Out!B:AB,15+8,0),0)</f>
        <v>0</v>
      </c>
      <c r="Y629">
        <f>IFERROR(VLOOKUP("924-007000-200",Out!B:AB,16+8,0),0)</f>
        <v>0</v>
      </c>
      <c r="Z629">
        <f>IFERROR(VLOOKUP("924-007000-200",Out!B:AB,17+8,0),0)</f>
        <v>0</v>
      </c>
      <c r="AA629">
        <f>IFERROR(VLOOKUP("924-007000-200",Out!B:AB,18+8,0),0)</f>
        <v>0</v>
      </c>
      <c r="AB629">
        <f>IFERROR(VLOOKUP("924-007000-200",Out!B:AB,19+8,0),0)</f>
        <v>0</v>
      </c>
      <c r="AC629">
        <f>IFERROR(VLOOKUP("924-007000-200",Out!B:AB,20+8,0),0)</f>
        <v>0</v>
      </c>
      <c r="AD629">
        <f>IFERROR(VLOOKUP("924-007000-200",Out!B:AB,21+8,0),0)</f>
        <v>0</v>
      </c>
      <c r="AE629">
        <f>IFERROR(VLOOKUP("924-007000-200",Out!B:AB,22+8,0),0)</f>
        <v>0</v>
      </c>
      <c r="AF629">
        <f>IFERROR(VLOOKUP("924-007000-200",Out!B:AB,23+8,0),0)</f>
        <v>0</v>
      </c>
      <c r="AG629">
        <f>IFERROR(VLOOKUP("924-007000-200",Out!B:AB,24+8,0),0)</f>
        <v>0</v>
      </c>
      <c r="AH629">
        <f>IFERROR(VLOOKUP("924-007000-200",Out!B:AB,25+8,0),0)</f>
        <v>0</v>
      </c>
      <c r="AI629">
        <f>IFERROR(VLOOKUP("924-007000-200",Out!B:AB,26+8,0),0)</f>
        <v>0</v>
      </c>
      <c r="AJ629">
        <f>IFERROR(VLOOKUP("924-007000-200",Out!B:AB,27+8,0),0)</f>
        <v>0</v>
      </c>
      <c r="AK629">
        <f>IFERROR(VLOOKUP("924-007000-200",Out!B:AB,28+8,0),0)</f>
        <v>0</v>
      </c>
      <c r="AL629">
        <f>IFERROR(VLOOKUP("924-007000-200",Out!B:AB,29+8,0),0)</f>
        <v>0</v>
      </c>
      <c r="AM629">
        <f>IFERROR(VLOOKUP("924-007000-200",Out!B:AB,30+8,0),0)</f>
        <v>0</v>
      </c>
      <c r="AN629">
        <f>IFERROR(VLOOKUP("924-007000-200",Out!B:AB,31+8,0),0)</f>
        <v>0</v>
      </c>
      <c r="AO629">
        <f>SUN(INDIRECT(ADDRESS(628,8)):INDIRECT(ADDRESS(628,39)))</f>
        <v>0</v>
      </c>
    </row>
    <row r="630" spans="1:41">
      <c r="H630" t="s">
        <v>179</v>
      </c>
      <c r="J630">
        <f>INDIRECT(ADDRESS(630,9))+INDIRECT(ADDRESS(628,10))-INDIRECT(ADDRESS(629,10))</f>
        <v>0</v>
      </c>
      <c r="K630">
        <f>INDIRECT(ADDRESS(630,10))+INDIRECT(ADDRESS(628,11))-INDIRECT(ADDRESS(629,11))</f>
        <v>0</v>
      </c>
      <c r="L630">
        <f>INDIRECT(ADDRESS(630,11))+INDIRECT(ADDRESS(628,12))-INDIRECT(ADDRESS(629,12))</f>
        <v>0</v>
      </c>
      <c r="M630">
        <f>INDIRECT(ADDRESS(630,12))+INDIRECT(ADDRESS(628,13))-INDIRECT(ADDRESS(629,13))</f>
        <v>0</v>
      </c>
      <c r="N630">
        <f>INDIRECT(ADDRESS(630,13))+INDIRECT(ADDRESS(628,14))-INDIRECT(ADDRESS(629,14))</f>
        <v>0</v>
      </c>
      <c r="O630">
        <f>INDIRECT(ADDRESS(630,14))+INDIRECT(ADDRESS(628,15))-INDIRECT(ADDRESS(629,15))</f>
        <v>0</v>
      </c>
      <c r="P630">
        <f>INDIRECT(ADDRESS(630,15))+INDIRECT(ADDRESS(628,16))-INDIRECT(ADDRESS(629,16))</f>
        <v>0</v>
      </c>
      <c r="Q630">
        <f>INDIRECT(ADDRESS(630,16))+INDIRECT(ADDRESS(628,17))-INDIRECT(ADDRESS(629,17))</f>
        <v>0</v>
      </c>
      <c r="R630">
        <f>INDIRECT(ADDRESS(630,17))+INDIRECT(ADDRESS(628,18))-INDIRECT(ADDRESS(629,18))</f>
        <v>0</v>
      </c>
      <c r="S630">
        <f>INDIRECT(ADDRESS(630,18))+INDIRECT(ADDRESS(628,19))-INDIRECT(ADDRESS(629,19))</f>
        <v>0</v>
      </c>
      <c r="T630">
        <f>INDIRECT(ADDRESS(630,19))+INDIRECT(ADDRESS(628,20))-INDIRECT(ADDRESS(629,20))</f>
        <v>0</v>
      </c>
      <c r="U630">
        <f>INDIRECT(ADDRESS(630,20))+INDIRECT(ADDRESS(628,21))-INDIRECT(ADDRESS(629,21))</f>
        <v>0</v>
      </c>
      <c r="V630">
        <f>INDIRECT(ADDRESS(630,21))+INDIRECT(ADDRESS(628,22))-INDIRECT(ADDRESS(629,22))</f>
        <v>0</v>
      </c>
      <c r="W630">
        <f>INDIRECT(ADDRESS(630,22))+INDIRECT(ADDRESS(628,23))-INDIRECT(ADDRESS(629,23))</f>
        <v>0</v>
      </c>
      <c r="X630">
        <f>INDIRECT(ADDRESS(630,23))+INDIRECT(ADDRESS(628,24))-INDIRECT(ADDRESS(629,24))</f>
        <v>0</v>
      </c>
      <c r="Y630">
        <f>INDIRECT(ADDRESS(630,24))+INDIRECT(ADDRESS(628,25))-INDIRECT(ADDRESS(629,25))</f>
        <v>0</v>
      </c>
      <c r="Z630">
        <f>INDIRECT(ADDRESS(630,25))+INDIRECT(ADDRESS(628,26))-INDIRECT(ADDRESS(629,26))</f>
        <v>0</v>
      </c>
      <c r="AA630">
        <f>INDIRECT(ADDRESS(630,26))+INDIRECT(ADDRESS(628,27))-INDIRECT(ADDRESS(629,27))</f>
        <v>0</v>
      </c>
      <c r="AB630">
        <f>INDIRECT(ADDRESS(630,27))+INDIRECT(ADDRESS(628,28))-INDIRECT(ADDRESS(629,28))</f>
        <v>0</v>
      </c>
      <c r="AC630">
        <f>INDIRECT(ADDRESS(630,28))+INDIRECT(ADDRESS(628,29))-INDIRECT(ADDRESS(629,29))</f>
        <v>0</v>
      </c>
      <c r="AD630">
        <f>INDIRECT(ADDRESS(630,29))+INDIRECT(ADDRESS(628,30))-INDIRECT(ADDRESS(629,30))</f>
        <v>0</v>
      </c>
      <c r="AE630">
        <f>INDIRECT(ADDRESS(630,30))+INDIRECT(ADDRESS(628,31))-INDIRECT(ADDRESS(629,31))</f>
        <v>0</v>
      </c>
      <c r="AF630">
        <f>INDIRECT(ADDRESS(630,31))+INDIRECT(ADDRESS(628,32))-INDIRECT(ADDRESS(629,32))</f>
        <v>0</v>
      </c>
      <c r="AG630">
        <f>INDIRECT(ADDRESS(630,32))+INDIRECT(ADDRESS(628,33))-INDIRECT(ADDRESS(629,33))</f>
        <v>0</v>
      </c>
      <c r="AH630">
        <f>INDIRECT(ADDRESS(630,33))+INDIRECT(ADDRESS(628,34))-INDIRECT(ADDRESS(629,34))</f>
        <v>0</v>
      </c>
      <c r="AI630">
        <f>INDIRECT(ADDRESS(630,34))+INDIRECT(ADDRESS(628,35))-INDIRECT(ADDRESS(629,35))</f>
        <v>0</v>
      </c>
      <c r="AJ630">
        <f>INDIRECT(ADDRESS(630,35))+INDIRECT(ADDRESS(628,36))-INDIRECT(ADDRESS(629,36))</f>
        <v>0</v>
      </c>
      <c r="AK630">
        <f>INDIRECT(ADDRESS(630,36))+INDIRECT(ADDRESS(628,37))-INDIRECT(ADDRESS(629,37))</f>
        <v>0</v>
      </c>
      <c r="AL630">
        <f>INDIRECT(ADDRESS(630,37))+INDIRECT(ADDRESS(628,38))-INDIRECT(ADDRESS(629,38))</f>
        <v>0</v>
      </c>
      <c r="AM630">
        <f>INDIRECT(ADDRESS(630,38))+INDIRECT(ADDRESS(628,39))-INDIRECT(ADDRESS(629,39))</f>
        <v>0</v>
      </c>
      <c r="AN630">
        <f>INDIRECT(ADDRESS(630,39))+INDIRECT(ADDRESS(628,40))-INDIRECT(ADDRESS(629,40))</f>
        <v>0</v>
      </c>
      <c r="AO630">
        <f>SUM(INDIRECT(ADDRESS(629,8)):INDIRECT(ADDRESS(629,39)))</f>
        <v>0</v>
      </c>
    </row>
    <row r="631" spans="1:41">
      <c r="A631" t="s">
        <v>8</v>
      </c>
      <c r="B631" t="s">
        <v>53</v>
      </c>
      <c r="C631" t="s">
        <v>54</v>
      </c>
      <c r="E631">
        <v>1</v>
      </c>
      <c r="I631" t="s">
        <v>177</v>
      </c>
    </row>
    <row r="632" spans="1:41">
      <c r="I632" t="s">
        <v>178</v>
      </c>
      <c r="J632">
        <f>IFERROR(VLOOKUP("924-025056-100",Out!B:AB,1+8,0),0)</f>
        <v>0</v>
      </c>
      <c r="K632">
        <f>IFERROR(VLOOKUP("924-025056-100",Out!B:AB,2+8,0),0)</f>
        <v>0</v>
      </c>
      <c r="L632">
        <f>IFERROR(VLOOKUP("924-025056-100",Out!B:AB,3+8,0),0)</f>
        <v>0</v>
      </c>
      <c r="M632">
        <f>IFERROR(VLOOKUP("924-025056-100",Out!B:AB,4+8,0),0)</f>
        <v>0</v>
      </c>
      <c r="N632">
        <f>IFERROR(VLOOKUP("924-025056-100",Out!B:AB,5+8,0),0)</f>
        <v>0</v>
      </c>
      <c r="O632">
        <f>IFERROR(VLOOKUP("924-025056-100",Out!B:AB,6+8,0),0)</f>
        <v>0</v>
      </c>
      <c r="P632">
        <f>IFERROR(VLOOKUP("924-025056-100",Out!B:AB,7+8,0),0)</f>
        <v>0</v>
      </c>
      <c r="Q632">
        <f>IFERROR(VLOOKUP("924-025056-100",Out!B:AB,8+8,0),0)</f>
        <v>0</v>
      </c>
      <c r="R632">
        <f>IFERROR(VLOOKUP("924-025056-100",Out!B:AB,9+8,0),0)</f>
        <v>0</v>
      </c>
      <c r="S632">
        <f>IFERROR(VLOOKUP("924-025056-100",Out!B:AB,10+8,0),0)</f>
        <v>0</v>
      </c>
      <c r="T632">
        <f>IFERROR(VLOOKUP("924-025056-100",Out!B:AB,11+8,0),0)</f>
        <v>0</v>
      </c>
      <c r="U632">
        <f>IFERROR(VLOOKUP("924-025056-100",Out!B:AB,12+8,0),0)</f>
        <v>0</v>
      </c>
      <c r="V632">
        <f>IFERROR(VLOOKUP("924-025056-100",Out!B:AB,13+8,0),0)</f>
        <v>0</v>
      </c>
      <c r="W632">
        <f>IFERROR(VLOOKUP("924-025056-100",Out!B:AB,14+8,0),0)</f>
        <v>0</v>
      </c>
      <c r="X632">
        <f>IFERROR(VLOOKUP("924-025056-100",Out!B:AB,15+8,0),0)</f>
        <v>0</v>
      </c>
      <c r="Y632">
        <f>IFERROR(VLOOKUP("924-025056-100",Out!B:AB,16+8,0),0)</f>
        <v>0</v>
      </c>
      <c r="Z632">
        <f>IFERROR(VLOOKUP("924-025056-100",Out!B:AB,17+8,0),0)</f>
        <v>0</v>
      </c>
      <c r="AA632">
        <f>IFERROR(VLOOKUP("924-025056-100",Out!B:AB,18+8,0),0)</f>
        <v>0</v>
      </c>
      <c r="AB632">
        <f>IFERROR(VLOOKUP("924-025056-100",Out!B:AB,19+8,0),0)</f>
        <v>0</v>
      </c>
      <c r="AC632">
        <f>IFERROR(VLOOKUP("924-025056-100",Out!B:AB,20+8,0),0)</f>
        <v>0</v>
      </c>
      <c r="AD632">
        <f>IFERROR(VLOOKUP("924-025056-100",Out!B:AB,21+8,0),0)</f>
        <v>0</v>
      </c>
      <c r="AE632">
        <f>IFERROR(VLOOKUP("924-025056-100",Out!B:AB,22+8,0),0)</f>
        <v>0</v>
      </c>
      <c r="AF632">
        <f>IFERROR(VLOOKUP("924-025056-100",Out!B:AB,23+8,0),0)</f>
        <v>0</v>
      </c>
      <c r="AG632">
        <f>IFERROR(VLOOKUP("924-025056-100",Out!B:AB,24+8,0),0)</f>
        <v>0</v>
      </c>
      <c r="AH632">
        <f>IFERROR(VLOOKUP("924-025056-100",Out!B:AB,25+8,0),0)</f>
        <v>0</v>
      </c>
      <c r="AI632">
        <f>IFERROR(VLOOKUP("924-025056-100",Out!B:AB,26+8,0),0)</f>
        <v>0</v>
      </c>
      <c r="AJ632">
        <f>IFERROR(VLOOKUP("924-025056-100",Out!B:AB,27+8,0),0)</f>
        <v>0</v>
      </c>
      <c r="AK632">
        <f>IFERROR(VLOOKUP("924-025056-100",Out!B:AB,28+8,0),0)</f>
        <v>0</v>
      </c>
      <c r="AL632">
        <f>IFERROR(VLOOKUP("924-025056-100",Out!B:AB,29+8,0),0)</f>
        <v>0</v>
      </c>
      <c r="AM632">
        <f>IFERROR(VLOOKUP("924-025056-100",Out!B:AB,30+8,0),0)</f>
        <v>0</v>
      </c>
      <c r="AN632">
        <f>IFERROR(VLOOKUP("924-025056-100",Out!B:AB,31+8,0),0)</f>
        <v>0</v>
      </c>
      <c r="AO632">
        <f>SUN(INDIRECT(ADDRESS(631,8)):INDIRECT(ADDRESS(631,39)))</f>
        <v>0</v>
      </c>
    </row>
    <row r="633" spans="1:41">
      <c r="H633" t="s">
        <v>179</v>
      </c>
      <c r="J633">
        <f>INDIRECT(ADDRESS(633,9))+INDIRECT(ADDRESS(631,10))-INDIRECT(ADDRESS(632,10))</f>
        <v>0</v>
      </c>
      <c r="K633">
        <f>INDIRECT(ADDRESS(633,10))+INDIRECT(ADDRESS(631,11))-INDIRECT(ADDRESS(632,11))</f>
        <v>0</v>
      </c>
      <c r="L633">
        <f>INDIRECT(ADDRESS(633,11))+INDIRECT(ADDRESS(631,12))-INDIRECT(ADDRESS(632,12))</f>
        <v>0</v>
      </c>
      <c r="M633">
        <f>INDIRECT(ADDRESS(633,12))+INDIRECT(ADDRESS(631,13))-INDIRECT(ADDRESS(632,13))</f>
        <v>0</v>
      </c>
      <c r="N633">
        <f>INDIRECT(ADDRESS(633,13))+INDIRECT(ADDRESS(631,14))-INDIRECT(ADDRESS(632,14))</f>
        <v>0</v>
      </c>
      <c r="O633">
        <f>INDIRECT(ADDRESS(633,14))+INDIRECT(ADDRESS(631,15))-INDIRECT(ADDRESS(632,15))</f>
        <v>0</v>
      </c>
      <c r="P633">
        <f>INDIRECT(ADDRESS(633,15))+INDIRECT(ADDRESS(631,16))-INDIRECT(ADDRESS(632,16))</f>
        <v>0</v>
      </c>
      <c r="Q633">
        <f>INDIRECT(ADDRESS(633,16))+INDIRECT(ADDRESS(631,17))-INDIRECT(ADDRESS(632,17))</f>
        <v>0</v>
      </c>
      <c r="R633">
        <f>INDIRECT(ADDRESS(633,17))+INDIRECT(ADDRESS(631,18))-INDIRECT(ADDRESS(632,18))</f>
        <v>0</v>
      </c>
      <c r="S633">
        <f>INDIRECT(ADDRESS(633,18))+INDIRECT(ADDRESS(631,19))-INDIRECT(ADDRESS(632,19))</f>
        <v>0</v>
      </c>
      <c r="T633">
        <f>INDIRECT(ADDRESS(633,19))+INDIRECT(ADDRESS(631,20))-INDIRECT(ADDRESS(632,20))</f>
        <v>0</v>
      </c>
      <c r="U633">
        <f>INDIRECT(ADDRESS(633,20))+INDIRECT(ADDRESS(631,21))-INDIRECT(ADDRESS(632,21))</f>
        <v>0</v>
      </c>
      <c r="V633">
        <f>INDIRECT(ADDRESS(633,21))+INDIRECT(ADDRESS(631,22))-INDIRECT(ADDRESS(632,22))</f>
        <v>0</v>
      </c>
      <c r="W633">
        <f>INDIRECT(ADDRESS(633,22))+INDIRECT(ADDRESS(631,23))-INDIRECT(ADDRESS(632,23))</f>
        <v>0</v>
      </c>
      <c r="X633">
        <f>INDIRECT(ADDRESS(633,23))+INDIRECT(ADDRESS(631,24))-INDIRECT(ADDRESS(632,24))</f>
        <v>0</v>
      </c>
      <c r="Y633">
        <f>INDIRECT(ADDRESS(633,24))+INDIRECT(ADDRESS(631,25))-INDIRECT(ADDRESS(632,25))</f>
        <v>0</v>
      </c>
      <c r="Z633">
        <f>INDIRECT(ADDRESS(633,25))+INDIRECT(ADDRESS(631,26))-INDIRECT(ADDRESS(632,26))</f>
        <v>0</v>
      </c>
      <c r="AA633">
        <f>INDIRECT(ADDRESS(633,26))+INDIRECT(ADDRESS(631,27))-INDIRECT(ADDRESS(632,27))</f>
        <v>0</v>
      </c>
      <c r="AB633">
        <f>INDIRECT(ADDRESS(633,27))+INDIRECT(ADDRESS(631,28))-INDIRECT(ADDRESS(632,28))</f>
        <v>0</v>
      </c>
      <c r="AC633">
        <f>INDIRECT(ADDRESS(633,28))+INDIRECT(ADDRESS(631,29))-INDIRECT(ADDRESS(632,29))</f>
        <v>0</v>
      </c>
      <c r="AD633">
        <f>INDIRECT(ADDRESS(633,29))+INDIRECT(ADDRESS(631,30))-INDIRECT(ADDRESS(632,30))</f>
        <v>0</v>
      </c>
      <c r="AE633">
        <f>INDIRECT(ADDRESS(633,30))+INDIRECT(ADDRESS(631,31))-INDIRECT(ADDRESS(632,31))</f>
        <v>0</v>
      </c>
      <c r="AF633">
        <f>INDIRECT(ADDRESS(633,31))+INDIRECT(ADDRESS(631,32))-INDIRECT(ADDRESS(632,32))</f>
        <v>0</v>
      </c>
      <c r="AG633">
        <f>INDIRECT(ADDRESS(633,32))+INDIRECT(ADDRESS(631,33))-INDIRECT(ADDRESS(632,33))</f>
        <v>0</v>
      </c>
      <c r="AH633">
        <f>INDIRECT(ADDRESS(633,33))+INDIRECT(ADDRESS(631,34))-INDIRECT(ADDRESS(632,34))</f>
        <v>0</v>
      </c>
      <c r="AI633">
        <f>INDIRECT(ADDRESS(633,34))+INDIRECT(ADDRESS(631,35))-INDIRECT(ADDRESS(632,35))</f>
        <v>0</v>
      </c>
      <c r="AJ633">
        <f>INDIRECT(ADDRESS(633,35))+INDIRECT(ADDRESS(631,36))-INDIRECT(ADDRESS(632,36))</f>
        <v>0</v>
      </c>
      <c r="AK633">
        <f>INDIRECT(ADDRESS(633,36))+INDIRECT(ADDRESS(631,37))-INDIRECT(ADDRESS(632,37))</f>
        <v>0</v>
      </c>
      <c r="AL633">
        <f>INDIRECT(ADDRESS(633,37))+INDIRECT(ADDRESS(631,38))-INDIRECT(ADDRESS(632,38))</f>
        <v>0</v>
      </c>
      <c r="AM633">
        <f>INDIRECT(ADDRESS(633,38))+INDIRECT(ADDRESS(631,39))-INDIRECT(ADDRESS(632,39))</f>
        <v>0</v>
      </c>
      <c r="AN633">
        <f>INDIRECT(ADDRESS(633,39))+INDIRECT(ADDRESS(631,40))-INDIRECT(ADDRESS(632,40))</f>
        <v>0</v>
      </c>
      <c r="AO633">
        <f>SUM(INDIRECT(ADDRESS(632,8)):INDIRECT(ADDRESS(632,39)))</f>
        <v>0</v>
      </c>
    </row>
    <row r="634" spans="1:41">
      <c r="A634" t="s">
        <v>180</v>
      </c>
      <c r="B634" t="s">
        <v>53</v>
      </c>
      <c r="C634" t="s">
        <v>413</v>
      </c>
      <c r="E634">
        <v>1</v>
      </c>
      <c r="I634" t="s">
        <v>177</v>
      </c>
    </row>
    <row r="635" spans="1:41">
      <c r="I635" t="s">
        <v>178</v>
      </c>
      <c r="J635">
        <f>IFERROR(VLOOKUP("924-025056-100",B:AB,1+8,0),0)</f>
        <v>0</v>
      </c>
      <c r="K635">
        <f>IFERROR(VLOOKUP("924-025056-100",B:AB,2+8,0),0)</f>
        <v>0</v>
      </c>
      <c r="L635">
        <f>IFERROR(VLOOKUP("924-025056-100",B:AB,3+8,0),0)</f>
        <v>0</v>
      </c>
      <c r="M635">
        <f>IFERROR(VLOOKUP("924-025056-100",B:AB,4+8,0),0)</f>
        <v>0</v>
      </c>
      <c r="N635">
        <f>IFERROR(VLOOKUP("924-025056-100",B:AB,5+8,0),0)</f>
        <v>0</v>
      </c>
      <c r="O635">
        <f>IFERROR(VLOOKUP("924-025056-100",B:AB,6+8,0),0)</f>
        <v>0</v>
      </c>
      <c r="P635">
        <f>IFERROR(VLOOKUP("924-025056-100",B:AB,7+8,0),0)</f>
        <v>0</v>
      </c>
      <c r="Q635">
        <f>IFERROR(VLOOKUP("924-025056-100",B:AB,8+8,0),0)</f>
        <v>0</v>
      </c>
      <c r="R635">
        <f>IFERROR(VLOOKUP("924-025056-100",B:AB,9+8,0),0)</f>
        <v>0</v>
      </c>
      <c r="S635">
        <f>IFERROR(VLOOKUP("924-025056-100",B:AB,10+8,0),0)</f>
        <v>0</v>
      </c>
      <c r="T635">
        <f>IFERROR(VLOOKUP("924-025056-100",B:AB,11+8,0),0)</f>
        <v>0</v>
      </c>
      <c r="U635">
        <f>IFERROR(VLOOKUP("924-025056-100",B:AB,12+8,0),0)</f>
        <v>0</v>
      </c>
      <c r="V635">
        <f>IFERROR(VLOOKUP("924-025056-100",B:AB,13+8,0),0)</f>
        <v>0</v>
      </c>
      <c r="W635">
        <f>IFERROR(VLOOKUP("924-025056-100",B:AB,14+8,0),0)</f>
        <v>0</v>
      </c>
      <c r="X635">
        <f>IFERROR(VLOOKUP("924-025056-100",B:AB,15+8,0),0)</f>
        <v>0</v>
      </c>
      <c r="Y635">
        <f>IFERROR(VLOOKUP("924-025056-100",B:AB,16+8,0),0)</f>
        <v>0</v>
      </c>
      <c r="Z635">
        <f>IFERROR(VLOOKUP("924-025056-100",B:AB,17+8,0),0)</f>
        <v>0</v>
      </c>
      <c r="AA635">
        <f>IFERROR(VLOOKUP("924-025056-100",B:AB,18+8,0),0)</f>
        <v>0</v>
      </c>
      <c r="AB635">
        <f>IFERROR(VLOOKUP("924-025056-100",B:AB,19+8,0),0)</f>
        <v>0</v>
      </c>
      <c r="AC635">
        <f>IFERROR(VLOOKUP("924-025056-100",B:AB,20+8,0),0)</f>
        <v>0</v>
      </c>
      <c r="AD635">
        <f>IFERROR(VLOOKUP("924-025056-100",B:AB,21+8,0),0)</f>
        <v>0</v>
      </c>
      <c r="AE635">
        <f>IFERROR(VLOOKUP("924-025056-100",B:AB,22+8,0),0)</f>
        <v>0</v>
      </c>
      <c r="AF635">
        <f>IFERROR(VLOOKUP("924-025056-100",B:AB,23+8,0),0)</f>
        <v>0</v>
      </c>
      <c r="AG635">
        <f>IFERROR(VLOOKUP("924-025056-100",B:AB,24+8,0),0)</f>
        <v>0</v>
      </c>
      <c r="AH635">
        <f>IFERROR(VLOOKUP("924-025056-100",B:AB,25+8,0),0)</f>
        <v>0</v>
      </c>
      <c r="AI635">
        <f>IFERROR(VLOOKUP("924-025056-100",B:AB,26+8,0),0)</f>
        <v>0</v>
      </c>
      <c r="AJ635">
        <f>IFERROR(VLOOKUP("924-025056-100",B:AB,27+8,0),0)</f>
        <v>0</v>
      </c>
      <c r="AK635">
        <f>IFERROR(VLOOKUP("924-025056-100",B:AB,28+8,0),0)</f>
        <v>0</v>
      </c>
      <c r="AL635">
        <f>IFERROR(VLOOKUP("924-025056-100",B:AB,29+8,0),0)</f>
        <v>0</v>
      </c>
      <c r="AM635">
        <f>IFERROR(VLOOKUP("924-025056-100",B:AB,30+8,0),0)</f>
        <v>0</v>
      </c>
      <c r="AN635">
        <f>IFERROR(VLOOKUP("924-025056-100",B:AB,31+8,0),0)</f>
        <v>0</v>
      </c>
      <c r="AO635">
        <f>SUN(INDIRECT(ADDRESS(634,8)):INDIRECT(ADDRESS(634,39)))</f>
        <v>0</v>
      </c>
    </row>
    <row r="636" spans="1:41">
      <c r="H636" t="s">
        <v>179</v>
      </c>
      <c r="J636">
        <f>INDIRECT(ADDRESS(636,9))+INDIRECT(ADDRESS(634,10))-INDIRECT(ADDRESS(635,10))</f>
        <v>0</v>
      </c>
      <c r="K636">
        <f>INDIRECT(ADDRESS(636,10))+INDIRECT(ADDRESS(634,11))-INDIRECT(ADDRESS(635,11))</f>
        <v>0</v>
      </c>
      <c r="L636">
        <f>INDIRECT(ADDRESS(636,11))+INDIRECT(ADDRESS(634,12))-INDIRECT(ADDRESS(635,12))</f>
        <v>0</v>
      </c>
      <c r="M636">
        <f>INDIRECT(ADDRESS(636,12))+INDIRECT(ADDRESS(634,13))-INDIRECT(ADDRESS(635,13))</f>
        <v>0</v>
      </c>
      <c r="N636">
        <f>INDIRECT(ADDRESS(636,13))+INDIRECT(ADDRESS(634,14))-INDIRECT(ADDRESS(635,14))</f>
        <v>0</v>
      </c>
      <c r="O636">
        <f>INDIRECT(ADDRESS(636,14))+INDIRECT(ADDRESS(634,15))-INDIRECT(ADDRESS(635,15))</f>
        <v>0</v>
      </c>
      <c r="P636">
        <f>INDIRECT(ADDRESS(636,15))+INDIRECT(ADDRESS(634,16))-INDIRECT(ADDRESS(635,16))</f>
        <v>0</v>
      </c>
      <c r="Q636">
        <f>INDIRECT(ADDRESS(636,16))+INDIRECT(ADDRESS(634,17))-INDIRECT(ADDRESS(635,17))</f>
        <v>0</v>
      </c>
      <c r="R636">
        <f>INDIRECT(ADDRESS(636,17))+INDIRECT(ADDRESS(634,18))-INDIRECT(ADDRESS(635,18))</f>
        <v>0</v>
      </c>
      <c r="S636">
        <f>INDIRECT(ADDRESS(636,18))+INDIRECT(ADDRESS(634,19))-INDIRECT(ADDRESS(635,19))</f>
        <v>0</v>
      </c>
      <c r="T636">
        <f>INDIRECT(ADDRESS(636,19))+INDIRECT(ADDRESS(634,20))-INDIRECT(ADDRESS(635,20))</f>
        <v>0</v>
      </c>
      <c r="U636">
        <f>INDIRECT(ADDRESS(636,20))+INDIRECT(ADDRESS(634,21))-INDIRECT(ADDRESS(635,21))</f>
        <v>0</v>
      </c>
      <c r="V636">
        <f>INDIRECT(ADDRESS(636,21))+INDIRECT(ADDRESS(634,22))-INDIRECT(ADDRESS(635,22))</f>
        <v>0</v>
      </c>
      <c r="W636">
        <f>INDIRECT(ADDRESS(636,22))+INDIRECT(ADDRESS(634,23))-INDIRECT(ADDRESS(635,23))</f>
        <v>0</v>
      </c>
      <c r="X636">
        <f>INDIRECT(ADDRESS(636,23))+INDIRECT(ADDRESS(634,24))-INDIRECT(ADDRESS(635,24))</f>
        <v>0</v>
      </c>
      <c r="Y636">
        <f>INDIRECT(ADDRESS(636,24))+INDIRECT(ADDRESS(634,25))-INDIRECT(ADDRESS(635,25))</f>
        <v>0</v>
      </c>
      <c r="Z636">
        <f>INDIRECT(ADDRESS(636,25))+INDIRECT(ADDRESS(634,26))-INDIRECT(ADDRESS(635,26))</f>
        <v>0</v>
      </c>
      <c r="AA636">
        <f>INDIRECT(ADDRESS(636,26))+INDIRECT(ADDRESS(634,27))-INDIRECT(ADDRESS(635,27))</f>
        <v>0</v>
      </c>
      <c r="AB636">
        <f>INDIRECT(ADDRESS(636,27))+INDIRECT(ADDRESS(634,28))-INDIRECT(ADDRESS(635,28))</f>
        <v>0</v>
      </c>
      <c r="AC636">
        <f>INDIRECT(ADDRESS(636,28))+INDIRECT(ADDRESS(634,29))-INDIRECT(ADDRESS(635,29))</f>
        <v>0</v>
      </c>
      <c r="AD636">
        <f>INDIRECT(ADDRESS(636,29))+INDIRECT(ADDRESS(634,30))-INDIRECT(ADDRESS(635,30))</f>
        <v>0</v>
      </c>
      <c r="AE636">
        <f>INDIRECT(ADDRESS(636,30))+INDIRECT(ADDRESS(634,31))-INDIRECT(ADDRESS(635,31))</f>
        <v>0</v>
      </c>
      <c r="AF636">
        <f>INDIRECT(ADDRESS(636,31))+INDIRECT(ADDRESS(634,32))-INDIRECT(ADDRESS(635,32))</f>
        <v>0</v>
      </c>
      <c r="AG636">
        <f>INDIRECT(ADDRESS(636,32))+INDIRECT(ADDRESS(634,33))-INDIRECT(ADDRESS(635,33))</f>
        <v>0</v>
      </c>
      <c r="AH636">
        <f>INDIRECT(ADDRESS(636,33))+INDIRECT(ADDRESS(634,34))-INDIRECT(ADDRESS(635,34))</f>
        <v>0</v>
      </c>
      <c r="AI636">
        <f>INDIRECT(ADDRESS(636,34))+INDIRECT(ADDRESS(634,35))-INDIRECT(ADDRESS(635,35))</f>
        <v>0</v>
      </c>
      <c r="AJ636">
        <f>INDIRECT(ADDRESS(636,35))+INDIRECT(ADDRESS(634,36))-INDIRECT(ADDRESS(635,36))</f>
        <v>0</v>
      </c>
      <c r="AK636">
        <f>INDIRECT(ADDRESS(636,36))+INDIRECT(ADDRESS(634,37))-INDIRECT(ADDRESS(635,37))</f>
        <v>0</v>
      </c>
      <c r="AL636">
        <f>INDIRECT(ADDRESS(636,37))+INDIRECT(ADDRESS(634,38))-INDIRECT(ADDRESS(635,38))</f>
        <v>0</v>
      </c>
      <c r="AM636">
        <f>INDIRECT(ADDRESS(636,38))+INDIRECT(ADDRESS(634,39))-INDIRECT(ADDRESS(635,39))</f>
        <v>0</v>
      </c>
      <c r="AN636">
        <f>INDIRECT(ADDRESS(636,39))+INDIRECT(ADDRESS(634,40))-INDIRECT(ADDRESS(635,40))</f>
        <v>0</v>
      </c>
      <c r="AO636">
        <f>SUM(INDIRECT(ADDRESS(635,8)):INDIRECT(ADDRESS(635,39)))</f>
        <v>0</v>
      </c>
    </row>
    <row r="637" spans="1:41">
      <c r="A637" t="s">
        <v>185</v>
      </c>
      <c r="B637" t="s">
        <v>53</v>
      </c>
      <c r="C637" t="s">
        <v>414</v>
      </c>
      <c r="E637">
        <v>1</v>
      </c>
      <c r="I637" t="s">
        <v>177</v>
      </c>
    </row>
    <row r="638" spans="1:41">
      <c r="I638" t="s">
        <v>178</v>
      </c>
      <c r="J638">
        <f>IFERROR(VLOOKUP("924-025056-100",B:AB,1+8,0),0)</f>
        <v>0</v>
      </c>
      <c r="K638">
        <f>IFERROR(VLOOKUP("924-025056-100",B:AB,2+8,0),0)</f>
        <v>0</v>
      </c>
      <c r="L638">
        <f>IFERROR(VLOOKUP("924-025056-100",B:AB,3+8,0),0)</f>
        <v>0</v>
      </c>
      <c r="M638">
        <f>IFERROR(VLOOKUP("924-025056-100",B:AB,4+8,0),0)</f>
        <v>0</v>
      </c>
      <c r="N638">
        <f>IFERROR(VLOOKUP("924-025056-100",B:AB,5+8,0),0)</f>
        <v>0</v>
      </c>
      <c r="O638">
        <f>IFERROR(VLOOKUP("924-025056-100",B:AB,6+8,0),0)</f>
        <v>0</v>
      </c>
      <c r="P638">
        <f>IFERROR(VLOOKUP("924-025056-100",B:AB,7+8,0),0)</f>
        <v>0</v>
      </c>
      <c r="Q638">
        <f>IFERROR(VLOOKUP("924-025056-100",B:AB,8+8,0),0)</f>
        <v>0</v>
      </c>
      <c r="R638">
        <f>IFERROR(VLOOKUP("924-025056-100",B:AB,9+8,0),0)</f>
        <v>0</v>
      </c>
      <c r="S638">
        <f>IFERROR(VLOOKUP("924-025056-100",B:AB,10+8,0),0)</f>
        <v>0</v>
      </c>
      <c r="T638">
        <f>IFERROR(VLOOKUP("924-025056-100",B:AB,11+8,0),0)</f>
        <v>0</v>
      </c>
      <c r="U638">
        <f>IFERROR(VLOOKUP("924-025056-100",B:AB,12+8,0),0)</f>
        <v>0</v>
      </c>
      <c r="V638">
        <f>IFERROR(VLOOKUP("924-025056-100",B:AB,13+8,0),0)</f>
        <v>0</v>
      </c>
      <c r="W638">
        <f>IFERROR(VLOOKUP("924-025056-100",B:AB,14+8,0),0)</f>
        <v>0</v>
      </c>
      <c r="X638">
        <f>IFERROR(VLOOKUP("924-025056-100",B:AB,15+8,0),0)</f>
        <v>0</v>
      </c>
      <c r="Y638">
        <f>IFERROR(VLOOKUP("924-025056-100",B:AB,16+8,0),0)</f>
        <v>0</v>
      </c>
      <c r="Z638">
        <f>IFERROR(VLOOKUP("924-025056-100",B:AB,17+8,0),0)</f>
        <v>0</v>
      </c>
      <c r="AA638">
        <f>IFERROR(VLOOKUP("924-025056-100",B:AB,18+8,0),0)</f>
        <v>0</v>
      </c>
      <c r="AB638">
        <f>IFERROR(VLOOKUP("924-025056-100",B:AB,19+8,0),0)</f>
        <v>0</v>
      </c>
      <c r="AC638">
        <f>IFERROR(VLOOKUP("924-025056-100",B:AB,20+8,0),0)</f>
        <v>0</v>
      </c>
      <c r="AD638">
        <f>IFERROR(VLOOKUP("924-025056-100",B:AB,21+8,0),0)</f>
        <v>0</v>
      </c>
      <c r="AE638">
        <f>IFERROR(VLOOKUP("924-025056-100",B:AB,22+8,0),0)</f>
        <v>0</v>
      </c>
      <c r="AF638">
        <f>IFERROR(VLOOKUP("924-025056-100",B:AB,23+8,0),0)</f>
        <v>0</v>
      </c>
      <c r="AG638">
        <f>IFERROR(VLOOKUP("924-025056-100",B:AB,24+8,0),0)</f>
        <v>0</v>
      </c>
      <c r="AH638">
        <f>IFERROR(VLOOKUP("924-025056-100",B:AB,25+8,0),0)</f>
        <v>0</v>
      </c>
      <c r="AI638">
        <f>IFERROR(VLOOKUP("924-025056-100",B:AB,26+8,0),0)</f>
        <v>0</v>
      </c>
      <c r="AJ638">
        <f>IFERROR(VLOOKUP("924-025056-100",B:AB,27+8,0),0)</f>
        <v>0</v>
      </c>
      <c r="AK638">
        <f>IFERROR(VLOOKUP("924-025056-100",B:AB,28+8,0),0)</f>
        <v>0</v>
      </c>
      <c r="AL638">
        <f>IFERROR(VLOOKUP("924-025056-100",B:AB,29+8,0),0)</f>
        <v>0</v>
      </c>
      <c r="AM638">
        <f>IFERROR(VLOOKUP("924-025056-100",B:AB,30+8,0),0)</f>
        <v>0</v>
      </c>
      <c r="AN638">
        <f>IFERROR(VLOOKUP("924-025056-100",B:AB,31+8,0),0)</f>
        <v>0</v>
      </c>
      <c r="AO638">
        <f>SUN(INDIRECT(ADDRESS(637,8)):INDIRECT(ADDRESS(637,39)))</f>
        <v>0</v>
      </c>
    </row>
    <row r="639" spans="1:41">
      <c r="H639" t="s">
        <v>179</v>
      </c>
      <c r="J639">
        <f>INDIRECT(ADDRESS(639,9))+INDIRECT(ADDRESS(637,10))-INDIRECT(ADDRESS(638,10))</f>
        <v>0</v>
      </c>
      <c r="K639">
        <f>INDIRECT(ADDRESS(639,10))+INDIRECT(ADDRESS(637,11))-INDIRECT(ADDRESS(638,11))</f>
        <v>0</v>
      </c>
      <c r="L639">
        <f>INDIRECT(ADDRESS(639,11))+INDIRECT(ADDRESS(637,12))-INDIRECT(ADDRESS(638,12))</f>
        <v>0</v>
      </c>
      <c r="M639">
        <f>INDIRECT(ADDRESS(639,12))+INDIRECT(ADDRESS(637,13))-INDIRECT(ADDRESS(638,13))</f>
        <v>0</v>
      </c>
      <c r="N639">
        <f>INDIRECT(ADDRESS(639,13))+INDIRECT(ADDRESS(637,14))-INDIRECT(ADDRESS(638,14))</f>
        <v>0</v>
      </c>
      <c r="O639">
        <f>INDIRECT(ADDRESS(639,14))+INDIRECT(ADDRESS(637,15))-INDIRECT(ADDRESS(638,15))</f>
        <v>0</v>
      </c>
      <c r="P639">
        <f>INDIRECT(ADDRESS(639,15))+INDIRECT(ADDRESS(637,16))-INDIRECT(ADDRESS(638,16))</f>
        <v>0</v>
      </c>
      <c r="Q639">
        <f>INDIRECT(ADDRESS(639,16))+INDIRECT(ADDRESS(637,17))-INDIRECT(ADDRESS(638,17))</f>
        <v>0</v>
      </c>
      <c r="R639">
        <f>INDIRECT(ADDRESS(639,17))+INDIRECT(ADDRESS(637,18))-INDIRECT(ADDRESS(638,18))</f>
        <v>0</v>
      </c>
      <c r="S639">
        <f>INDIRECT(ADDRESS(639,18))+INDIRECT(ADDRESS(637,19))-INDIRECT(ADDRESS(638,19))</f>
        <v>0</v>
      </c>
      <c r="T639">
        <f>INDIRECT(ADDRESS(639,19))+INDIRECT(ADDRESS(637,20))-INDIRECT(ADDRESS(638,20))</f>
        <v>0</v>
      </c>
      <c r="U639">
        <f>INDIRECT(ADDRESS(639,20))+INDIRECT(ADDRESS(637,21))-INDIRECT(ADDRESS(638,21))</f>
        <v>0</v>
      </c>
      <c r="V639">
        <f>INDIRECT(ADDRESS(639,21))+INDIRECT(ADDRESS(637,22))-INDIRECT(ADDRESS(638,22))</f>
        <v>0</v>
      </c>
      <c r="W639">
        <f>INDIRECT(ADDRESS(639,22))+INDIRECT(ADDRESS(637,23))-INDIRECT(ADDRESS(638,23))</f>
        <v>0</v>
      </c>
      <c r="X639">
        <f>INDIRECT(ADDRESS(639,23))+INDIRECT(ADDRESS(637,24))-INDIRECT(ADDRESS(638,24))</f>
        <v>0</v>
      </c>
      <c r="Y639">
        <f>INDIRECT(ADDRESS(639,24))+INDIRECT(ADDRESS(637,25))-INDIRECT(ADDRESS(638,25))</f>
        <v>0</v>
      </c>
      <c r="Z639">
        <f>INDIRECT(ADDRESS(639,25))+INDIRECT(ADDRESS(637,26))-INDIRECT(ADDRESS(638,26))</f>
        <v>0</v>
      </c>
      <c r="AA639">
        <f>INDIRECT(ADDRESS(639,26))+INDIRECT(ADDRESS(637,27))-INDIRECT(ADDRESS(638,27))</f>
        <v>0</v>
      </c>
      <c r="AB639">
        <f>INDIRECT(ADDRESS(639,27))+INDIRECT(ADDRESS(637,28))-INDIRECT(ADDRESS(638,28))</f>
        <v>0</v>
      </c>
      <c r="AC639">
        <f>INDIRECT(ADDRESS(639,28))+INDIRECT(ADDRESS(637,29))-INDIRECT(ADDRESS(638,29))</f>
        <v>0</v>
      </c>
      <c r="AD639">
        <f>INDIRECT(ADDRESS(639,29))+INDIRECT(ADDRESS(637,30))-INDIRECT(ADDRESS(638,30))</f>
        <v>0</v>
      </c>
      <c r="AE639">
        <f>INDIRECT(ADDRESS(639,30))+INDIRECT(ADDRESS(637,31))-INDIRECT(ADDRESS(638,31))</f>
        <v>0</v>
      </c>
      <c r="AF639">
        <f>INDIRECT(ADDRESS(639,31))+INDIRECT(ADDRESS(637,32))-INDIRECT(ADDRESS(638,32))</f>
        <v>0</v>
      </c>
      <c r="AG639">
        <f>INDIRECT(ADDRESS(639,32))+INDIRECT(ADDRESS(637,33))-INDIRECT(ADDRESS(638,33))</f>
        <v>0</v>
      </c>
      <c r="AH639">
        <f>INDIRECT(ADDRESS(639,33))+INDIRECT(ADDRESS(637,34))-INDIRECT(ADDRESS(638,34))</f>
        <v>0</v>
      </c>
      <c r="AI639">
        <f>INDIRECT(ADDRESS(639,34))+INDIRECT(ADDRESS(637,35))-INDIRECT(ADDRESS(638,35))</f>
        <v>0</v>
      </c>
      <c r="AJ639">
        <f>INDIRECT(ADDRESS(639,35))+INDIRECT(ADDRESS(637,36))-INDIRECT(ADDRESS(638,36))</f>
        <v>0</v>
      </c>
      <c r="AK639">
        <f>INDIRECT(ADDRESS(639,36))+INDIRECT(ADDRESS(637,37))-INDIRECT(ADDRESS(638,37))</f>
        <v>0</v>
      </c>
      <c r="AL639">
        <f>INDIRECT(ADDRESS(639,37))+INDIRECT(ADDRESS(637,38))-INDIRECT(ADDRESS(638,38))</f>
        <v>0</v>
      </c>
      <c r="AM639">
        <f>INDIRECT(ADDRESS(639,38))+INDIRECT(ADDRESS(637,39))-INDIRECT(ADDRESS(638,39))</f>
        <v>0</v>
      </c>
      <c r="AN639">
        <f>INDIRECT(ADDRESS(639,39))+INDIRECT(ADDRESS(637,40))-INDIRECT(ADDRESS(638,40))</f>
        <v>0</v>
      </c>
      <c r="AO639">
        <f>SUM(INDIRECT(ADDRESS(638,8)):INDIRECT(ADDRESS(638,39)))</f>
        <v>0</v>
      </c>
    </row>
    <row r="640" spans="1:41">
      <c r="A640" t="s">
        <v>185</v>
      </c>
      <c r="B640" t="s">
        <v>53</v>
      </c>
      <c r="C640" t="s">
        <v>415</v>
      </c>
      <c r="E640">
        <v>4</v>
      </c>
      <c r="I640" t="s">
        <v>177</v>
      </c>
    </row>
    <row r="641" spans="1:41">
      <c r="I641" t="s">
        <v>178</v>
      </c>
      <c r="J641">
        <f>IFERROR(VLOOKUP("924-025056-100",B:AB,1+8,0),0)</f>
        <v>0</v>
      </c>
      <c r="K641">
        <f>IFERROR(VLOOKUP("924-025056-100",B:AB,2+8,0),0)</f>
        <v>0</v>
      </c>
      <c r="L641">
        <f>IFERROR(VLOOKUP("924-025056-100",B:AB,3+8,0),0)</f>
        <v>0</v>
      </c>
      <c r="M641">
        <f>IFERROR(VLOOKUP("924-025056-100",B:AB,4+8,0),0)</f>
        <v>0</v>
      </c>
      <c r="N641">
        <f>IFERROR(VLOOKUP("924-025056-100",B:AB,5+8,0),0)</f>
        <v>0</v>
      </c>
      <c r="O641">
        <f>IFERROR(VLOOKUP("924-025056-100",B:AB,6+8,0),0)</f>
        <v>0</v>
      </c>
      <c r="P641">
        <f>IFERROR(VLOOKUP("924-025056-100",B:AB,7+8,0),0)</f>
        <v>0</v>
      </c>
      <c r="Q641">
        <f>IFERROR(VLOOKUP("924-025056-100",B:AB,8+8,0),0)</f>
        <v>0</v>
      </c>
      <c r="R641">
        <f>IFERROR(VLOOKUP("924-025056-100",B:AB,9+8,0),0)</f>
        <v>0</v>
      </c>
      <c r="S641">
        <f>IFERROR(VLOOKUP("924-025056-100",B:AB,10+8,0),0)</f>
        <v>0</v>
      </c>
      <c r="T641">
        <f>IFERROR(VLOOKUP("924-025056-100",B:AB,11+8,0),0)</f>
        <v>0</v>
      </c>
      <c r="U641">
        <f>IFERROR(VLOOKUP("924-025056-100",B:AB,12+8,0),0)</f>
        <v>0</v>
      </c>
      <c r="V641">
        <f>IFERROR(VLOOKUP("924-025056-100",B:AB,13+8,0),0)</f>
        <v>0</v>
      </c>
      <c r="W641">
        <f>IFERROR(VLOOKUP("924-025056-100",B:AB,14+8,0),0)</f>
        <v>0</v>
      </c>
      <c r="X641">
        <f>IFERROR(VLOOKUP("924-025056-100",B:AB,15+8,0),0)</f>
        <v>0</v>
      </c>
      <c r="Y641">
        <f>IFERROR(VLOOKUP("924-025056-100",B:AB,16+8,0),0)</f>
        <v>0</v>
      </c>
      <c r="Z641">
        <f>IFERROR(VLOOKUP("924-025056-100",B:AB,17+8,0),0)</f>
        <v>0</v>
      </c>
      <c r="AA641">
        <f>IFERROR(VLOOKUP("924-025056-100",B:AB,18+8,0),0)</f>
        <v>0</v>
      </c>
      <c r="AB641">
        <f>IFERROR(VLOOKUP("924-025056-100",B:AB,19+8,0),0)</f>
        <v>0</v>
      </c>
      <c r="AC641">
        <f>IFERROR(VLOOKUP("924-025056-100",B:AB,20+8,0),0)</f>
        <v>0</v>
      </c>
      <c r="AD641">
        <f>IFERROR(VLOOKUP("924-025056-100",B:AB,21+8,0),0)</f>
        <v>0</v>
      </c>
      <c r="AE641">
        <f>IFERROR(VLOOKUP("924-025056-100",B:AB,22+8,0),0)</f>
        <v>0</v>
      </c>
      <c r="AF641">
        <f>IFERROR(VLOOKUP("924-025056-100",B:AB,23+8,0),0)</f>
        <v>0</v>
      </c>
      <c r="AG641">
        <f>IFERROR(VLOOKUP("924-025056-100",B:AB,24+8,0),0)</f>
        <v>0</v>
      </c>
      <c r="AH641">
        <f>IFERROR(VLOOKUP("924-025056-100",B:AB,25+8,0),0)</f>
        <v>0</v>
      </c>
      <c r="AI641">
        <f>IFERROR(VLOOKUP("924-025056-100",B:AB,26+8,0),0)</f>
        <v>0</v>
      </c>
      <c r="AJ641">
        <f>IFERROR(VLOOKUP("924-025056-100",B:AB,27+8,0),0)</f>
        <v>0</v>
      </c>
      <c r="AK641">
        <f>IFERROR(VLOOKUP("924-025056-100",B:AB,28+8,0),0)</f>
        <v>0</v>
      </c>
      <c r="AL641">
        <f>IFERROR(VLOOKUP("924-025056-100",B:AB,29+8,0),0)</f>
        <v>0</v>
      </c>
      <c r="AM641">
        <f>IFERROR(VLOOKUP("924-025056-100",B:AB,30+8,0),0)</f>
        <v>0</v>
      </c>
      <c r="AN641">
        <f>IFERROR(VLOOKUP("924-025056-100",B:AB,31+8,0),0)</f>
        <v>0</v>
      </c>
      <c r="AO641">
        <f>SUN(INDIRECT(ADDRESS(640,8)):INDIRECT(ADDRESS(640,39)))</f>
        <v>0</v>
      </c>
    </row>
    <row r="642" spans="1:41">
      <c r="H642" t="s">
        <v>179</v>
      </c>
      <c r="J642">
        <f>INDIRECT(ADDRESS(642,9))+INDIRECT(ADDRESS(640,10))-INDIRECT(ADDRESS(641,10))</f>
        <v>0</v>
      </c>
      <c r="K642">
        <f>INDIRECT(ADDRESS(642,10))+INDIRECT(ADDRESS(640,11))-INDIRECT(ADDRESS(641,11))</f>
        <v>0</v>
      </c>
      <c r="L642">
        <f>INDIRECT(ADDRESS(642,11))+INDIRECT(ADDRESS(640,12))-INDIRECT(ADDRESS(641,12))</f>
        <v>0</v>
      </c>
      <c r="M642">
        <f>INDIRECT(ADDRESS(642,12))+INDIRECT(ADDRESS(640,13))-INDIRECT(ADDRESS(641,13))</f>
        <v>0</v>
      </c>
      <c r="N642">
        <f>INDIRECT(ADDRESS(642,13))+INDIRECT(ADDRESS(640,14))-INDIRECT(ADDRESS(641,14))</f>
        <v>0</v>
      </c>
      <c r="O642">
        <f>INDIRECT(ADDRESS(642,14))+INDIRECT(ADDRESS(640,15))-INDIRECT(ADDRESS(641,15))</f>
        <v>0</v>
      </c>
      <c r="P642">
        <f>INDIRECT(ADDRESS(642,15))+INDIRECT(ADDRESS(640,16))-INDIRECT(ADDRESS(641,16))</f>
        <v>0</v>
      </c>
      <c r="Q642">
        <f>INDIRECT(ADDRESS(642,16))+INDIRECT(ADDRESS(640,17))-INDIRECT(ADDRESS(641,17))</f>
        <v>0</v>
      </c>
      <c r="R642">
        <f>INDIRECT(ADDRESS(642,17))+INDIRECT(ADDRESS(640,18))-INDIRECT(ADDRESS(641,18))</f>
        <v>0</v>
      </c>
      <c r="S642">
        <f>INDIRECT(ADDRESS(642,18))+INDIRECT(ADDRESS(640,19))-INDIRECT(ADDRESS(641,19))</f>
        <v>0</v>
      </c>
      <c r="T642">
        <f>INDIRECT(ADDRESS(642,19))+INDIRECT(ADDRESS(640,20))-INDIRECT(ADDRESS(641,20))</f>
        <v>0</v>
      </c>
      <c r="U642">
        <f>INDIRECT(ADDRESS(642,20))+INDIRECT(ADDRESS(640,21))-INDIRECT(ADDRESS(641,21))</f>
        <v>0</v>
      </c>
      <c r="V642">
        <f>INDIRECT(ADDRESS(642,21))+INDIRECT(ADDRESS(640,22))-INDIRECT(ADDRESS(641,22))</f>
        <v>0</v>
      </c>
      <c r="W642">
        <f>INDIRECT(ADDRESS(642,22))+INDIRECT(ADDRESS(640,23))-INDIRECT(ADDRESS(641,23))</f>
        <v>0</v>
      </c>
      <c r="X642">
        <f>INDIRECT(ADDRESS(642,23))+INDIRECT(ADDRESS(640,24))-INDIRECT(ADDRESS(641,24))</f>
        <v>0</v>
      </c>
      <c r="Y642">
        <f>INDIRECT(ADDRESS(642,24))+INDIRECT(ADDRESS(640,25))-INDIRECT(ADDRESS(641,25))</f>
        <v>0</v>
      </c>
      <c r="Z642">
        <f>INDIRECT(ADDRESS(642,25))+INDIRECT(ADDRESS(640,26))-INDIRECT(ADDRESS(641,26))</f>
        <v>0</v>
      </c>
      <c r="AA642">
        <f>INDIRECT(ADDRESS(642,26))+INDIRECT(ADDRESS(640,27))-INDIRECT(ADDRESS(641,27))</f>
        <v>0</v>
      </c>
      <c r="AB642">
        <f>INDIRECT(ADDRESS(642,27))+INDIRECT(ADDRESS(640,28))-INDIRECT(ADDRESS(641,28))</f>
        <v>0</v>
      </c>
      <c r="AC642">
        <f>INDIRECT(ADDRESS(642,28))+INDIRECT(ADDRESS(640,29))-INDIRECT(ADDRESS(641,29))</f>
        <v>0</v>
      </c>
      <c r="AD642">
        <f>INDIRECT(ADDRESS(642,29))+INDIRECT(ADDRESS(640,30))-INDIRECT(ADDRESS(641,30))</f>
        <v>0</v>
      </c>
      <c r="AE642">
        <f>INDIRECT(ADDRESS(642,30))+INDIRECT(ADDRESS(640,31))-INDIRECT(ADDRESS(641,31))</f>
        <v>0</v>
      </c>
      <c r="AF642">
        <f>INDIRECT(ADDRESS(642,31))+INDIRECT(ADDRESS(640,32))-INDIRECT(ADDRESS(641,32))</f>
        <v>0</v>
      </c>
      <c r="AG642">
        <f>INDIRECT(ADDRESS(642,32))+INDIRECT(ADDRESS(640,33))-INDIRECT(ADDRESS(641,33))</f>
        <v>0</v>
      </c>
      <c r="AH642">
        <f>INDIRECT(ADDRESS(642,33))+INDIRECT(ADDRESS(640,34))-INDIRECT(ADDRESS(641,34))</f>
        <v>0</v>
      </c>
      <c r="AI642">
        <f>INDIRECT(ADDRESS(642,34))+INDIRECT(ADDRESS(640,35))-INDIRECT(ADDRESS(641,35))</f>
        <v>0</v>
      </c>
      <c r="AJ642">
        <f>INDIRECT(ADDRESS(642,35))+INDIRECT(ADDRESS(640,36))-INDIRECT(ADDRESS(641,36))</f>
        <v>0</v>
      </c>
      <c r="AK642">
        <f>INDIRECT(ADDRESS(642,36))+INDIRECT(ADDRESS(640,37))-INDIRECT(ADDRESS(641,37))</f>
        <v>0</v>
      </c>
      <c r="AL642">
        <f>INDIRECT(ADDRESS(642,37))+INDIRECT(ADDRESS(640,38))-INDIRECT(ADDRESS(641,38))</f>
        <v>0</v>
      </c>
      <c r="AM642">
        <f>INDIRECT(ADDRESS(642,38))+INDIRECT(ADDRESS(640,39))-INDIRECT(ADDRESS(641,39))</f>
        <v>0</v>
      </c>
      <c r="AN642">
        <f>INDIRECT(ADDRESS(642,39))+INDIRECT(ADDRESS(640,40))-INDIRECT(ADDRESS(641,40))</f>
        <v>0</v>
      </c>
      <c r="AO642">
        <f>SUM(INDIRECT(ADDRESS(641,8)):INDIRECT(ADDRESS(641,39)))</f>
        <v>0</v>
      </c>
    </row>
    <row r="643" spans="1:41">
      <c r="A643" t="s">
        <v>185</v>
      </c>
      <c r="B643" t="s">
        <v>53</v>
      </c>
      <c r="C643" t="s">
        <v>416</v>
      </c>
      <c r="E643">
        <v>1</v>
      </c>
      <c r="I643" t="s">
        <v>177</v>
      </c>
    </row>
    <row r="644" spans="1:41">
      <c r="I644" t="s">
        <v>178</v>
      </c>
      <c r="J644">
        <f>IFERROR(VLOOKUP("924-025056-100",B:AB,1+8,0),0)</f>
        <v>0</v>
      </c>
      <c r="K644">
        <f>IFERROR(VLOOKUP("924-025056-100",B:AB,2+8,0),0)</f>
        <v>0</v>
      </c>
      <c r="L644">
        <f>IFERROR(VLOOKUP("924-025056-100",B:AB,3+8,0),0)</f>
        <v>0</v>
      </c>
      <c r="M644">
        <f>IFERROR(VLOOKUP("924-025056-100",B:AB,4+8,0),0)</f>
        <v>0</v>
      </c>
      <c r="N644">
        <f>IFERROR(VLOOKUP("924-025056-100",B:AB,5+8,0),0)</f>
        <v>0</v>
      </c>
      <c r="O644">
        <f>IFERROR(VLOOKUP("924-025056-100",B:AB,6+8,0),0)</f>
        <v>0</v>
      </c>
      <c r="P644">
        <f>IFERROR(VLOOKUP("924-025056-100",B:AB,7+8,0),0)</f>
        <v>0</v>
      </c>
      <c r="Q644">
        <f>IFERROR(VLOOKUP("924-025056-100",B:AB,8+8,0),0)</f>
        <v>0</v>
      </c>
      <c r="R644">
        <f>IFERROR(VLOOKUP("924-025056-100",B:AB,9+8,0),0)</f>
        <v>0</v>
      </c>
      <c r="S644">
        <f>IFERROR(VLOOKUP("924-025056-100",B:AB,10+8,0),0)</f>
        <v>0</v>
      </c>
      <c r="T644">
        <f>IFERROR(VLOOKUP("924-025056-100",B:AB,11+8,0),0)</f>
        <v>0</v>
      </c>
      <c r="U644">
        <f>IFERROR(VLOOKUP("924-025056-100",B:AB,12+8,0),0)</f>
        <v>0</v>
      </c>
      <c r="V644">
        <f>IFERROR(VLOOKUP("924-025056-100",B:AB,13+8,0),0)</f>
        <v>0</v>
      </c>
      <c r="W644">
        <f>IFERROR(VLOOKUP("924-025056-100",B:AB,14+8,0),0)</f>
        <v>0</v>
      </c>
      <c r="X644">
        <f>IFERROR(VLOOKUP("924-025056-100",B:AB,15+8,0),0)</f>
        <v>0</v>
      </c>
      <c r="Y644">
        <f>IFERROR(VLOOKUP("924-025056-100",B:AB,16+8,0),0)</f>
        <v>0</v>
      </c>
      <c r="Z644">
        <f>IFERROR(VLOOKUP("924-025056-100",B:AB,17+8,0),0)</f>
        <v>0</v>
      </c>
      <c r="AA644">
        <f>IFERROR(VLOOKUP("924-025056-100",B:AB,18+8,0),0)</f>
        <v>0</v>
      </c>
      <c r="AB644">
        <f>IFERROR(VLOOKUP("924-025056-100",B:AB,19+8,0),0)</f>
        <v>0</v>
      </c>
      <c r="AC644">
        <f>IFERROR(VLOOKUP("924-025056-100",B:AB,20+8,0),0)</f>
        <v>0</v>
      </c>
      <c r="AD644">
        <f>IFERROR(VLOOKUP("924-025056-100",B:AB,21+8,0),0)</f>
        <v>0</v>
      </c>
      <c r="AE644">
        <f>IFERROR(VLOOKUP("924-025056-100",B:AB,22+8,0),0)</f>
        <v>0</v>
      </c>
      <c r="AF644">
        <f>IFERROR(VLOOKUP("924-025056-100",B:AB,23+8,0),0)</f>
        <v>0</v>
      </c>
      <c r="AG644">
        <f>IFERROR(VLOOKUP("924-025056-100",B:AB,24+8,0),0)</f>
        <v>0</v>
      </c>
      <c r="AH644">
        <f>IFERROR(VLOOKUP("924-025056-100",B:AB,25+8,0),0)</f>
        <v>0</v>
      </c>
      <c r="AI644">
        <f>IFERROR(VLOOKUP("924-025056-100",B:AB,26+8,0),0)</f>
        <v>0</v>
      </c>
      <c r="AJ644">
        <f>IFERROR(VLOOKUP("924-025056-100",B:AB,27+8,0),0)</f>
        <v>0</v>
      </c>
      <c r="AK644">
        <f>IFERROR(VLOOKUP("924-025056-100",B:AB,28+8,0),0)</f>
        <v>0</v>
      </c>
      <c r="AL644">
        <f>IFERROR(VLOOKUP("924-025056-100",B:AB,29+8,0),0)</f>
        <v>0</v>
      </c>
      <c r="AM644">
        <f>IFERROR(VLOOKUP("924-025056-100",B:AB,30+8,0),0)</f>
        <v>0</v>
      </c>
      <c r="AN644">
        <f>IFERROR(VLOOKUP("924-025056-100",B:AB,31+8,0),0)</f>
        <v>0</v>
      </c>
      <c r="AO644">
        <f>SUN(INDIRECT(ADDRESS(643,8)):INDIRECT(ADDRESS(643,39)))</f>
        <v>0</v>
      </c>
    </row>
    <row r="645" spans="1:41">
      <c r="H645" t="s">
        <v>179</v>
      </c>
      <c r="J645">
        <f>INDIRECT(ADDRESS(645,9))+INDIRECT(ADDRESS(643,10))-INDIRECT(ADDRESS(644,10))</f>
        <v>0</v>
      </c>
      <c r="K645">
        <f>INDIRECT(ADDRESS(645,10))+INDIRECT(ADDRESS(643,11))-INDIRECT(ADDRESS(644,11))</f>
        <v>0</v>
      </c>
      <c r="L645">
        <f>INDIRECT(ADDRESS(645,11))+INDIRECT(ADDRESS(643,12))-INDIRECT(ADDRESS(644,12))</f>
        <v>0</v>
      </c>
      <c r="M645">
        <f>INDIRECT(ADDRESS(645,12))+INDIRECT(ADDRESS(643,13))-INDIRECT(ADDRESS(644,13))</f>
        <v>0</v>
      </c>
      <c r="N645">
        <f>INDIRECT(ADDRESS(645,13))+INDIRECT(ADDRESS(643,14))-INDIRECT(ADDRESS(644,14))</f>
        <v>0</v>
      </c>
      <c r="O645">
        <f>INDIRECT(ADDRESS(645,14))+INDIRECT(ADDRESS(643,15))-INDIRECT(ADDRESS(644,15))</f>
        <v>0</v>
      </c>
      <c r="P645">
        <f>INDIRECT(ADDRESS(645,15))+INDIRECT(ADDRESS(643,16))-INDIRECT(ADDRESS(644,16))</f>
        <v>0</v>
      </c>
      <c r="Q645">
        <f>INDIRECT(ADDRESS(645,16))+INDIRECT(ADDRESS(643,17))-INDIRECT(ADDRESS(644,17))</f>
        <v>0</v>
      </c>
      <c r="R645">
        <f>INDIRECT(ADDRESS(645,17))+INDIRECT(ADDRESS(643,18))-INDIRECT(ADDRESS(644,18))</f>
        <v>0</v>
      </c>
      <c r="S645">
        <f>INDIRECT(ADDRESS(645,18))+INDIRECT(ADDRESS(643,19))-INDIRECT(ADDRESS(644,19))</f>
        <v>0</v>
      </c>
      <c r="T645">
        <f>INDIRECT(ADDRESS(645,19))+INDIRECT(ADDRESS(643,20))-INDIRECT(ADDRESS(644,20))</f>
        <v>0</v>
      </c>
      <c r="U645">
        <f>INDIRECT(ADDRESS(645,20))+INDIRECT(ADDRESS(643,21))-INDIRECT(ADDRESS(644,21))</f>
        <v>0</v>
      </c>
      <c r="V645">
        <f>INDIRECT(ADDRESS(645,21))+INDIRECT(ADDRESS(643,22))-INDIRECT(ADDRESS(644,22))</f>
        <v>0</v>
      </c>
      <c r="W645">
        <f>INDIRECT(ADDRESS(645,22))+INDIRECT(ADDRESS(643,23))-INDIRECT(ADDRESS(644,23))</f>
        <v>0</v>
      </c>
      <c r="X645">
        <f>INDIRECT(ADDRESS(645,23))+INDIRECT(ADDRESS(643,24))-INDIRECT(ADDRESS(644,24))</f>
        <v>0</v>
      </c>
      <c r="Y645">
        <f>INDIRECT(ADDRESS(645,24))+INDIRECT(ADDRESS(643,25))-INDIRECT(ADDRESS(644,25))</f>
        <v>0</v>
      </c>
      <c r="Z645">
        <f>INDIRECT(ADDRESS(645,25))+INDIRECT(ADDRESS(643,26))-INDIRECT(ADDRESS(644,26))</f>
        <v>0</v>
      </c>
      <c r="AA645">
        <f>INDIRECT(ADDRESS(645,26))+INDIRECT(ADDRESS(643,27))-INDIRECT(ADDRESS(644,27))</f>
        <v>0</v>
      </c>
      <c r="AB645">
        <f>INDIRECT(ADDRESS(645,27))+INDIRECT(ADDRESS(643,28))-INDIRECT(ADDRESS(644,28))</f>
        <v>0</v>
      </c>
      <c r="AC645">
        <f>INDIRECT(ADDRESS(645,28))+INDIRECT(ADDRESS(643,29))-INDIRECT(ADDRESS(644,29))</f>
        <v>0</v>
      </c>
      <c r="AD645">
        <f>INDIRECT(ADDRESS(645,29))+INDIRECT(ADDRESS(643,30))-INDIRECT(ADDRESS(644,30))</f>
        <v>0</v>
      </c>
      <c r="AE645">
        <f>INDIRECT(ADDRESS(645,30))+INDIRECT(ADDRESS(643,31))-INDIRECT(ADDRESS(644,31))</f>
        <v>0</v>
      </c>
      <c r="AF645">
        <f>INDIRECT(ADDRESS(645,31))+INDIRECT(ADDRESS(643,32))-INDIRECT(ADDRESS(644,32))</f>
        <v>0</v>
      </c>
      <c r="AG645">
        <f>INDIRECT(ADDRESS(645,32))+INDIRECT(ADDRESS(643,33))-INDIRECT(ADDRESS(644,33))</f>
        <v>0</v>
      </c>
      <c r="AH645">
        <f>INDIRECT(ADDRESS(645,33))+INDIRECT(ADDRESS(643,34))-INDIRECT(ADDRESS(644,34))</f>
        <v>0</v>
      </c>
      <c r="AI645">
        <f>INDIRECT(ADDRESS(645,34))+INDIRECT(ADDRESS(643,35))-INDIRECT(ADDRESS(644,35))</f>
        <v>0</v>
      </c>
      <c r="AJ645">
        <f>INDIRECT(ADDRESS(645,35))+INDIRECT(ADDRESS(643,36))-INDIRECT(ADDRESS(644,36))</f>
        <v>0</v>
      </c>
      <c r="AK645">
        <f>INDIRECT(ADDRESS(645,36))+INDIRECT(ADDRESS(643,37))-INDIRECT(ADDRESS(644,37))</f>
        <v>0</v>
      </c>
      <c r="AL645">
        <f>INDIRECT(ADDRESS(645,37))+INDIRECT(ADDRESS(643,38))-INDIRECT(ADDRESS(644,38))</f>
        <v>0</v>
      </c>
      <c r="AM645">
        <f>INDIRECT(ADDRESS(645,38))+INDIRECT(ADDRESS(643,39))-INDIRECT(ADDRESS(644,39))</f>
        <v>0</v>
      </c>
      <c r="AN645">
        <f>INDIRECT(ADDRESS(645,39))+INDIRECT(ADDRESS(643,40))-INDIRECT(ADDRESS(644,40))</f>
        <v>0</v>
      </c>
      <c r="AO645">
        <f>SUM(INDIRECT(ADDRESS(644,8)):INDIRECT(ADDRESS(644,39)))</f>
        <v>0</v>
      </c>
    </row>
    <row r="646" spans="1:41">
      <c r="A646" t="s">
        <v>238</v>
      </c>
      <c r="B646" t="s">
        <v>53</v>
      </c>
      <c r="C646" t="s">
        <v>417</v>
      </c>
      <c r="E646">
        <v>0.05</v>
      </c>
      <c r="I646" t="s">
        <v>177</v>
      </c>
    </row>
    <row r="647" spans="1:41">
      <c r="I647" t="s">
        <v>178</v>
      </c>
      <c r="J647">
        <f>IFERROR(VLOOKUP("924-025056-100",B:AB,1+8,0),0)</f>
        <v>0</v>
      </c>
      <c r="K647">
        <f>IFERROR(VLOOKUP("924-025056-100",B:AB,2+8,0),0)</f>
        <v>0</v>
      </c>
      <c r="L647">
        <f>IFERROR(VLOOKUP("924-025056-100",B:AB,3+8,0),0)</f>
        <v>0</v>
      </c>
      <c r="M647">
        <f>IFERROR(VLOOKUP("924-025056-100",B:AB,4+8,0),0)</f>
        <v>0</v>
      </c>
      <c r="N647">
        <f>IFERROR(VLOOKUP("924-025056-100",B:AB,5+8,0),0)</f>
        <v>0</v>
      </c>
      <c r="O647">
        <f>IFERROR(VLOOKUP("924-025056-100",B:AB,6+8,0),0)</f>
        <v>0</v>
      </c>
      <c r="P647">
        <f>IFERROR(VLOOKUP("924-025056-100",B:AB,7+8,0),0)</f>
        <v>0</v>
      </c>
      <c r="Q647">
        <f>IFERROR(VLOOKUP("924-025056-100",B:AB,8+8,0),0)</f>
        <v>0</v>
      </c>
      <c r="R647">
        <f>IFERROR(VLOOKUP("924-025056-100",B:AB,9+8,0),0)</f>
        <v>0</v>
      </c>
      <c r="S647">
        <f>IFERROR(VLOOKUP("924-025056-100",B:AB,10+8,0),0)</f>
        <v>0</v>
      </c>
      <c r="T647">
        <f>IFERROR(VLOOKUP("924-025056-100",B:AB,11+8,0),0)</f>
        <v>0</v>
      </c>
      <c r="U647">
        <f>IFERROR(VLOOKUP("924-025056-100",B:AB,12+8,0),0)</f>
        <v>0</v>
      </c>
      <c r="V647">
        <f>IFERROR(VLOOKUP("924-025056-100",B:AB,13+8,0),0)</f>
        <v>0</v>
      </c>
      <c r="W647">
        <f>IFERROR(VLOOKUP("924-025056-100",B:AB,14+8,0),0)</f>
        <v>0</v>
      </c>
      <c r="X647">
        <f>IFERROR(VLOOKUP("924-025056-100",B:AB,15+8,0),0)</f>
        <v>0</v>
      </c>
      <c r="Y647">
        <f>IFERROR(VLOOKUP("924-025056-100",B:AB,16+8,0),0)</f>
        <v>0</v>
      </c>
      <c r="Z647">
        <f>IFERROR(VLOOKUP("924-025056-100",B:AB,17+8,0),0)</f>
        <v>0</v>
      </c>
      <c r="AA647">
        <f>IFERROR(VLOOKUP("924-025056-100",B:AB,18+8,0),0)</f>
        <v>0</v>
      </c>
      <c r="AB647">
        <f>IFERROR(VLOOKUP("924-025056-100",B:AB,19+8,0),0)</f>
        <v>0</v>
      </c>
      <c r="AC647">
        <f>IFERROR(VLOOKUP("924-025056-100",B:AB,20+8,0),0)</f>
        <v>0</v>
      </c>
      <c r="AD647">
        <f>IFERROR(VLOOKUP("924-025056-100",B:AB,21+8,0),0)</f>
        <v>0</v>
      </c>
      <c r="AE647">
        <f>IFERROR(VLOOKUP("924-025056-100",B:AB,22+8,0),0)</f>
        <v>0</v>
      </c>
      <c r="AF647">
        <f>IFERROR(VLOOKUP("924-025056-100",B:AB,23+8,0),0)</f>
        <v>0</v>
      </c>
      <c r="AG647">
        <f>IFERROR(VLOOKUP("924-025056-100",B:AB,24+8,0),0)</f>
        <v>0</v>
      </c>
      <c r="AH647">
        <f>IFERROR(VLOOKUP("924-025056-100",B:AB,25+8,0),0)</f>
        <v>0</v>
      </c>
      <c r="AI647">
        <f>IFERROR(VLOOKUP("924-025056-100",B:AB,26+8,0),0)</f>
        <v>0</v>
      </c>
      <c r="AJ647">
        <f>IFERROR(VLOOKUP("924-025056-100",B:AB,27+8,0),0)</f>
        <v>0</v>
      </c>
      <c r="AK647">
        <f>IFERROR(VLOOKUP("924-025056-100",B:AB,28+8,0),0)</f>
        <v>0</v>
      </c>
      <c r="AL647">
        <f>IFERROR(VLOOKUP("924-025056-100",B:AB,29+8,0),0)</f>
        <v>0</v>
      </c>
      <c r="AM647">
        <f>IFERROR(VLOOKUP("924-025056-100",B:AB,30+8,0),0)</f>
        <v>0</v>
      </c>
      <c r="AN647">
        <f>IFERROR(VLOOKUP("924-025056-100",B:AB,31+8,0),0)</f>
        <v>0</v>
      </c>
      <c r="AO647">
        <f>SUN(INDIRECT(ADDRESS(646,8)):INDIRECT(ADDRESS(646,39)))</f>
        <v>0</v>
      </c>
    </row>
    <row r="648" spans="1:41">
      <c r="H648" t="s">
        <v>179</v>
      </c>
      <c r="J648">
        <f>INDIRECT(ADDRESS(648,9))+INDIRECT(ADDRESS(646,10))-INDIRECT(ADDRESS(647,10))</f>
        <v>0</v>
      </c>
      <c r="K648">
        <f>INDIRECT(ADDRESS(648,10))+INDIRECT(ADDRESS(646,11))-INDIRECT(ADDRESS(647,11))</f>
        <v>0</v>
      </c>
      <c r="L648">
        <f>INDIRECT(ADDRESS(648,11))+INDIRECT(ADDRESS(646,12))-INDIRECT(ADDRESS(647,12))</f>
        <v>0</v>
      </c>
      <c r="M648">
        <f>INDIRECT(ADDRESS(648,12))+INDIRECT(ADDRESS(646,13))-INDIRECT(ADDRESS(647,13))</f>
        <v>0</v>
      </c>
      <c r="N648">
        <f>INDIRECT(ADDRESS(648,13))+INDIRECT(ADDRESS(646,14))-INDIRECT(ADDRESS(647,14))</f>
        <v>0</v>
      </c>
      <c r="O648">
        <f>INDIRECT(ADDRESS(648,14))+INDIRECT(ADDRESS(646,15))-INDIRECT(ADDRESS(647,15))</f>
        <v>0</v>
      </c>
      <c r="P648">
        <f>INDIRECT(ADDRESS(648,15))+INDIRECT(ADDRESS(646,16))-INDIRECT(ADDRESS(647,16))</f>
        <v>0</v>
      </c>
      <c r="Q648">
        <f>INDIRECT(ADDRESS(648,16))+INDIRECT(ADDRESS(646,17))-INDIRECT(ADDRESS(647,17))</f>
        <v>0</v>
      </c>
      <c r="R648">
        <f>INDIRECT(ADDRESS(648,17))+INDIRECT(ADDRESS(646,18))-INDIRECT(ADDRESS(647,18))</f>
        <v>0</v>
      </c>
      <c r="S648">
        <f>INDIRECT(ADDRESS(648,18))+INDIRECT(ADDRESS(646,19))-INDIRECT(ADDRESS(647,19))</f>
        <v>0</v>
      </c>
      <c r="T648">
        <f>INDIRECT(ADDRESS(648,19))+INDIRECT(ADDRESS(646,20))-INDIRECT(ADDRESS(647,20))</f>
        <v>0</v>
      </c>
      <c r="U648">
        <f>INDIRECT(ADDRESS(648,20))+INDIRECT(ADDRESS(646,21))-INDIRECT(ADDRESS(647,21))</f>
        <v>0</v>
      </c>
      <c r="V648">
        <f>INDIRECT(ADDRESS(648,21))+INDIRECT(ADDRESS(646,22))-INDIRECT(ADDRESS(647,22))</f>
        <v>0</v>
      </c>
      <c r="W648">
        <f>INDIRECT(ADDRESS(648,22))+INDIRECT(ADDRESS(646,23))-INDIRECT(ADDRESS(647,23))</f>
        <v>0</v>
      </c>
      <c r="X648">
        <f>INDIRECT(ADDRESS(648,23))+INDIRECT(ADDRESS(646,24))-INDIRECT(ADDRESS(647,24))</f>
        <v>0</v>
      </c>
      <c r="Y648">
        <f>INDIRECT(ADDRESS(648,24))+INDIRECT(ADDRESS(646,25))-INDIRECT(ADDRESS(647,25))</f>
        <v>0</v>
      </c>
      <c r="Z648">
        <f>INDIRECT(ADDRESS(648,25))+INDIRECT(ADDRESS(646,26))-INDIRECT(ADDRESS(647,26))</f>
        <v>0</v>
      </c>
      <c r="AA648">
        <f>INDIRECT(ADDRESS(648,26))+INDIRECT(ADDRESS(646,27))-INDIRECT(ADDRESS(647,27))</f>
        <v>0</v>
      </c>
      <c r="AB648">
        <f>INDIRECT(ADDRESS(648,27))+INDIRECT(ADDRESS(646,28))-INDIRECT(ADDRESS(647,28))</f>
        <v>0</v>
      </c>
      <c r="AC648">
        <f>INDIRECT(ADDRESS(648,28))+INDIRECT(ADDRESS(646,29))-INDIRECT(ADDRESS(647,29))</f>
        <v>0</v>
      </c>
      <c r="AD648">
        <f>INDIRECT(ADDRESS(648,29))+INDIRECT(ADDRESS(646,30))-INDIRECT(ADDRESS(647,30))</f>
        <v>0</v>
      </c>
      <c r="AE648">
        <f>INDIRECT(ADDRESS(648,30))+INDIRECT(ADDRESS(646,31))-INDIRECT(ADDRESS(647,31))</f>
        <v>0</v>
      </c>
      <c r="AF648">
        <f>INDIRECT(ADDRESS(648,31))+INDIRECT(ADDRESS(646,32))-INDIRECT(ADDRESS(647,32))</f>
        <v>0</v>
      </c>
      <c r="AG648">
        <f>INDIRECT(ADDRESS(648,32))+INDIRECT(ADDRESS(646,33))-INDIRECT(ADDRESS(647,33))</f>
        <v>0</v>
      </c>
      <c r="AH648">
        <f>INDIRECT(ADDRESS(648,33))+INDIRECT(ADDRESS(646,34))-INDIRECT(ADDRESS(647,34))</f>
        <v>0</v>
      </c>
      <c r="AI648">
        <f>INDIRECT(ADDRESS(648,34))+INDIRECT(ADDRESS(646,35))-INDIRECT(ADDRESS(647,35))</f>
        <v>0</v>
      </c>
      <c r="AJ648">
        <f>INDIRECT(ADDRESS(648,35))+INDIRECT(ADDRESS(646,36))-INDIRECT(ADDRESS(647,36))</f>
        <v>0</v>
      </c>
      <c r="AK648">
        <f>INDIRECT(ADDRESS(648,36))+INDIRECT(ADDRESS(646,37))-INDIRECT(ADDRESS(647,37))</f>
        <v>0</v>
      </c>
      <c r="AL648">
        <f>INDIRECT(ADDRESS(648,37))+INDIRECT(ADDRESS(646,38))-INDIRECT(ADDRESS(647,38))</f>
        <v>0</v>
      </c>
      <c r="AM648">
        <f>INDIRECT(ADDRESS(648,38))+INDIRECT(ADDRESS(646,39))-INDIRECT(ADDRESS(647,39))</f>
        <v>0</v>
      </c>
      <c r="AN648">
        <f>INDIRECT(ADDRESS(648,39))+INDIRECT(ADDRESS(646,40))-INDIRECT(ADDRESS(647,40))</f>
        <v>0</v>
      </c>
      <c r="AO648">
        <f>SUM(INDIRECT(ADDRESS(647,8)):INDIRECT(ADDRESS(647,39)))</f>
        <v>0</v>
      </c>
    </row>
    <row r="649" spans="1:41">
      <c r="A649" t="s">
        <v>206</v>
      </c>
      <c r="B649" t="s">
        <v>53</v>
      </c>
      <c r="C649" t="s">
        <v>418</v>
      </c>
      <c r="E649">
        <v>0.05</v>
      </c>
      <c r="I649" t="s">
        <v>177</v>
      </c>
    </row>
    <row r="650" spans="1:41">
      <c r="I650" t="s">
        <v>178</v>
      </c>
      <c r="J650">
        <f>IFERROR(VLOOKUP("924-025056-100",B:AB,1+8,0),0)</f>
        <v>0</v>
      </c>
      <c r="K650">
        <f>IFERROR(VLOOKUP("924-025056-100",B:AB,2+8,0),0)</f>
        <v>0</v>
      </c>
      <c r="L650">
        <f>IFERROR(VLOOKUP("924-025056-100",B:AB,3+8,0),0)</f>
        <v>0</v>
      </c>
      <c r="M650">
        <f>IFERROR(VLOOKUP("924-025056-100",B:AB,4+8,0),0)</f>
        <v>0</v>
      </c>
      <c r="N650">
        <f>IFERROR(VLOOKUP("924-025056-100",B:AB,5+8,0),0)</f>
        <v>0</v>
      </c>
      <c r="O650">
        <f>IFERROR(VLOOKUP("924-025056-100",B:AB,6+8,0),0)</f>
        <v>0</v>
      </c>
      <c r="P650">
        <f>IFERROR(VLOOKUP("924-025056-100",B:AB,7+8,0),0)</f>
        <v>0</v>
      </c>
      <c r="Q650">
        <f>IFERROR(VLOOKUP("924-025056-100",B:AB,8+8,0),0)</f>
        <v>0</v>
      </c>
      <c r="R650">
        <f>IFERROR(VLOOKUP("924-025056-100",B:AB,9+8,0),0)</f>
        <v>0</v>
      </c>
      <c r="S650">
        <f>IFERROR(VLOOKUP("924-025056-100",B:AB,10+8,0),0)</f>
        <v>0</v>
      </c>
      <c r="T650">
        <f>IFERROR(VLOOKUP("924-025056-100",B:AB,11+8,0),0)</f>
        <v>0</v>
      </c>
      <c r="U650">
        <f>IFERROR(VLOOKUP("924-025056-100",B:AB,12+8,0),0)</f>
        <v>0</v>
      </c>
      <c r="V650">
        <f>IFERROR(VLOOKUP("924-025056-100",B:AB,13+8,0),0)</f>
        <v>0</v>
      </c>
      <c r="W650">
        <f>IFERROR(VLOOKUP("924-025056-100",B:AB,14+8,0),0)</f>
        <v>0</v>
      </c>
      <c r="X650">
        <f>IFERROR(VLOOKUP("924-025056-100",B:AB,15+8,0),0)</f>
        <v>0</v>
      </c>
      <c r="Y650">
        <f>IFERROR(VLOOKUP("924-025056-100",B:AB,16+8,0),0)</f>
        <v>0</v>
      </c>
      <c r="Z650">
        <f>IFERROR(VLOOKUP("924-025056-100",B:AB,17+8,0),0)</f>
        <v>0</v>
      </c>
      <c r="AA650">
        <f>IFERROR(VLOOKUP("924-025056-100",B:AB,18+8,0),0)</f>
        <v>0</v>
      </c>
      <c r="AB650">
        <f>IFERROR(VLOOKUP("924-025056-100",B:AB,19+8,0),0)</f>
        <v>0</v>
      </c>
      <c r="AC650">
        <f>IFERROR(VLOOKUP("924-025056-100",B:AB,20+8,0),0)</f>
        <v>0</v>
      </c>
      <c r="AD650">
        <f>IFERROR(VLOOKUP("924-025056-100",B:AB,21+8,0),0)</f>
        <v>0</v>
      </c>
      <c r="AE650">
        <f>IFERROR(VLOOKUP("924-025056-100",B:AB,22+8,0),0)</f>
        <v>0</v>
      </c>
      <c r="AF650">
        <f>IFERROR(VLOOKUP("924-025056-100",B:AB,23+8,0),0)</f>
        <v>0</v>
      </c>
      <c r="AG650">
        <f>IFERROR(VLOOKUP("924-025056-100",B:AB,24+8,0),0)</f>
        <v>0</v>
      </c>
      <c r="AH650">
        <f>IFERROR(VLOOKUP("924-025056-100",B:AB,25+8,0),0)</f>
        <v>0</v>
      </c>
      <c r="AI650">
        <f>IFERROR(VLOOKUP("924-025056-100",B:AB,26+8,0),0)</f>
        <v>0</v>
      </c>
      <c r="AJ650">
        <f>IFERROR(VLOOKUP("924-025056-100",B:AB,27+8,0),0)</f>
        <v>0</v>
      </c>
      <c r="AK650">
        <f>IFERROR(VLOOKUP("924-025056-100",B:AB,28+8,0),0)</f>
        <v>0</v>
      </c>
      <c r="AL650">
        <f>IFERROR(VLOOKUP("924-025056-100",B:AB,29+8,0),0)</f>
        <v>0</v>
      </c>
      <c r="AM650">
        <f>IFERROR(VLOOKUP("924-025056-100",B:AB,30+8,0),0)</f>
        <v>0</v>
      </c>
      <c r="AN650">
        <f>IFERROR(VLOOKUP("924-025056-100",B:AB,31+8,0),0)</f>
        <v>0</v>
      </c>
      <c r="AO650">
        <f>SUN(INDIRECT(ADDRESS(649,8)):INDIRECT(ADDRESS(649,39)))</f>
        <v>0</v>
      </c>
    </row>
    <row r="651" spans="1:41">
      <c r="H651" t="s">
        <v>179</v>
      </c>
      <c r="J651">
        <f>INDIRECT(ADDRESS(651,9))+INDIRECT(ADDRESS(649,10))-INDIRECT(ADDRESS(650,10))</f>
        <v>0</v>
      </c>
      <c r="K651">
        <f>INDIRECT(ADDRESS(651,10))+INDIRECT(ADDRESS(649,11))-INDIRECT(ADDRESS(650,11))</f>
        <v>0</v>
      </c>
      <c r="L651">
        <f>INDIRECT(ADDRESS(651,11))+INDIRECT(ADDRESS(649,12))-INDIRECT(ADDRESS(650,12))</f>
        <v>0</v>
      </c>
      <c r="M651">
        <f>INDIRECT(ADDRESS(651,12))+INDIRECT(ADDRESS(649,13))-INDIRECT(ADDRESS(650,13))</f>
        <v>0</v>
      </c>
      <c r="N651">
        <f>INDIRECT(ADDRESS(651,13))+INDIRECT(ADDRESS(649,14))-INDIRECT(ADDRESS(650,14))</f>
        <v>0</v>
      </c>
      <c r="O651">
        <f>INDIRECT(ADDRESS(651,14))+INDIRECT(ADDRESS(649,15))-INDIRECT(ADDRESS(650,15))</f>
        <v>0</v>
      </c>
      <c r="P651">
        <f>INDIRECT(ADDRESS(651,15))+INDIRECT(ADDRESS(649,16))-INDIRECT(ADDRESS(650,16))</f>
        <v>0</v>
      </c>
      <c r="Q651">
        <f>INDIRECT(ADDRESS(651,16))+INDIRECT(ADDRESS(649,17))-INDIRECT(ADDRESS(650,17))</f>
        <v>0</v>
      </c>
      <c r="R651">
        <f>INDIRECT(ADDRESS(651,17))+INDIRECT(ADDRESS(649,18))-INDIRECT(ADDRESS(650,18))</f>
        <v>0</v>
      </c>
      <c r="S651">
        <f>INDIRECT(ADDRESS(651,18))+INDIRECT(ADDRESS(649,19))-INDIRECT(ADDRESS(650,19))</f>
        <v>0</v>
      </c>
      <c r="T651">
        <f>INDIRECT(ADDRESS(651,19))+INDIRECT(ADDRESS(649,20))-INDIRECT(ADDRESS(650,20))</f>
        <v>0</v>
      </c>
      <c r="U651">
        <f>INDIRECT(ADDRESS(651,20))+INDIRECT(ADDRESS(649,21))-INDIRECT(ADDRESS(650,21))</f>
        <v>0</v>
      </c>
      <c r="V651">
        <f>INDIRECT(ADDRESS(651,21))+INDIRECT(ADDRESS(649,22))-INDIRECT(ADDRESS(650,22))</f>
        <v>0</v>
      </c>
      <c r="W651">
        <f>INDIRECT(ADDRESS(651,22))+INDIRECT(ADDRESS(649,23))-INDIRECT(ADDRESS(650,23))</f>
        <v>0</v>
      </c>
      <c r="X651">
        <f>INDIRECT(ADDRESS(651,23))+INDIRECT(ADDRESS(649,24))-INDIRECT(ADDRESS(650,24))</f>
        <v>0</v>
      </c>
      <c r="Y651">
        <f>INDIRECT(ADDRESS(651,24))+INDIRECT(ADDRESS(649,25))-INDIRECT(ADDRESS(650,25))</f>
        <v>0</v>
      </c>
      <c r="Z651">
        <f>INDIRECT(ADDRESS(651,25))+INDIRECT(ADDRESS(649,26))-INDIRECT(ADDRESS(650,26))</f>
        <v>0</v>
      </c>
      <c r="AA651">
        <f>INDIRECT(ADDRESS(651,26))+INDIRECT(ADDRESS(649,27))-INDIRECT(ADDRESS(650,27))</f>
        <v>0</v>
      </c>
      <c r="AB651">
        <f>INDIRECT(ADDRESS(651,27))+INDIRECT(ADDRESS(649,28))-INDIRECT(ADDRESS(650,28))</f>
        <v>0</v>
      </c>
      <c r="AC651">
        <f>INDIRECT(ADDRESS(651,28))+INDIRECT(ADDRESS(649,29))-INDIRECT(ADDRESS(650,29))</f>
        <v>0</v>
      </c>
      <c r="AD651">
        <f>INDIRECT(ADDRESS(651,29))+INDIRECT(ADDRESS(649,30))-INDIRECT(ADDRESS(650,30))</f>
        <v>0</v>
      </c>
      <c r="AE651">
        <f>INDIRECT(ADDRESS(651,30))+INDIRECT(ADDRESS(649,31))-INDIRECT(ADDRESS(650,31))</f>
        <v>0</v>
      </c>
      <c r="AF651">
        <f>INDIRECT(ADDRESS(651,31))+INDIRECT(ADDRESS(649,32))-INDIRECT(ADDRESS(650,32))</f>
        <v>0</v>
      </c>
      <c r="AG651">
        <f>INDIRECT(ADDRESS(651,32))+INDIRECT(ADDRESS(649,33))-INDIRECT(ADDRESS(650,33))</f>
        <v>0</v>
      </c>
      <c r="AH651">
        <f>INDIRECT(ADDRESS(651,33))+INDIRECT(ADDRESS(649,34))-INDIRECT(ADDRESS(650,34))</f>
        <v>0</v>
      </c>
      <c r="AI651">
        <f>INDIRECT(ADDRESS(651,34))+INDIRECT(ADDRESS(649,35))-INDIRECT(ADDRESS(650,35))</f>
        <v>0</v>
      </c>
      <c r="AJ651">
        <f>INDIRECT(ADDRESS(651,35))+INDIRECT(ADDRESS(649,36))-INDIRECT(ADDRESS(650,36))</f>
        <v>0</v>
      </c>
      <c r="AK651">
        <f>INDIRECT(ADDRESS(651,36))+INDIRECT(ADDRESS(649,37))-INDIRECT(ADDRESS(650,37))</f>
        <v>0</v>
      </c>
      <c r="AL651">
        <f>INDIRECT(ADDRESS(651,37))+INDIRECT(ADDRESS(649,38))-INDIRECT(ADDRESS(650,38))</f>
        <v>0</v>
      </c>
      <c r="AM651">
        <f>INDIRECT(ADDRESS(651,38))+INDIRECT(ADDRESS(649,39))-INDIRECT(ADDRESS(650,39))</f>
        <v>0</v>
      </c>
      <c r="AN651">
        <f>INDIRECT(ADDRESS(651,39))+INDIRECT(ADDRESS(649,40))-INDIRECT(ADDRESS(650,40))</f>
        <v>0</v>
      </c>
      <c r="AO651">
        <f>SUM(INDIRECT(ADDRESS(650,8)):INDIRECT(ADDRESS(650,39)))</f>
        <v>0</v>
      </c>
    </row>
    <row r="652" spans="1:41">
      <c r="A652" t="s">
        <v>8</v>
      </c>
      <c r="B652" t="s">
        <v>55</v>
      </c>
      <c r="C652" t="s">
        <v>56</v>
      </c>
      <c r="E652">
        <v>1</v>
      </c>
      <c r="I652" t="s">
        <v>177</v>
      </c>
    </row>
    <row r="653" spans="1:41">
      <c r="I653" t="s">
        <v>178</v>
      </c>
      <c r="J653">
        <f>IFERROR(VLOOKUP("924-025056-200",Out!B:AB,1+8,0),0)</f>
        <v>0</v>
      </c>
      <c r="K653">
        <f>IFERROR(VLOOKUP("924-025056-200",Out!B:AB,2+8,0),0)</f>
        <v>0</v>
      </c>
      <c r="L653">
        <f>IFERROR(VLOOKUP("924-025056-200",Out!B:AB,3+8,0),0)</f>
        <v>0</v>
      </c>
      <c r="M653">
        <f>IFERROR(VLOOKUP("924-025056-200",Out!B:AB,4+8,0),0)</f>
        <v>0</v>
      </c>
      <c r="N653">
        <f>IFERROR(VLOOKUP("924-025056-200",Out!B:AB,5+8,0),0)</f>
        <v>0</v>
      </c>
      <c r="O653">
        <f>IFERROR(VLOOKUP("924-025056-200",Out!B:AB,6+8,0),0)</f>
        <v>0</v>
      </c>
      <c r="P653">
        <f>IFERROR(VLOOKUP("924-025056-200",Out!B:AB,7+8,0),0)</f>
        <v>0</v>
      </c>
      <c r="Q653">
        <f>IFERROR(VLOOKUP("924-025056-200",Out!B:AB,8+8,0),0)</f>
        <v>0</v>
      </c>
      <c r="R653">
        <f>IFERROR(VLOOKUP("924-025056-200",Out!B:AB,9+8,0),0)</f>
        <v>0</v>
      </c>
      <c r="S653">
        <f>IFERROR(VLOOKUP("924-025056-200",Out!B:AB,10+8,0),0)</f>
        <v>0</v>
      </c>
      <c r="T653">
        <f>IFERROR(VLOOKUP("924-025056-200",Out!B:AB,11+8,0),0)</f>
        <v>0</v>
      </c>
      <c r="U653">
        <f>IFERROR(VLOOKUP("924-025056-200",Out!B:AB,12+8,0),0)</f>
        <v>0</v>
      </c>
      <c r="V653">
        <f>IFERROR(VLOOKUP("924-025056-200",Out!B:AB,13+8,0),0)</f>
        <v>0</v>
      </c>
      <c r="W653">
        <f>IFERROR(VLOOKUP("924-025056-200",Out!B:AB,14+8,0),0)</f>
        <v>0</v>
      </c>
      <c r="X653">
        <f>IFERROR(VLOOKUP("924-025056-200",Out!B:AB,15+8,0),0)</f>
        <v>0</v>
      </c>
      <c r="Y653">
        <f>IFERROR(VLOOKUP("924-025056-200",Out!B:AB,16+8,0),0)</f>
        <v>0</v>
      </c>
      <c r="Z653">
        <f>IFERROR(VLOOKUP("924-025056-200",Out!B:AB,17+8,0),0)</f>
        <v>0</v>
      </c>
      <c r="AA653">
        <f>IFERROR(VLOOKUP("924-025056-200",Out!B:AB,18+8,0),0)</f>
        <v>0</v>
      </c>
      <c r="AB653">
        <f>IFERROR(VLOOKUP("924-025056-200",Out!B:AB,19+8,0),0)</f>
        <v>0</v>
      </c>
      <c r="AC653">
        <f>IFERROR(VLOOKUP("924-025056-200",Out!B:AB,20+8,0),0)</f>
        <v>0</v>
      </c>
      <c r="AD653">
        <f>IFERROR(VLOOKUP("924-025056-200",Out!B:AB,21+8,0),0)</f>
        <v>0</v>
      </c>
      <c r="AE653">
        <f>IFERROR(VLOOKUP("924-025056-200",Out!B:AB,22+8,0),0)</f>
        <v>0</v>
      </c>
      <c r="AF653">
        <f>IFERROR(VLOOKUP("924-025056-200",Out!B:AB,23+8,0),0)</f>
        <v>0</v>
      </c>
      <c r="AG653">
        <f>IFERROR(VLOOKUP("924-025056-200",Out!B:AB,24+8,0),0)</f>
        <v>0</v>
      </c>
      <c r="AH653">
        <f>IFERROR(VLOOKUP("924-025056-200",Out!B:AB,25+8,0),0)</f>
        <v>0</v>
      </c>
      <c r="AI653">
        <f>IFERROR(VLOOKUP("924-025056-200",Out!B:AB,26+8,0),0)</f>
        <v>0</v>
      </c>
      <c r="AJ653">
        <f>IFERROR(VLOOKUP("924-025056-200",Out!B:AB,27+8,0),0)</f>
        <v>0</v>
      </c>
      <c r="AK653">
        <f>IFERROR(VLOOKUP("924-025056-200",Out!B:AB,28+8,0),0)</f>
        <v>0</v>
      </c>
      <c r="AL653">
        <f>IFERROR(VLOOKUP("924-025056-200",Out!B:AB,29+8,0),0)</f>
        <v>0</v>
      </c>
      <c r="AM653">
        <f>IFERROR(VLOOKUP("924-025056-200",Out!B:AB,30+8,0),0)</f>
        <v>0</v>
      </c>
      <c r="AN653">
        <f>IFERROR(VLOOKUP("924-025056-200",Out!B:AB,31+8,0),0)</f>
        <v>0</v>
      </c>
      <c r="AO653">
        <f>SUN(INDIRECT(ADDRESS(652,8)):INDIRECT(ADDRESS(652,39)))</f>
        <v>0</v>
      </c>
    </row>
    <row r="654" spans="1:41">
      <c r="H654" t="s">
        <v>179</v>
      </c>
      <c r="J654">
        <f>INDIRECT(ADDRESS(654,9))+INDIRECT(ADDRESS(652,10))-INDIRECT(ADDRESS(653,10))</f>
        <v>0</v>
      </c>
      <c r="K654">
        <f>INDIRECT(ADDRESS(654,10))+INDIRECT(ADDRESS(652,11))-INDIRECT(ADDRESS(653,11))</f>
        <v>0</v>
      </c>
      <c r="L654">
        <f>INDIRECT(ADDRESS(654,11))+INDIRECT(ADDRESS(652,12))-INDIRECT(ADDRESS(653,12))</f>
        <v>0</v>
      </c>
      <c r="M654">
        <f>INDIRECT(ADDRESS(654,12))+INDIRECT(ADDRESS(652,13))-INDIRECT(ADDRESS(653,13))</f>
        <v>0</v>
      </c>
      <c r="N654">
        <f>INDIRECT(ADDRESS(654,13))+INDIRECT(ADDRESS(652,14))-INDIRECT(ADDRESS(653,14))</f>
        <v>0</v>
      </c>
      <c r="O654">
        <f>INDIRECT(ADDRESS(654,14))+INDIRECT(ADDRESS(652,15))-INDIRECT(ADDRESS(653,15))</f>
        <v>0</v>
      </c>
      <c r="P654">
        <f>INDIRECT(ADDRESS(654,15))+INDIRECT(ADDRESS(652,16))-INDIRECT(ADDRESS(653,16))</f>
        <v>0</v>
      </c>
      <c r="Q654">
        <f>INDIRECT(ADDRESS(654,16))+INDIRECT(ADDRESS(652,17))-INDIRECT(ADDRESS(653,17))</f>
        <v>0</v>
      </c>
      <c r="R654">
        <f>INDIRECT(ADDRESS(654,17))+INDIRECT(ADDRESS(652,18))-INDIRECT(ADDRESS(653,18))</f>
        <v>0</v>
      </c>
      <c r="S654">
        <f>INDIRECT(ADDRESS(654,18))+INDIRECT(ADDRESS(652,19))-INDIRECT(ADDRESS(653,19))</f>
        <v>0</v>
      </c>
      <c r="T654">
        <f>INDIRECT(ADDRESS(654,19))+INDIRECT(ADDRESS(652,20))-INDIRECT(ADDRESS(653,20))</f>
        <v>0</v>
      </c>
      <c r="U654">
        <f>INDIRECT(ADDRESS(654,20))+INDIRECT(ADDRESS(652,21))-INDIRECT(ADDRESS(653,21))</f>
        <v>0</v>
      </c>
      <c r="V654">
        <f>INDIRECT(ADDRESS(654,21))+INDIRECT(ADDRESS(652,22))-INDIRECT(ADDRESS(653,22))</f>
        <v>0</v>
      </c>
      <c r="W654">
        <f>INDIRECT(ADDRESS(654,22))+INDIRECT(ADDRESS(652,23))-INDIRECT(ADDRESS(653,23))</f>
        <v>0</v>
      </c>
      <c r="X654">
        <f>INDIRECT(ADDRESS(654,23))+INDIRECT(ADDRESS(652,24))-INDIRECT(ADDRESS(653,24))</f>
        <v>0</v>
      </c>
      <c r="Y654">
        <f>INDIRECT(ADDRESS(654,24))+INDIRECT(ADDRESS(652,25))-INDIRECT(ADDRESS(653,25))</f>
        <v>0</v>
      </c>
      <c r="Z654">
        <f>INDIRECT(ADDRESS(654,25))+INDIRECT(ADDRESS(652,26))-INDIRECT(ADDRESS(653,26))</f>
        <v>0</v>
      </c>
      <c r="AA654">
        <f>INDIRECT(ADDRESS(654,26))+INDIRECT(ADDRESS(652,27))-INDIRECT(ADDRESS(653,27))</f>
        <v>0</v>
      </c>
      <c r="AB654">
        <f>INDIRECT(ADDRESS(654,27))+INDIRECT(ADDRESS(652,28))-INDIRECT(ADDRESS(653,28))</f>
        <v>0</v>
      </c>
      <c r="AC654">
        <f>INDIRECT(ADDRESS(654,28))+INDIRECT(ADDRESS(652,29))-INDIRECT(ADDRESS(653,29))</f>
        <v>0</v>
      </c>
      <c r="AD654">
        <f>INDIRECT(ADDRESS(654,29))+INDIRECT(ADDRESS(652,30))-INDIRECT(ADDRESS(653,30))</f>
        <v>0</v>
      </c>
      <c r="AE654">
        <f>INDIRECT(ADDRESS(654,30))+INDIRECT(ADDRESS(652,31))-INDIRECT(ADDRESS(653,31))</f>
        <v>0</v>
      </c>
      <c r="AF654">
        <f>INDIRECT(ADDRESS(654,31))+INDIRECT(ADDRESS(652,32))-INDIRECT(ADDRESS(653,32))</f>
        <v>0</v>
      </c>
      <c r="AG654">
        <f>INDIRECT(ADDRESS(654,32))+INDIRECT(ADDRESS(652,33))-INDIRECT(ADDRESS(653,33))</f>
        <v>0</v>
      </c>
      <c r="AH654">
        <f>INDIRECT(ADDRESS(654,33))+INDIRECT(ADDRESS(652,34))-INDIRECT(ADDRESS(653,34))</f>
        <v>0</v>
      </c>
      <c r="AI654">
        <f>INDIRECT(ADDRESS(654,34))+INDIRECT(ADDRESS(652,35))-INDIRECT(ADDRESS(653,35))</f>
        <v>0</v>
      </c>
      <c r="AJ654">
        <f>INDIRECT(ADDRESS(654,35))+INDIRECT(ADDRESS(652,36))-INDIRECT(ADDRESS(653,36))</f>
        <v>0</v>
      </c>
      <c r="AK654">
        <f>INDIRECT(ADDRESS(654,36))+INDIRECT(ADDRESS(652,37))-INDIRECT(ADDRESS(653,37))</f>
        <v>0</v>
      </c>
      <c r="AL654">
        <f>INDIRECT(ADDRESS(654,37))+INDIRECT(ADDRESS(652,38))-INDIRECT(ADDRESS(653,38))</f>
        <v>0</v>
      </c>
      <c r="AM654">
        <f>INDIRECT(ADDRESS(654,38))+INDIRECT(ADDRESS(652,39))-INDIRECT(ADDRESS(653,39))</f>
        <v>0</v>
      </c>
      <c r="AN654">
        <f>INDIRECT(ADDRESS(654,39))+INDIRECT(ADDRESS(652,40))-INDIRECT(ADDRESS(653,40))</f>
        <v>0</v>
      </c>
      <c r="AO654">
        <f>SUM(INDIRECT(ADDRESS(653,8)):INDIRECT(ADDRESS(653,39)))</f>
        <v>0</v>
      </c>
    </row>
    <row r="655" spans="1:41">
      <c r="A655" t="s">
        <v>180</v>
      </c>
      <c r="B655" t="s">
        <v>55</v>
      </c>
      <c r="C655" t="s">
        <v>419</v>
      </c>
      <c r="E655">
        <v>1</v>
      </c>
      <c r="I655" t="s">
        <v>177</v>
      </c>
    </row>
    <row r="656" spans="1:41">
      <c r="I656" t="s">
        <v>178</v>
      </c>
      <c r="J656">
        <f>IFERROR(VLOOKUP("924-025056-200",B:AB,1+8,0),0)</f>
        <v>0</v>
      </c>
      <c r="K656">
        <f>IFERROR(VLOOKUP("924-025056-200",B:AB,2+8,0),0)</f>
        <v>0</v>
      </c>
      <c r="L656">
        <f>IFERROR(VLOOKUP("924-025056-200",B:AB,3+8,0),0)</f>
        <v>0</v>
      </c>
      <c r="M656">
        <f>IFERROR(VLOOKUP("924-025056-200",B:AB,4+8,0),0)</f>
        <v>0</v>
      </c>
      <c r="N656">
        <f>IFERROR(VLOOKUP("924-025056-200",B:AB,5+8,0),0)</f>
        <v>0</v>
      </c>
      <c r="O656">
        <f>IFERROR(VLOOKUP("924-025056-200",B:AB,6+8,0),0)</f>
        <v>0</v>
      </c>
      <c r="P656">
        <f>IFERROR(VLOOKUP("924-025056-200",B:AB,7+8,0),0)</f>
        <v>0</v>
      </c>
      <c r="Q656">
        <f>IFERROR(VLOOKUP("924-025056-200",B:AB,8+8,0),0)</f>
        <v>0</v>
      </c>
      <c r="R656">
        <f>IFERROR(VLOOKUP("924-025056-200",B:AB,9+8,0),0)</f>
        <v>0</v>
      </c>
      <c r="S656">
        <f>IFERROR(VLOOKUP("924-025056-200",B:AB,10+8,0),0)</f>
        <v>0</v>
      </c>
      <c r="T656">
        <f>IFERROR(VLOOKUP("924-025056-200",B:AB,11+8,0),0)</f>
        <v>0</v>
      </c>
      <c r="U656">
        <f>IFERROR(VLOOKUP("924-025056-200",B:AB,12+8,0),0)</f>
        <v>0</v>
      </c>
      <c r="V656">
        <f>IFERROR(VLOOKUP("924-025056-200",B:AB,13+8,0),0)</f>
        <v>0</v>
      </c>
      <c r="W656">
        <f>IFERROR(VLOOKUP("924-025056-200",B:AB,14+8,0),0)</f>
        <v>0</v>
      </c>
      <c r="X656">
        <f>IFERROR(VLOOKUP("924-025056-200",B:AB,15+8,0),0)</f>
        <v>0</v>
      </c>
      <c r="Y656">
        <f>IFERROR(VLOOKUP("924-025056-200",B:AB,16+8,0),0)</f>
        <v>0</v>
      </c>
      <c r="Z656">
        <f>IFERROR(VLOOKUP("924-025056-200",B:AB,17+8,0),0)</f>
        <v>0</v>
      </c>
      <c r="AA656">
        <f>IFERROR(VLOOKUP("924-025056-200",B:AB,18+8,0),0)</f>
        <v>0</v>
      </c>
      <c r="AB656">
        <f>IFERROR(VLOOKUP("924-025056-200",B:AB,19+8,0),0)</f>
        <v>0</v>
      </c>
      <c r="AC656">
        <f>IFERROR(VLOOKUP("924-025056-200",B:AB,20+8,0),0)</f>
        <v>0</v>
      </c>
      <c r="AD656">
        <f>IFERROR(VLOOKUP("924-025056-200",B:AB,21+8,0),0)</f>
        <v>0</v>
      </c>
      <c r="AE656">
        <f>IFERROR(VLOOKUP("924-025056-200",B:AB,22+8,0),0)</f>
        <v>0</v>
      </c>
      <c r="AF656">
        <f>IFERROR(VLOOKUP("924-025056-200",B:AB,23+8,0),0)</f>
        <v>0</v>
      </c>
      <c r="AG656">
        <f>IFERROR(VLOOKUP("924-025056-200",B:AB,24+8,0),0)</f>
        <v>0</v>
      </c>
      <c r="AH656">
        <f>IFERROR(VLOOKUP("924-025056-200",B:AB,25+8,0),0)</f>
        <v>0</v>
      </c>
      <c r="AI656">
        <f>IFERROR(VLOOKUP("924-025056-200",B:AB,26+8,0),0)</f>
        <v>0</v>
      </c>
      <c r="AJ656">
        <f>IFERROR(VLOOKUP("924-025056-200",B:AB,27+8,0),0)</f>
        <v>0</v>
      </c>
      <c r="AK656">
        <f>IFERROR(VLOOKUP("924-025056-200",B:AB,28+8,0),0)</f>
        <v>0</v>
      </c>
      <c r="AL656">
        <f>IFERROR(VLOOKUP("924-025056-200",B:AB,29+8,0),0)</f>
        <v>0</v>
      </c>
      <c r="AM656">
        <f>IFERROR(VLOOKUP("924-025056-200",B:AB,30+8,0),0)</f>
        <v>0</v>
      </c>
      <c r="AN656">
        <f>IFERROR(VLOOKUP("924-025056-200",B:AB,31+8,0),0)</f>
        <v>0</v>
      </c>
      <c r="AO656">
        <f>SUN(INDIRECT(ADDRESS(655,8)):INDIRECT(ADDRESS(655,39)))</f>
        <v>0</v>
      </c>
    </row>
    <row r="657" spans="1:41">
      <c r="H657" t="s">
        <v>179</v>
      </c>
      <c r="J657">
        <f>INDIRECT(ADDRESS(657,9))+INDIRECT(ADDRESS(655,10))-INDIRECT(ADDRESS(656,10))</f>
        <v>0</v>
      </c>
      <c r="K657">
        <f>INDIRECT(ADDRESS(657,10))+INDIRECT(ADDRESS(655,11))-INDIRECT(ADDRESS(656,11))</f>
        <v>0</v>
      </c>
      <c r="L657">
        <f>INDIRECT(ADDRESS(657,11))+INDIRECT(ADDRESS(655,12))-INDIRECT(ADDRESS(656,12))</f>
        <v>0</v>
      </c>
      <c r="M657">
        <f>INDIRECT(ADDRESS(657,12))+INDIRECT(ADDRESS(655,13))-INDIRECT(ADDRESS(656,13))</f>
        <v>0</v>
      </c>
      <c r="N657">
        <f>INDIRECT(ADDRESS(657,13))+INDIRECT(ADDRESS(655,14))-INDIRECT(ADDRESS(656,14))</f>
        <v>0</v>
      </c>
      <c r="O657">
        <f>INDIRECT(ADDRESS(657,14))+INDIRECT(ADDRESS(655,15))-INDIRECT(ADDRESS(656,15))</f>
        <v>0</v>
      </c>
      <c r="P657">
        <f>INDIRECT(ADDRESS(657,15))+INDIRECT(ADDRESS(655,16))-INDIRECT(ADDRESS(656,16))</f>
        <v>0</v>
      </c>
      <c r="Q657">
        <f>INDIRECT(ADDRESS(657,16))+INDIRECT(ADDRESS(655,17))-INDIRECT(ADDRESS(656,17))</f>
        <v>0</v>
      </c>
      <c r="R657">
        <f>INDIRECT(ADDRESS(657,17))+INDIRECT(ADDRESS(655,18))-INDIRECT(ADDRESS(656,18))</f>
        <v>0</v>
      </c>
      <c r="S657">
        <f>INDIRECT(ADDRESS(657,18))+INDIRECT(ADDRESS(655,19))-INDIRECT(ADDRESS(656,19))</f>
        <v>0</v>
      </c>
      <c r="T657">
        <f>INDIRECT(ADDRESS(657,19))+INDIRECT(ADDRESS(655,20))-INDIRECT(ADDRESS(656,20))</f>
        <v>0</v>
      </c>
      <c r="U657">
        <f>INDIRECT(ADDRESS(657,20))+INDIRECT(ADDRESS(655,21))-INDIRECT(ADDRESS(656,21))</f>
        <v>0</v>
      </c>
      <c r="V657">
        <f>INDIRECT(ADDRESS(657,21))+INDIRECT(ADDRESS(655,22))-INDIRECT(ADDRESS(656,22))</f>
        <v>0</v>
      </c>
      <c r="W657">
        <f>INDIRECT(ADDRESS(657,22))+INDIRECT(ADDRESS(655,23))-INDIRECT(ADDRESS(656,23))</f>
        <v>0</v>
      </c>
      <c r="X657">
        <f>INDIRECT(ADDRESS(657,23))+INDIRECT(ADDRESS(655,24))-INDIRECT(ADDRESS(656,24))</f>
        <v>0</v>
      </c>
      <c r="Y657">
        <f>INDIRECT(ADDRESS(657,24))+INDIRECT(ADDRESS(655,25))-INDIRECT(ADDRESS(656,25))</f>
        <v>0</v>
      </c>
      <c r="Z657">
        <f>INDIRECT(ADDRESS(657,25))+INDIRECT(ADDRESS(655,26))-INDIRECT(ADDRESS(656,26))</f>
        <v>0</v>
      </c>
      <c r="AA657">
        <f>INDIRECT(ADDRESS(657,26))+INDIRECT(ADDRESS(655,27))-INDIRECT(ADDRESS(656,27))</f>
        <v>0</v>
      </c>
      <c r="AB657">
        <f>INDIRECT(ADDRESS(657,27))+INDIRECT(ADDRESS(655,28))-INDIRECT(ADDRESS(656,28))</f>
        <v>0</v>
      </c>
      <c r="AC657">
        <f>INDIRECT(ADDRESS(657,28))+INDIRECT(ADDRESS(655,29))-INDIRECT(ADDRESS(656,29))</f>
        <v>0</v>
      </c>
      <c r="AD657">
        <f>INDIRECT(ADDRESS(657,29))+INDIRECT(ADDRESS(655,30))-INDIRECT(ADDRESS(656,30))</f>
        <v>0</v>
      </c>
      <c r="AE657">
        <f>INDIRECT(ADDRESS(657,30))+INDIRECT(ADDRESS(655,31))-INDIRECT(ADDRESS(656,31))</f>
        <v>0</v>
      </c>
      <c r="AF657">
        <f>INDIRECT(ADDRESS(657,31))+INDIRECT(ADDRESS(655,32))-INDIRECT(ADDRESS(656,32))</f>
        <v>0</v>
      </c>
      <c r="AG657">
        <f>INDIRECT(ADDRESS(657,32))+INDIRECT(ADDRESS(655,33))-INDIRECT(ADDRESS(656,33))</f>
        <v>0</v>
      </c>
      <c r="AH657">
        <f>INDIRECT(ADDRESS(657,33))+INDIRECT(ADDRESS(655,34))-INDIRECT(ADDRESS(656,34))</f>
        <v>0</v>
      </c>
      <c r="AI657">
        <f>INDIRECT(ADDRESS(657,34))+INDIRECT(ADDRESS(655,35))-INDIRECT(ADDRESS(656,35))</f>
        <v>0</v>
      </c>
      <c r="AJ657">
        <f>INDIRECT(ADDRESS(657,35))+INDIRECT(ADDRESS(655,36))-INDIRECT(ADDRESS(656,36))</f>
        <v>0</v>
      </c>
      <c r="AK657">
        <f>INDIRECT(ADDRESS(657,36))+INDIRECT(ADDRESS(655,37))-INDIRECT(ADDRESS(656,37))</f>
        <v>0</v>
      </c>
      <c r="AL657">
        <f>INDIRECT(ADDRESS(657,37))+INDIRECT(ADDRESS(655,38))-INDIRECT(ADDRESS(656,38))</f>
        <v>0</v>
      </c>
      <c r="AM657">
        <f>INDIRECT(ADDRESS(657,38))+INDIRECT(ADDRESS(655,39))-INDIRECT(ADDRESS(656,39))</f>
        <v>0</v>
      </c>
      <c r="AN657">
        <f>INDIRECT(ADDRESS(657,39))+INDIRECT(ADDRESS(655,40))-INDIRECT(ADDRESS(656,40))</f>
        <v>0</v>
      </c>
      <c r="AO657">
        <f>SUM(INDIRECT(ADDRESS(656,8)):INDIRECT(ADDRESS(656,39)))</f>
        <v>0</v>
      </c>
    </row>
    <row r="658" spans="1:41">
      <c r="A658" t="s">
        <v>185</v>
      </c>
      <c r="B658" t="s">
        <v>55</v>
      </c>
      <c r="C658" t="s">
        <v>414</v>
      </c>
      <c r="E658">
        <v>1</v>
      </c>
      <c r="I658" t="s">
        <v>177</v>
      </c>
    </row>
    <row r="659" spans="1:41">
      <c r="I659" t="s">
        <v>178</v>
      </c>
      <c r="J659">
        <f>IFERROR(VLOOKUP("924-025056-200",B:AB,1+8,0),0)</f>
        <v>0</v>
      </c>
      <c r="K659">
        <f>IFERROR(VLOOKUP("924-025056-200",B:AB,2+8,0),0)</f>
        <v>0</v>
      </c>
      <c r="L659">
        <f>IFERROR(VLOOKUP("924-025056-200",B:AB,3+8,0),0)</f>
        <v>0</v>
      </c>
      <c r="M659">
        <f>IFERROR(VLOOKUP("924-025056-200",B:AB,4+8,0),0)</f>
        <v>0</v>
      </c>
      <c r="N659">
        <f>IFERROR(VLOOKUP("924-025056-200",B:AB,5+8,0),0)</f>
        <v>0</v>
      </c>
      <c r="O659">
        <f>IFERROR(VLOOKUP("924-025056-200",B:AB,6+8,0),0)</f>
        <v>0</v>
      </c>
      <c r="P659">
        <f>IFERROR(VLOOKUP("924-025056-200",B:AB,7+8,0),0)</f>
        <v>0</v>
      </c>
      <c r="Q659">
        <f>IFERROR(VLOOKUP("924-025056-200",B:AB,8+8,0),0)</f>
        <v>0</v>
      </c>
      <c r="R659">
        <f>IFERROR(VLOOKUP("924-025056-200",B:AB,9+8,0),0)</f>
        <v>0</v>
      </c>
      <c r="S659">
        <f>IFERROR(VLOOKUP("924-025056-200",B:AB,10+8,0),0)</f>
        <v>0</v>
      </c>
      <c r="T659">
        <f>IFERROR(VLOOKUP("924-025056-200",B:AB,11+8,0),0)</f>
        <v>0</v>
      </c>
      <c r="U659">
        <f>IFERROR(VLOOKUP("924-025056-200",B:AB,12+8,0),0)</f>
        <v>0</v>
      </c>
      <c r="V659">
        <f>IFERROR(VLOOKUP("924-025056-200",B:AB,13+8,0),0)</f>
        <v>0</v>
      </c>
      <c r="W659">
        <f>IFERROR(VLOOKUP("924-025056-200",B:AB,14+8,0),0)</f>
        <v>0</v>
      </c>
      <c r="X659">
        <f>IFERROR(VLOOKUP("924-025056-200",B:AB,15+8,0),0)</f>
        <v>0</v>
      </c>
      <c r="Y659">
        <f>IFERROR(VLOOKUP("924-025056-200",B:AB,16+8,0),0)</f>
        <v>0</v>
      </c>
      <c r="Z659">
        <f>IFERROR(VLOOKUP("924-025056-200",B:AB,17+8,0),0)</f>
        <v>0</v>
      </c>
      <c r="AA659">
        <f>IFERROR(VLOOKUP("924-025056-200",B:AB,18+8,0),0)</f>
        <v>0</v>
      </c>
      <c r="AB659">
        <f>IFERROR(VLOOKUP("924-025056-200",B:AB,19+8,0),0)</f>
        <v>0</v>
      </c>
      <c r="AC659">
        <f>IFERROR(VLOOKUP("924-025056-200",B:AB,20+8,0),0)</f>
        <v>0</v>
      </c>
      <c r="AD659">
        <f>IFERROR(VLOOKUP("924-025056-200",B:AB,21+8,0),0)</f>
        <v>0</v>
      </c>
      <c r="AE659">
        <f>IFERROR(VLOOKUP("924-025056-200",B:AB,22+8,0),0)</f>
        <v>0</v>
      </c>
      <c r="AF659">
        <f>IFERROR(VLOOKUP("924-025056-200",B:AB,23+8,0),0)</f>
        <v>0</v>
      </c>
      <c r="AG659">
        <f>IFERROR(VLOOKUP("924-025056-200",B:AB,24+8,0),0)</f>
        <v>0</v>
      </c>
      <c r="AH659">
        <f>IFERROR(VLOOKUP("924-025056-200",B:AB,25+8,0),0)</f>
        <v>0</v>
      </c>
      <c r="AI659">
        <f>IFERROR(VLOOKUP("924-025056-200",B:AB,26+8,0),0)</f>
        <v>0</v>
      </c>
      <c r="AJ659">
        <f>IFERROR(VLOOKUP("924-025056-200",B:AB,27+8,0),0)</f>
        <v>0</v>
      </c>
      <c r="AK659">
        <f>IFERROR(VLOOKUP("924-025056-200",B:AB,28+8,0),0)</f>
        <v>0</v>
      </c>
      <c r="AL659">
        <f>IFERROR(VLOOKUP("924-025056-200",B:AB,29+8,0),0)</f>
        <v>0</v>
      </c>
      <c r="AM659">
        <f>IFERROR(VLOOKUP("924-025056-200",B:AB,30+8,0),0)</f>
        <v>0</v>
      </c>
      <c r="AN659">
        <f>IFERROR(VLOOKUP("924-025056-200",B:AB,31+8,0),0)</f>
        <v>0</v>
      </c>
      <c r="AO659">
        <f>SUN(INDIRECT(ADDRESS(658,8)):INDIRECT(ADDRESS(658,39)))</f>
        <v>0</v>
      </c>
    </row>
    <row r="660" spans="1:41">
      <c r="H660" t="s">
        <v>179</v>
      </c>
      <c r="J660">
        <f>INDIRECT(ADDRESS(660,9))+INDIRECT(ADDRESS(658,10))-INDIRECT(ADDRESS(659,10))</f>
        <v>0</v>
      </c>
      <c r="K660">
        <f>INDIRECT(ADDRESS(660,10))+INDIRECT(ADDRESS(658,11))-INDIRECT(ADDRESS(659,11))</f>
        <v>0</v>
      </c>
      <c r="L660">
        <f>INDIRECT(ADDRESS(660,11))+INDIRECT(ADDRESS(658,12))-INDIRECT(ADDRESS(659,12))</f>
        <v>0</v>
      </c>
      <c r="M660">
        <f>INDIRECT(ADDRESS(660,12))+INDIRECT(ADDRESS(658,13))-INDIRECT(ADDRESS(659,13))</f>
        <v>0</v>
      </c>
      <c r="N660">
        <f>INDIRECT(ADDRESS(660,13))+INDIRECT(ADDRESS(658,14))-INDIRECT(ADDRESS(659,14))</f>
        <v>0</v>
      </c>
      <c r="O660">
        <f>INDIRECT(ADDRESS(660,14))+INDIRECT(ADDRESS(658,15))-INDIRECT(ADDRESS(659,15))</f>
        <v>0</v>
      </c>
      <c r="P660">
        <f>INDIRECT(ADDRESS(660,15))+INDIRECT(ADDRESS(658,16))-INDIRECT(ADDRESS(659,16))</f>
        <v>0</v>
      </c>
      <c r="Q660">
        <f>INDIRECT(ADDRESS(660,16))+INDIRECT(ADDRESS(658,17))-INDIRECT(ADDRESS(659,17))</f>
        <v>0</v>
      </c>
      <c r="R660">
        <f>INDIRECT(ADDRESS(660,17))+INDIRECT(ADDRESS(658,18))-INDIRECT(ADDRESS(659,18))</f>
        <v>0</v>
      </c>
      <c r="S660">
        <f>INDIRECT(ADDRESS(660,18))+INDIRECT(ADDRESS(658,19))-INDIRECT(ADDRESS(659,19))</f>
        <v>0</v>
      </c>
      <c r="T660">
        <f>INDIRECT(ADDRESS(660,19))+INDIRECT(ADDRESS(658,20))-INDIRECT(ADDRESS(659,20))</f>
        <v>0</v>
      </c>
      <c r="U660">
        <f>INDIRECT(ADDRESS(660,20))+INDIRECT(ADDRESS(658,21))-INDIRECT(ADDRESS(659,21))</f>
        <v>0</v>
      </c>
      <c r="V660">
        <f>INDIRECT(ADDRESS(660,21))+INDIRECT(ADDRESS(658,22))-INDIRECT(ADDRESS(659,22))</f>
        <v>0</v>
      </c>
      <c r="W660">
        <f>INDIRECT(ADDRESS(660,22))+INDIRECT(ADDRESS(658,23))-INDIRECT(ADDRESS(659,23))</f>
        <v>0</v>
      </c>
      <c r="X660">
        <f>INDIRECT(ADDRESS(660,23))+INDIRECT(ADDRESS(658,24))-INDIRECT(ADDRESS(659,24))</f>
        <v>0</v>
      </c>
      <c r="Y660">
        <f>INDIRECT(ADDRESS(660,24))+INDIRECT(ADDRESS(658,25))-INDIRECT(ADDRESS(659,25))</f>
        <v>0</v>
      </c>
      <c r="Z660">
        <f>INDIRECT(ADDRESS(660,25))+INDIRECT(ADDRESS(658,26))-INDIRECT(ADDRESS(659,26))</f>
        <v>0</v>
      </c>
      <c r="AA660">
        <f>INDIRECT(ADDRESS(660,26))+INDIRECT(ADDRESS(658,27))-INDIRECT(ADDRESS(659,27))</f>
        <v>0</v>
      </c>
      <c r="AB660">
        <f>INDIRECT(ADDRESS(660,27))+INDIRECT(ADDRESS(658,28))-INDIRECT(ADDRESS(659,28))</f>
        <v>0</v>
      </c>
      <c r="AC660">
        <f>INDIRECT(ADDRESS(660,28))+INDIRECT(ADDRESS(658,29))-INDIRECT(ADDRESS(659,29))</f>
        <v>0</v>
      </c>
      <c r="AD660">
        <f>INDIRECT(ADDRESS(660,29))+INDIRECT(ADDRESS(658,30))-INDIRECT(ADDRESS(659,30))</f>
        <v>0</v>
      </c>
      <c r="AE660">
        <f>INDIRECT(ADDRESS(660,30))+INDIRECT(ADDRESS(658,31))-INDIRECT(ADDRESS(659,31))</f>
        <v>0</v>
      </c>
      <c r="AF660">
        <f>INDIRECT(ADDRESS(660,31))+INDIRECT(ADDRESS(658,32))-INDIRECT(ADDRESS(659,32))</f>
        <v>0</v>
      </c>
      <c r="AG660">
        <f>INDIRECT(ADDRESS(660,32))+INDIRECT(ADDRESS(658,33))-INDIRECT(ADDRESS(659,33))</f>
        <v>0</v>
      </c>
      <c r="AH660">
        <f>INDIRECT(ADDRESS(660,33))+INDIRECT(ADDRESS(658,34))-INDIRECT(ADDRESS(659,34))</f>
        <v>0</v>
      </c>
      <c r="AI660">
        <f>INDIRECT(ADDRESS(660,34))+INDIRECT(ADDRESS(658,35))-INDIRECT(ADDRESS(659,35))</f>
        <v>0</v>
      </c>
      <c r="AJ660">
        <f>INDIRECT(ADDRESS(660,35))+INDIRECT(ADDRESS(658,36))-INDIRECT(ADDRESS(659,36))</f>
        <v>0</v>
      </c>
      <c r="AK660">
        <f>INDIRECT(ADDRESS(660,36))+INDIRECT(ADDRESS(658,37))-INDIRECT(ADDRESS(659,37))</f>
        <v>0</v>
      </c>
      <c r="AL660">
        <f>INDIRECT(ADDRESS(660,37))+INDIRECT(ADDRESS(658,38))-INDIRECT(ADDRESS(659,38))</f>
        <v>0</v>
      </c>
      <c r="AM660">
        <f>INDIRECT(ADDRESS(660,38))+INDIRECT(ADDRESS(658,39))-INDIRECT(ADDRESS(659,39))</f>
        <v>0</v>
      </c>
      <c r="AN660">
        <f>INDIRECT(ADDRESS(660,39))+INDIRECT(ADDRESS(658,40))-INDIRECT(ADDRESS(659,40))</f>
        <v>0</v>
      </c>
      <c r="AO660">
        <f>SUM(INDIRECT(ADDRESS(659,8)):INDIRECT(ADDRESS(659,39)))</f>
        <v>0</v>
      </c>
    </row>
    <row r="661" spans="1:41">
      <c r="A661" t="s">
        <v>185</v>
      </c>
      <c r="B661" t="s">
        <v>55</v>
      </c>
      <c r="C661" t="s">
        <v>415</v>
      </c>
      <c r="E661">
        <v>4</v>
      </c>
      <c r="I661" t="s">
        <v>177</v>
      </c>
    </row>
    <row r="662" spans="1:41">
      <c r="I662" t="s">
        <v>178</v>
      </c>
      <c r="J662">
        <f>IFERROR(VLOOKUP("924-025056-200",B:AB,1+8,0),0)</f>
        <v>0</v>
      </c>
      <c r="K662">
        <f>IFERROR(VLOOKUP("924-025056-200",B:AB,2+8,0),0)</f>
        <v>0</v>
      </c>
      <c r="L662">
        <f>IFERROR(VLOOKUP("924-025056-200",B:AB,3+8,0),0)</f>
        <v>0</v>
      </c>
      <c r="M662">
        <f>IFERROR(VLOOKUP("924-025056-200",B:AB,4+8,0),0)</f>
        <v>0</v>
      </c>
      <c r="N662">
        <f>IFERROR(VLOOKUP("924-025056-200",B:AB,5+8,0),0)</f>
        <v>0</v>
      </c>
      <c r="O662">
        <f>IFERROR(VLOOKUP("924-025056-200",B:AB,6+8,0),0)</f>
        <v>0</v>
      </c>
      <c r="P662">
        <f>IFERROR(VLOOKUP("924-025056-200",B:AB,7+8,0),0)</f>
        <v>0</v>
      </c>
      <c r="Q662">
        <f>IFERROR(VLOOKUP("924-025056-200",B:AB,8+8,0),0)</f>
        <v>0</v>
      </c>
      <c r="R662">
        <f>IFERROR(VLOOKUP("924-025056-200",B:AB,9+8,0),0)</f>
        <v>0</v>
      </c>
      <c r="S662">
        <f>IFERROR(VLOOKUP("924-025056-200",B:AB,10+8,0),0)</f>
        <v>0</v>
      </c>
      <c r="T662">
        <f>IFERROR(VLOOKUP("924-025056-200",B:AB,11+8,0),0)</f>
        <v>0</v>
      </c>
      <c r="U662">
        <f>IFERROR(VLOOKUP("924-025056-200",B:AB,12+8,0),0)</f>
        <v>0</v>
      </c>
      <c r="V662">
        <f>IFERROR(VLOOKUP("924-025056-200",B:AB,13+8,0),0)</f>
        <v>0</v>
      </c>
      <c r="W662">
        <f>IFERROR(VLOOKUP("924-025056-200",B:AB,14+8,0),0)</f>
        <v>0</v>
      </c>
      <c r="X662">
        <f>IFERROR(VLOOKUP("924-025056-200",B:AB,15+8,0),0)</f>
        <v>0</v>
      </c>
      <c r="Y662">
        <f>IFERROR(VLOOKUP("924-025056-200",B:AB,16+8,0),0)</f>
        <v>0</v>
      </c>
      <c r="Z662">
        <f>IFERROR(VLOOKUP("924-025056-200",B:AB,17+8,0),0)</f>
        <v>0</v>
      </c>
      <c r="AA662">
        <f>IFERROR(VLOOKUP("924-025056-200",B:AB,18+8,0),0)</f>
        <v>0</v>
      </c>
      <c r="AB662">
        <f>IFERROR(VLOOKUP("924-025056-200",B:AB,19+8,0),0)</f>
        <v>0</v>
      </c>
      <c r="AC662">
        <f>IFERROR(VLOOKUP("924-025056-200",B:AB,20+8,0),0)</f>
        <v>0</v>
      </c>
      <c r="AD662">
        <f>IFERROR(VLOOKUP("924-025056-200",B:AB,21+8,0),0)</f>
        <v>0</v>
      </c>
      <c r="AE662">
        <f>IFERROR(VLOOKUP("924-025056-200",B:AB,22+8,0),0)</f>
        <v>0</v>
      </c>
      <c r="AF662">
        <f>IFERROR(VLOOKUP("924-025056-200",B:AB,23+8,0),0)</f>
        <v>0</v>
      </c>
      <c r="AG662">
        <f>IFERROR(VLOOKUP("924-025056-200",B:AB,24+8,0),0)</f>
        <v>0</v>
      </c>
      <c r="AH662">
        <f>IFERROR(VLOOKUP("924-025056-200",B:AB,25+8,0),0)</f>
        <v>0</v>
      </c>
      <c r="AI662">
        <f>IFERROR(VLOOKUP("924-025056-200",B:AB,26+8,0),0)</f>
        <v>0</v>
      </c>
      <c r="AJ662">
        <f>IFERROR(VLOOKUP("924-025056-200",B:AB,27+8,0),0)</f>
        <v>0</v>
      </c>
      <c r="AK662">
        <f>IFERROR(VLOOKUP("924-025056-200",B:AB,28+8,0),0)</f>
        <v>0</v>
      </c>
      <c r="AL662">
        <f>IFERROR(VLOOKUP("924-025056-200",B:AB,29+8,0),0)</f>
        <v>0</v>
      </c>
      <c r="AM662">
        <f>IFERROR(VLOOKUP("924-025056-200",B:AB,30+8,0),0)</f>
        <v>0</v>
      </c>
      <c r="AN662">
        <f>IFERROR(VLOOKUP("924-025056-200",B:AB,31+8,0),0)</f>
        <v>0</v>
      </c>
      <c r="AO662">
        <f>SUN(INDIRECT(ADDRESS(661,8)):INDIRECT(ADDRESS(661,39)))</f>
        <v>0</v>
      </c>
    </row>
    <row r="663" spans="1:41">
      <c r="H663" t="s">
        <v>179</v>
      </c>
      <c r="J663">
        <f>INDIRECT(ADDRESS(663,9))+INDIRECT(ADDRESS(661,10))-INDIRECT(ADDRESS(662,10))</f>
        <v>0</v>
      </c>
      <c r="K663">
        <f>INDIRECT(ADDRESS(663,10))+INDIRECT(ADDRESS(661,11))-INDIRECT(ADDRESS(662,11))</f>
        <v>0</v>
      </c>
      <c r="L663">
        <f>INDIRECT(ADDRESS(663,11))+INDIRECT(ADDRESS(661,12))-INDIRECT(ADDRESS(662,12))</f>
        <v>0</v>
      </c>
      <c r="M663">
        <f>INDIRECT(ADDRESS(663,12))+INDIRECT(ADDRESS(661,13))-INDIRECT(ADDRESS(662,13))</f>
        <v>0</v>
      </c>
      <c r="N663">
        <f>INDIRECT(ADDRESS(663,13))+INDIRECT(ADDRESS(661,14))-INDIRECT(ADDRESS(662,14))</f>
        <v>0</v>
      </c>
      <c r="O663">
        <f>INDIRECT(ADDRESS(663,14))+INDIRECT(ADDRESS(661,15))-INDIRECT(ADDRESS(662,15))</f>
        <v>0</v>
      </c>
      <c r="P663">
        <f>INDIRECT(ADDRESS(663,15))+INDIRECT(ADDRESS(661,16))-INDIRECT(ADDRESS(662,16))</f>
        <v>0</v>
      </c>
      <c r="Q663">
        <f>INDIRECT(ADDRESS(663,16))+INDIRECT(ADDRESS(661,17))-INDIRECT(ADDRESS(662,17))</f>
        <v>0</v>
      </c>
      <c r="R663">
        <f>INDIRECT(ADDRESS(663,17))+INDIRECT(ADDRESS(661,18))-INDIRECT(ADDRESS(662,18))</f>
        <v>0</v>
      </c>
      <c r="S663">
        <f>INDIRECT(ADDRESS(663,18))+INDIRECT(ADDRESS(661,19))-INDIRECT(ADDRESS(662,19))</f>
        <v>0</v>
      </c>
      <c r="T663">
        <f>INDIRECT(ADDRESS(663,19))+INDIRECT(ADDRESS(661,20))-INDIRECT(ADDRESS(662,20))</f>
        <v>0</v>
      </c>
      <c r="U663">
        <f>INDIRECT(ADDRESS(663,20))+INDIRECT(ADDRESS(661,21))-INDIRECT(ADDRESS(662,21))</f>
        <v>0</v>
      </c>
      <c r="V663">
        <f>INDIRECT(ADDRESS(663,21))+INDIRECT(ADDRESS(661,22))-INDIRECT(ADDRESS(662,22))</f>
        <v>0</v>
      </c>
      <c r="W663">
        <f>INDIRECT(ADDRESS(663,22))+INDIRECT(ADDRESS(661,23))-INDIRECT(ADDRESS(662,23))</f>
        <v>0</v>
      </c>
      <c r="X663">
        <f>INDIRECT(ADDRESS(663,23))+INDIRECT(ADDRESS(661,24))-INDIRECT(ADDRESS(662,24))</f>
        <v>0</v>
      </c>
      <c r="Y663">
        <f>INDIRECT(ADDRESS(663,24))+INDIRECT(ADDRESS(661,25))-INDIRECT(ADDRESS(662,25))</f>
        <v>0</v>
      </c>
      <c r="Z663">
        <f>INDIRECT(ADDRESS(663,25))+INDIRECT(ADDRESS(661,26))-INDIRECT(ADDRESS(662,26))</f>
        <v>0</v>
      </c>
      <c r="AA663">
        <f>INDIRECT(ADDRESS(663,26))+INDIRECT(ADDRESS(661,27))-INDIRECT(ADDRESS(662,27))</f>
        <v>0</v>
      </c>
      <c r="AB663">
        <f>INDIRECT(ADDRESS(663,27))+INDIRECT(ADDRESS(661,28))-INDIRECT(ADDRESS(662,28))</f>
        <v>0</v>
      </c>
      <c r="AC663">
        <f>INDIRECT(ADDRESS(663,28))+INDIRECT(ADDRESS(661,29))-INDIRECT(ADDRESS(662,29))</f>
        <v>0</v>
      </c>
      <c r="AD663">
        <f>INDIRECT(ADDRESS(663,29))+INDIRECT(ADDRESS(661,30))-INDIRECT(ADDRESS(662,30))</f>
        <v>0</v>
      </c>
      <c r="AE663">
        <f>INDIRECT(ADDRESS(663,30))+INDIRECT(ADDRESS(661,31))-INDIRECT(ADDRESS(662,31))</f>
        <v>0</v>
      </c>
      <c r="AF663">
        <f>INDIRECT(ADDRESS(663,31))+INDIRECT(ADDRESS(661,32))-INDIRECT(ADDRESS(662,32))</f>
        <v>0</v>
      </c>
      <c r="AG663">
        <f>INDIRECT(ADDRESS(663,32))+INDIRECT(ADDRESS(661,33))-INDIRECT(ADDRESS(662,33))</f>
        <v>0</v>
      </c>
      <c r="AH663">
        <f>INDIRECT(ADDRESS(663,33))+INDIRECT(ADDRESS(661,34))-INDIRECT(ADDRESS(662,34))</f>
        <v>0</v>
      </c>
      <c r="AI663">
        <f>INDIRECT(ADDRESS(663,34))+INDIRECT(ADDRESS(661,35))-INDIRECT(ADDRESS(662,35))</f>
        <v>0</v>
      </c>
      <c r="AJ663">
        <f>INDIRECT(ADDRESS(663,35))+INDIRECT(ADDRESS(661,36))-INDIRECT(ADDRESS(662,36))</f>
        <v>0</v>
      </c>
      <c r="AK663">
        <f>INDIRECT(ADDRESS(663,36))+INDIRECT(ADDRESS(661,37))-INDIRECT(ADDRESS(662,37))</f>
        <v>0</v>
      </c>
      <c r="AL663">
        <f>INDIRECT(ADDRESS(663,37))+INDIRECT(ADDRESS(661,38))-INDIRECT(ADDRESS(662,38))</f>
        <v>0</v>
      </c>
      <c r="AM663">
        <f>INDIRECT(ADDRESS(663,38))+INDIRECT(ADDRESS(661,39))-INDIRECT(ADDRESS(662,39))</f>
        <v>0</v>
      </c>
      <c r="AN663">
        <f>INDIRECT(ADDRESS(663,39))+INDIRECT(ADDRESS(661,40))-INDIRECT(ADDRESS(662,40))</f>
        <v>0</v>
      </c>
      <c r="AO663">
        <f>SUM(INDIRECT(ADDRESS(662,8)):INDIRECT(ADDRESS(662,39)))</f>
        <v>0</v>
      </c>
    </row>
    <row r="664" spans="1:41">
      <c r="A664" t="s">
        <v>185</v>
      </c>
      <c r="B664" t="s">
        <v>55</v>
      </c>
      <c r="C664" t="s">
        <v>416</v>
      </c>
      <c r="E664">
        <v>1</v>
      </c>
      <c r="I664" t="s">
        <v>177</v>
      </c>
    </row>
    <row r="665" spans="1:41">
      <c r="I665" t="s">
        <v>178</v>
      </c>
      <c r="J665">
        <f>IFERROR(VLOOKUP("924-025056-200",B:AB,1+8,0),0)</f>
        <v>0</v>
      </c>
      <c r="K665">
        <f>IFERROR(VLOOKUP("924-025056-200",B:AB,2+8,0),0)</f>
        <v>0</v>
      </c>
      <c r="L665">
        <f>IFERROR(VLOOKUP("924-025056-200",B:AB,3+8,0),0)</f>
        <v>0</v>
      </c>
      <c r="M665">
        <f>IFERROR(VLOOKUP("924-025056-200",B:AB,4+8,0),0)</f>
        <v>0</v>
      </c>
      <c r="N665">
        <f>IFERROR(VLOOKUP("924-025056-200",B:AB,5+8,0),0)</f>
        <v>0</v>
      </c>
      <c r="O665">
        <f>IFERROR(VLOOKUP("924-025056-200",B:AB,6+8,0),0)</f>
        <v>0</v>
      </c>
      <c r="P665">
        <f>IFERROR(VLOOKUP("924-025056-200",B:AB,7+8,0),0)</f>
        <v>0</v>
      </c>
      <c r="Q665">
        <f>IFERROR(VLOOKUP("924-025056-200",B:AB,8+8,0),0)</f>
        <v>0</v>
      </c>
      <c r="R665">
        <f>IFERROR(VLOOKUP("924-025056-200",B:AB,9+8,0),0)</f>
        <v>0</v>
      </c>
      <c r="S665">
        <f>IFERROR(VLOOKUP("924-025056-200",B:AB,10+8,0),0)</f>
        <v>0</v>
      </c>
      <c r="T665">
        <f>IFERROR(VLOOKUP("924-025056-200",B:AB,11+8,0),0)</f>
        <v>0</v>
      </c>
      <c r="U665">
        <f>IFERROR(VLOOKUP("924-025056-200",B:AB,12+8,0),0)</f>
        <v>0</v>
      </c>
      <c r="V665">
        <f>IFERROR(VLOOKUP("924-025056-200",B:AB,13+8,0),0)</f>
        <v>0</v>
      </c>
      <c r="W665">
        <f>IFERROR(VLOOKUP("924-025056-200",B:AB,14+8,0),0)</f>
        <v>0</v>
      </c>
      <c r="X665">
        <f>IFERROR(VLOOKUP("924-025056-200",B:AB,15+8,0),0)</f>
        <v>0</v>
      </c>
      <c r="Y665">
        <f>IFERROR(VLOOKUP("924-025056-200",B:AB,16+8,0),0)</f>
        <v>0</v>
      </c>
      <c r="Z665">
        <f>IFERROR(VLOOKUP("924-025056-200",B:AB,17+8,0),0)</f>
        <v>0</v>
      </c>
      <c r="AA665">
        <f>IFERROR(VLOOKUP("924-025056-200",B:AB,18+8,0),0)</f>
        <v>0</v>
      </c>
      <c r="AB665">
        <f>IFERROR(VLOOKUP("924-025056-200",B:AB,19+8,0),0)</f>
        <v>0</v>
      </c>
      <c r="AC665">
        <f>IFERROR(VLOOKUP("924-025056-200",B:AB,20+8,0),0)</f>
        <v>0</v>
      </c>
      <c r="AD665">
        <f>IFERROR(VLOOKUP("924-025056-200",B:AB,21+8,0),0)</f>
        <v>0</v>
      </c>
      <c r="AE665">
        <f>IFERROR(VLOOKUP("924-025056-200",B:AB,22+8,0),0)</f>
        <v>0</v>
      </c>
      <c r="AF665">
        <f>IFERROR(VLOOKUP("924-025056-200",B:AB,23+8,0),0)</f>
        <v>0</v>
      </c>
      <c r="AG665">
        <f>IFERROR(VLOOKUP("924-025056-200",B:AB,24+8,0),0)</f>
        <v>0</v>
      </c>
      <c r="AH665">
        <f>IFERROR(VLOOKUP("924-025056-200",B:AB,25+8,0),0)</f>
        <v>0</v>
      </c>
      <c r="AI665">
        <f>IFERROR(VLOOKUP("924-025056-200",B:AB,26+8,0),0)</f>
        <v>0</v>
      </c>
      <c r="AJ665">
        <f>IFERROR(VLOOKUP("924-025056-200",B:AB,27+8,0),0)</f>
        <v>0</v>
      </c>
      <c r="AK665">
        <f>IFERROR(VLOOKUP("924-025056-200",B:AB,28+8,0),0)</f>
        <v>0</v>
      </c>
      <c r="AL665">
        <f>IFERROR(VLOOKUP("924-025056-200",B:AB,29+8,0),0)</f>
        <v>0</v>
      </c>
      <c r="AM665">
        <f>IFERROR(VLOOKUP("924-025056-200",B:AB,30+8,0),0)</f>
        <v>0</v>
      </c>
      <c r="AN665">
        <f>IFERROR(VLOOKUP("924-025056-200",B:AB,31+8,0),0)</f>
        <v>0</v>
      </c>
      <c r="AO665">
        <f>SUN(INDIRECT(ADDRESS(664,8)):INDIRECT(ADDRESS(664,39)))</f>
        <v>0</v>
      </c>
    </row>
    <row r="666" spans="1:41">
      <c r="H666" t="s">
        <v>179</v>
      </c>
      <c r="J666">
        <f>INDIRECT(ADDRESS(666,9))+INDIRECT(ADDRESS(664,10))-INDIRECT(ADDRESS(665,10))</f>
        <v>0</v>
      </c>
      <c r="K666">
        <f>INDIRECT(ADDRESS(666,10))+INDIRECT(ADDRESS(664,11))-INDIRECT(ADDRESS(665,11))</f>
        <v>0</v>
      </c>
      <c r="L666">
        <f>INDIRECT(ADDRESS(666,11))+INDIRECT(ADDRESS(664,12))-INDIRECT(ADDRESS(665,12))</f>
        <v>0</v>
      </c>
      <c r="M666">
        <f>INDIRECT(ADDRESS(666,12))+INDIRECT(ADDRESS(664,13))-INDIRECT(ADDRESS(665,13))</f>
        <v>0</v>
      </c>
      <c r="N666">
        <f>INDIRECT(ADDRESS(666,13))+INDIRECT(ADDRESS(664,14))-INDIRECT(ADDRESS(665,14))</f>
        <v>0</v>
      </c>
      <c r="O666">
        <f>INDIRECT(ADDRESS(666,14))+INDIRECT(ADDRESS(664,15))-INDIRECT(ADDRESS(665,15))</f>
        <v>0</v>
      </c>
      <c r="P666">
        <f>INDIRECT(ADDRESS(666,15))+INDIRECT(ADDRESS(664,16))-INDIRECT(ADDRESS(665,16))</f>
        <v>0</v>
      </c>
      <c r="Q666">
        <f>INDIRECT(ADDRESS(666,16))+INDIRECT(ADDRESS(664,17))-INDIRECT(ADDRESS(665,17))</f>
        <v>0</v>
      </c>
      <c r="R666">
        <f>INDIRECT(ADDRESS(666,17))+INDIRECT(ADDRESS(664,18))-INDIRECT(ADDRESS(665,18))</f>
        <v>0</v>
      </c>
      <c r="S666">
        <f>INDIRECT(ADDRESS(666,18))+INDIRECT(ADDRESS(664,19))-INDIRECT(ADDRESS(665,19))</f>
        <v>0</v>
      </c>
      <c r="T666">
        <f>INDIRECT(ADDRESS(666,19))+INDIRECT(ADDRESS(664,20))-INDIRECT(ADDRESS(665,20))</f>
        <v>0</v>
      </c>
      <c r="U666">
        <f>INDIRECT(ADDRESS(666,20))+INDIRECT(ADDRESS(664,21))-INDIRECT(ADDRESS(665,21))</f>
        <v>0</v>
      </c>
      <c r="V666">
        <f>INDIRECT(ADDRESS(666,21))+INDIRECT(ADDRESS(664,22))-INDIRECT(ADDRESS(665,22))</f>
        <v>0</v>
      </c>
      <c r="W666">
        <f>INDIRECT(ADDRESS(666,22))+INDIRECT(ADDRESS(664,23))-INDIRECT(ADDRESS(665,23))</f>
        <v>0</v>
      </c>
      <c r="X666">
        <f>INDIRECT(ADDRESS(666,23))+INDIRECT(ADDRESS(664,24))-INDIRECT(ADDRESS(665,24))</f>
        <v>0</v>
      </c>
      <c r="Y666">
        <f>INDIRECT(ADDRESS(666,24))+INDIRECT(ADDRESS(664,25))-INDIRECT(ADDRESS(665,25))</f>
        <v>0</v>
      </c>
      <c r="Z666">
        <f>INDIRECT(ADDRESS(666,25))+INDIRECT(ADDRESS(664,26))-INDIRECT(ADDRESS(665,26))</f>
        <v>0</v>
      </c>
      <c r="AA666">
        <f>INDIRECT(ADDRESS(666,26))+INDIRECT(ADDRESS(664,27))-INDIRECT(ADDRESS(665,27))</f>
        <v>0</v>
      </c>
      <c r="AB666">
        <f>INDIRECT(ADDRESS(666,27))+INDIRECT(ADDRESS(664,28))-INDIRECT(ADDRESS(665,28))</f>
        <v>0</v>
      </c>
      <c r="AC666">
        <f>INDIRECT(ADDRESS(666,28))+INDIRECT(ADDRESS(664,29))-INDIRECT(ADDRESS(665,29))</f>
        <v>0</v>
      </c>
      <c r="AD666">
        <f>INDIRECT(ADDRESS(666,29))+INDIRECT(ADDRESS(664,30))-INDIRECT(ADDRESS(665,30))</f>
        <v>0</v>
      </c>
      <c r="AE666">
        <f>INDIRECT(ADDRESS(666,30))+INDIRECT(ADDRESS(664,31))-INDIRECT(ADDRESS(665,31))</f>
        <v>0</v>
      </c>
      <c r="AF666">
        <f>INDIRECT(ADDRESS(666,31))+INDIRECT(ADDRESS(664,32))-INDIRECT(ADDRESS(665,32))</f>
        <v>0</v>
      </c>
      <c r="AG666">
        <f>INDIRECT(ADDRESS(666,32))+INDIRECT(ADDRESS(664,33))-INDIRECT(ADDRESS(665,33))</f>
        <v>0</v>
      </c>
      <c r="AH666">
        <f>INDIRECT(ADDRESS(666,33))+INDIRECT(ADDRESS(664,34))-INDIRECT(ADDRESS(665,34))</f>
        <v>0</v>
      </c>
      <c r="AI666">
        <f>INDIRECT(ADDRESS(666,34))+INDIRECT(ADDRESS(664,35))-INDIRECT(ADDRESS(665,35))</f>
        <v>0</v>
      </c>
      <c r="AJ666">
        <f>INDIRECT(ADDRESS(666,35))+INDIRECT(ADDRESS(664,36))-INDIRECT(ADDRESS(665,36))</f>
        <v>0</v>
      </c>
      <c r="AK666">
        <f>INDIRECT(ADDRESS(666,36))+INDIRECT(ADDRESS(664,37))-INDIRECT(ADDRESS(665,37))</f>
        <v>0</v>
      </c>
      <c r="AL666">
        <f>INDIRECT(ADDRESS(666,37))+INDIRECT(ADDRESS(664,38))-INDIRECT(ADDRESS(665,38))</f>
        <v>0</v>
      </c>
      <c r="AM666">
        <f>INDIRECT(ADDRESS(666,38))+INDIRECT(ADDRESS(664,39))-INDIRECT(ADDRESS(665,39))</f>
        <v>0</v>
      </c>
      <c r="AN666">
        <f>INDIRECT(ADDRESS(666,39))+INDIRECT(ADDRESS(664,40))-INDIRECT(ADDRESS(665,40))</f>
        <v>0</v>
      </c>
      <c r="AO666">
        <f>SUM(INDIRECT(ADDRESS(665,8)):INDIRECT(ADDRESS(665,39)))</f>
        <v>0</v>
      </c>
    </row>
    <row r="667" spans="1:41">
      <c r="A667" t="s">
        <v>238</v>
      </c>
      <c r="B667" t="s">
        <v>55</v>
      </c>
      <c r="C667" t="s">
        <v>420</v>
      </c>
      <c r="E667">
        <v>0.05</v>
      </c>
      <c r="I667" t="s">
        <v>177</v>
      </c>
    </row>
    <row r="668" spans="1:41">
      <c r="I668" t="s">
        <v>178</v>
      </c>
      <c r="J668">
        <f>IFERROR(VLOOKUP("924-025056-200",B:AB,1+8,0),0)</f>
        <v>0</v>
      </c>
      <c r="K668">
        <f>IFERROR(VLOOKUP("924-025056-200",B:AB,2+8,0),0)</f>
        <v>0</v>
      </c>
      <c r="L668">
        <f>IFERROR(VLOOKUP("924-025056-200",B:AB,3+8,0),0)</f>
        <v>0</v>
      </c>
      <c r="M668">
        <f>IFERROR(VLOOKUP("924-025056-200",B:AB,4+8,0),0)</f>
        <v>0</v>
      </c>
      <c r="N668">
        <f>IFERROR(VLOOKUP("924-025056-200",B:AB,5+8,0),0)</f>
        <v>0</v>
      </c>
      <c r="O668">
        <f>IFERROR(VLOOKUP("924-025056-200",B:AB,6+8,0),0)</f>
        <v>0</v>
      </c>
      <c r="P668">
        <f>IFERROR(VLOOKUP("924-025056-200",B:AB,7+8,0),0)</f>
        <v>0</v>
      </c>
      <c r="Q668">
        <f>IFERROR(VLOOKUP("924-025056-200",B:AB,8+8,0),0)</f>
        <v>0</v>
      </c>
      <c r="R668">
        <f>IFERROR(VLOOKUP("924-025056-200",B:AB,9+8,0),0)</f>
        <v>0</v>
      </c>
      <c r="S668">
        <f>IFERROR(VLOOKUP("924-025056-200",B:AB,10+8,0),0)</f>
        <v>0</v>
      </c>
      <c r="T668">
        <f>IFERROR(VLOOKUP("924-025056-200",B:AB,11+8,0),0)</f>
        <v>0</v>
      </c>
      <c r="U668">
        <f>IFERROR(VLOOKUP("924-025056-200",B:AB,12+8,0),0)</f>
        <v>0</v>
      </c>
      <c r="V668">
        <f>IFERROR(VLOOKUP("924-025056-200",B:AB,13+8,0),0)</f>
        <v>0</v>
      </c>
      <c r="W668">
        <f>IFERROR(VLOOKUP("924-025056-200",B:AB,14+8,0),0)</f>
        <v>0</v>
      </c>
      <c r="X668">
        <f>IFERROR(VLOOKUP("924-025056-200",B:AB,15+8,0),0)</f>
        <v>0</v>
      </c>
      <c r="Y668">
        <f>IFERROR(VLOOKUP("924-025056-200",B:AB,16+8,0),0)</f>
        <v>0</v>
      </c>
      <c r="Z668">
        <f>IFERROR(VLOOKUP("924-025056-200",B:AB,17+8,0),0)</f>
        <v>0</v>
      </c>
      <c r="AA668">
        <f>IFERROR(VLOOKUP("924-025056-200",B:AB,18+8,0),0)</f>
        <v>0</v>
      </c>
      <c r="AB668">
        <f>IFERROR(VLOOKUP("924-025056-200",B:AB,19+8,0),0)</f>
        <v>0</v>
      </c>
      <c r="AC668">
        <f>IFERROR(VLOOKUP("924-025056-200",B:AB,20+8,0),0)</f>
        <v>0</v>
      </c>
      <c r="AD668">
        <f>IFERROR(VLOOKUP("924-025056-200",B:AB,21+8,0),0)</f>
        <v>0</v>
      </c>
      <c r="AE668">
        <f>IFERROR(VLOOKUP("924-025056-200",B:AB,22+8,0),0)</f>
        <v>0</v>
      </c>
      <c r="AF668">
        <f>IFERROR(VLOOKUP("924-025056-200",B:AB,23+8,0),0)</f>
        <v>0</v>
      </c>
      <c r="AG668">
        <f>IFERROR(VLOOKUP("924-025056-200",B:AB,24+8,0),0)</f>
        <v>0</v>
      </c>
      <c r="AH668">
        <f>IFERROR(VLOOKUP("924-025056-200",B:AB,25+8,0),0)</f>
        <v>0</v>
      </c>
      <c r="AI668">
        <f>IFERROR(VLOOKUP("924-025056-200",B:AB,26+8,0),0)</f>
        <v>0</v>
      </c>
      <c r="AJ668">
        <f>IFERROR(VLOOKUP("924-025056-200",B:AB,27+8,0),0)</f>
        <v>0</v>
      </c>
      <c r="AK668">
        <f>IFERROR(VLOOKUP("924-025056-200",B:AB,28+8,0),0)</f>
        <v>0</v>
      </c>
      <c r="AL668">
        <f>IFERROR(VLOOKUP("924-025056-200",B:AB,29+8,0),0)</f>
        <v>0</v>
      </c>
      <c r="AM668">
        <f>IFERROR(VLOOKUP("924-025056-200",B:AB,30+8,0),0)</f>
        <v>0</v>
      </c>
      <c r="AN668">
        <f>IFERROR(VLOOKUP("924-025056-200",B:AB,31+8,0),0)</f>
        <v>0</v>
      </c>
      <c r="AO668">
        <f>SUN(INDIRECT(ADDRESS(667,8)):INDIRECT(ADDRESS(667,39)))</f>
        <v>0</v>
      </c>
    </row>
    <row r="669" spans="1:41">
      <c r="H669" t="s">
        <v>179</v>
      </c>
      <c r="J669">
        <f>INDIRECT(ADDRESS(669,9))+INDIRECT(ADDRESS(667,10))-INDIRECT(ADDRESS(668,10))</f>
        <v>0</v>
      </c>
      <c r="K669">
        <f>INDIRECT(ADDRESS(669,10))+INDIRECT(ADDRESS(667,11))-INDIRECT(ADDRESS(668,11))</f>
        <v>0</v>
      </c>
      <c r="L669">
        <f>INDIRECT(ADDRESS(669,11))+INDIRECT(ADDRESS(667,12))-INDIRECT(ADDRESS(668,12))</f>
        <v>0</v>
      </c>
      <c r="M669">
        <f>INDIRECT(ADDRESS(669,12))+INDIRECT(ADDRESS(667,13))-INDIRECT(ADDRESS(668,13))</f>
        <v>0</v>
      </c>
      <c r="N669">
        <f>INDIRECT(ADDRESS(669,13))+INDIRECT(ADDRESS(667,14))-INDIRECT(ADDRESS(668,14))</f>
        <v>0</v>
      </c>
      <c r="O669">
        <f>INDIRECT(ADDRESS(669,14))+INDIRECT(ADDRESS(667,15))-INDIRECT(ADDRESS(668,15))</f>
        <v>0</v>
      </c>
      <c r="P669">
        <f>INDIRECT(ADDRESS(669,15))+INDIRECT(ADDRESS(667,16))-INDIRECT(ADDRESS(668,16))</f>
        <v>0</v>
      </c>
      <c r="Q669">
        <f>INDIRECT(ADDRESS(669,16))+INDIRECT(ADDRESS(667,17))-INDIRECT(ADDRESS(668,17))</f>
        <v>0</v>
      </c>
      <c r="R669">
        <f>INDIRECT(ADDRESS(669,17))+INDIRECT(ADDRESS(667,18))-INDIRECT(ADDRESS(668,18))</f>
        <v>0</v>
      </c>
      <c r="S669">
        <f>INDIRECT(ADDRESS(669,18))+INDIRECT(ADDRESS(667,19))-INDIRECT(ADDRESS(668,19))</f>
        <v>0</v>
      </c>
      <c r="T669">
        <f>INDIRECT(ADDRESS(669,19))+INDIRECT(ADDRESS(667,20))-INDIRECT(ADDRESS(668,20))</f>
        <v>0</v>
      </c>
      <c r="U669">
        <f>INDIRECT(ADDRESS(669,20))+INDIRECT(ADDRESS(667,21))-INDIRECT(ADDRESS(668,21))</f>
        <v>0</v>
      </c>
      <c r="V669">
        <f>INDIRECT(ADDRESS(669,21))+INDIRECT(ADDRESS(667,22))-INDIRECT(ADDRESS(668,22))</f>
        <v>0</v>
      </c>
      <c r="W669">
        <f>INDIRECT(ADDRESS(669,22))+INDIRECT(ADDRESS(667,23))-INDIRECT(ADDRESS(668,23))</f>
        <v>0</v>
      </c>
      <c r="X669">
        <f>INDIRECT(ADDRESS(669,23))+INDIRECT(ADDRESS(667,24))-INDIRECT(ADDRESS(668,24))</f>
        <v>0</v>
      </c>
      <c r="Y669">
        <f>INDIRECT(ADDRESS(669,24))+INDIRECT(ADDRESS(667,25))-INDIRECT(ADDRESS(668,25))</f>
        <v>0</v>
      </c>
      <c r="Z669">
        <f>INDIRECT(ADDRESS(669,25))+INDIRECT(ADDRESS(667,26))-INDIRECT(ADDRESS(668,26))</f>
        <v>0</v>
      </c>
      <c r="AA669">
        <f>INDIRECT(ADDRESS(669,26))+INDIRECT(ADDRESS(667,27))-INDIRECT(ADDRESS(668,27))</f>
        <v>0</v>
      </c>
      <c r="AB669">
        <f>INDIRECT(ADDRESS(669,27))+INDIRECT(ADDRESS(667,28))-INDIRECT(ADDRESS(668,28))</f>
        <v>0</v>
      </c>
      <c r="AC669">
        <f>INDIRECT(ADDRESS(669,28))+INDIRECT(ADDRESS(667,29))-INDIRECT(ADDRESS(668,29))</f>
        <v>0</v>
      </c>
      <c r="AD669">
        <f>INDIRECT(ADDRESS(669,29))+INDIRECT(ADDRESS(667,30))-INDIRECT(ADDRESS(668,30))</f>
        <v>0</v>
      </c>
      <c r="AE669">
        <f>INDIRECT(ADDRESS(669,30))+INDIRECT(ADDRESS(667,31))-INDIRECT(ADDRESS(668,31))</f>
        <v>0</v>
      </c>
      <c r="AF669">
        <f>INDIRECT(ADDRESS(669,31))+INDIRECT(ADDRESS(667,32))-INDIRECT(ADDRESS(668,32))</f>
        <v>0</v>
      </c>
      <c r="AG669">
        <f>INDIRECT(ADDRESS(669,32))+INDIRECT(ADDRESS(667,33))-INDIRECT(ADDRESS(668,33))</f>
        <v>0</v>
      </c>
      <c r="AH669">
        <f>INDIRECT(ADDRESS(669,33))+INDIRECT(ADDRESS(667,34))-INDIRECT(ADDRESS(668,34))</f>
        <v>0</v>
      </c>
      <c r="AI669">
        <f>INDIRECT(ADDRESS(669,34))+INDIRECT(ADDRESS(667,35))-INDIRECT(ADDRESS(668,35))</f>
        <v>0</v>
      </c>
      <c r="AJ669">
        <f>INDIRECT(ADDRESS(669,35))+INDIRECT(ADDRESS(667,36))-INDIRECT(ADDRESS(668,36))</f>
        <v>0</v>
      </c>
      <c r="AK669">
        <f>INDIRECT(ADDRESS(669,36))+INDIRECT(ADDRESS(667,37))-INDIRECT(ADDRESS(668,37))</f>
        <v>0</v>
      </c>
      <c r="AL669">
        <f>INDIRECT(ADDRESS(669,37))+INDIRECT(ADDRESS(667,38))-INDIRECT(ADDRESS(668,38))</f>
        <v>0</v>
      </c>
      <c r="AM669">
        <f>INDIRECT(ADDRESS(669,38))+INDIRECT(ADDRESS(667,39))-INDIRECT(ADDRESS(668,39))</f>
        <v>0</v>
      </c>
      <c r="AN669">
        <f>INDIRECT(ADDRESS(669,39))+INDIRECT(ADDRESS(667,40))-INDIRECT(ADDRESS(668,40))</f>
        <v>0</v>
      </c>
      <c r="AO669">
        <f>SUM(INDIRECT(ADDRESS(668,8)):INDIRECT(ADDRESS(668,39)))</f>
        <v>0</v>
      </c>
    </row>
    <row r="670" spans="1:41">
      <c r="A670" t="s">
        <v>206</v>
      </c>
      <c r="B670" t="s">
        <v>55</v>
      </c>
      <c r="C670" t="s">
        <v>421</v>
      </c>
      <c r="E670">
        <v>0.05</v>
      </c>
      <c r="I670" t="s">
        <v>177</v>
      </c>
    </row>
    <row r="671" spans="1:41">
      <c r="I671" t="s">
        <v>178</v>
      </c>
      <c r="J671">
        <f>IFERROR(VLOOKUP("924-025056-200",B:AB,1+8,0),0)</f>
        <v>0</v>
      </c>
      <c r="K671">
        <f>IFERROR(VLOOKUP("924-025056-200",B:AB,2+8,0),0)</f>
        <v>0</v>
      </c>
      <c r="L671">
        <f>IFERROR(VLOOKUP("924-025056-200",B:AB,3+8,0),0)</f>
        <v>0</v>
      </c>
      <c r="M671">
        <f>IFERROR(VLOOKUP("924-025056-200",B:AB,4+8,0),0)</f>
        <v>0</v>
      </c>
      <c r="N671">
        <f>IFERROR(VLOOKUP("924-025056-200",B:AB,5+8,0),0)</f>
        <v>0</v>
      </c>
      <c r="O671">
        <f>IFERROR(VLOOKUP("924-025056-200",B:AB,6+8,0),0)</f>
        <v>0</v>
      </c>
      <c r="P671">
        <f>IFERROR(VLOOKUP("924-025056-200",B:AB,7+8,0),0)</f>
        <v>0</v>
      </c>
      <c r="Q671">
        <f>IFERROR(VLOOKUP("924-025056-200",B:AB,8+8,0),0)</f>
        <v>0</v>
      </c>
      <c r="R671">
        <f>IFERROR(VLOOKUP("924-025056-200",B:AB,9+8,0),0)</f>
        <v>0</v>
      </c>
      <c r="S671">
        <f>IFERROR(VLOOKUP("924-025056-200",B:AB,10+8,0),0)</f>
        <v>0</v>
      </c>
      <c r="T671">
        <f>IFERROR(VLOOKUP("924-025056-200",B:AB,11+8,0),0)</f>
        <v>0</v>
      </c>
      <c r="U671">
        <f>IFERROR(VLOOKUP("924-025056-200",B:AB,12+8,0),0)</f>
        <v>0</v>
      </c>
      <c r="V671">
        <f>IFERROR(VLOOKUP("924-025056-200",B:AB,13+8,0),0)</f>
        <v>0</v>
      </c>
      <c r="W671">
        <f>IFERROR(VLOOKUP("924-025056-200",B:AB,14+8,0),0)</f>
        <v>0</v>
      </c>
      <c r="X671">
        <f>IFERROR(VLOOKUP("924-025056-200",B:AB,15+8,0),0)</f>
        <v>0</v>
      </c>
      <c r="Y671">
        <f>IFERROR(VLOOKUP("924-025056-200",B:AB,16+8,0),0)</f>
        <v>0</v>
      </c>
      <c r="Z671">
        <f>IFERROR(VLOOKUP("924-025056-200",B:AB,17+8,0),0)</f>
        <v>0</v>
      </c>
      <c r="AA671">
        <f>IFERROR(VLOOKUP("924-025056-200",B:AB,18+8,0),0)</f>
        <v>0</v>
      </c>
      <c r="AB671">
        <f>IFERROR(VLOOKUP("924-025056-200",B:AB,19+8,0),0)</f>
        <v>0</v>
      </c>
      <c r="AC671">
        <f>IFERROR(VLOOKUP("924-025056-200",B:AB,20+8,0),0)</f>
        <v>0</v>
      </c>
      <c r="AD671">
        <f>IFERROR(VLOOKUP("924-025056-200",B:AB,21+8,0),0)</f>
        <v>0</v>
      </c>
      <c r="AE671">
        <f>IFERROR(VLOOKUP("924-025056-200",B:AB,22+8,0),0)</f>
        <v>0</v>
      </c>
      <c r="AF671">
        <f>IFERROR(VLOOKUP("924-025056-200",B:AB,23+8,0),0)</f>
        <v>0</v>
      </c>
      <c r="AG671">
        <f>IFERROR(VLOOKUP("924-025056-200",B:AB,24+8,0),0)</f>
        <v>0</v>
      </c>
      <c r="AH671">
        <f>IFERROR(VLOOKUP("924-025056-200",B:AB,25+8,0),0)</f>
        <v>0</v>
      </c>
      <c r="AI671">
        <f>IFERROR(VLOOKUP("924-025056-200",B:AB,26+8,0),0)</f>
        <v>0</v>
      </c>
      <c r="AJ671">
        <f>IFERROR(VLOOKUP("924-025056-200",B:AB,27+8,0),0)</f>
        <v>0</v>
      </c>
      <c r="AK671">
        <f>IFERROR(VLOOKUP("924-025056-200",B:AB,28+8,0),0)</f>
        <v>0</v>
      </c>
      <c r="AL671">
        <f>IFERROR(VLOOKUP("924-025056-200",B:AB,29+8,0),0)</f>
        <v>0</v>
      </c>
      <c r="AM671">
        <f>IFERROR(VLOOKUP("924-025056-200",B:AB,30+8,0),0)</f>
        <v>0</v>
      </c>
      <c r="AN671">
        <f>IFERROR(VLOOKUP("924-025056-200",B:AB,31+8,0),0)</f>
        <v>0</v>
      </c>
      <c r="AO671">
        <f>SUN(INDIRECT(ADDRESS(670,8)):INDIRECT(ADDRESS(670,39)))</f>
        <v>0</v>
      </c>
    </row>
    <row r="672" spans="1:41">
      <c r="H672" t="s">
        <v>179</v>
      </c>
      <c r="J672">
        <f>INDIRECT(ADDRESS(672,9))+INDIRECT(ADDRESS(670,10))-INDIRECT(ADDRESS(671,10))</f>
        <v>0</v>
      </c>
      <c r="K672">
        <f>INDIRECT(ADDRESS(672,10))+INDIRECT(ADDRESS(670,11))-INDIRECT(ADDRESS(671,11))</f>
        <v>0</v>
      </c>
      <c r="L672">
        <f>INDIRECT(ADDRESS(672,11))+INDIRECT(ADDRESS(670,12))-INDIRECT(ADDRESS(671,12))</f>
        <v>0</v>
      </c>
      <c r="M672">
        <f>INDIRECT(ADDRESS(672,12))+INDIRECT(ADDRESS(670,13))-INDIRECT(ADDRESS(671,13))</f>
        <v>0</v>
      </c>
      <c r="N672">
        <f>INDIRECT(ADDRESS(672,13))+INDIRECT(ADDRESS(670,14))-INDIRECT(ADDRESS(671,14))</f>
        <v>0</v>
      </c>
      <c r="O672">
        <f>INDIRECT(ADDRESS(672,14))+INDIRECT(ADDRESS(670,15))-INDIRECT(ADDRESS(671,15))</f>
        <v>0</v>
      </c>
      <c r="P672">
        <f>INDIRECT(ADDRESS(672,15))+INDIRECT(ADDRESS(670,16))-INDIRECT(ADDRESS(671,16))</f>
        <v>0</v>
      </c>
      <c r="Q672">
        <f>INDIRECT(ADDRESS(672,16))+INDIRECT(ADDRESS(670,17))-INDIRECT(ADDRESS(671,17))</f>
        <v>0</v>
      </c>
      <c r="R672">
        <f>INDIRECT(ADDRESS(672,17))+INDIRECT(ADDRESS(670,18))-INDIRECT(ADDRESS(671,18))</f>
        <v>0</v>
      </c>
      <c r="S672">
        <f>INDIRECT(ADDRESS(672,18))+INDIRECT(ADDRESS(670,19))-INDIRECT(ADDRESS(671,19))</f>
        <v>0</v>
      </c>
      <c r="T672">
        <f>INDIRECT(ADDRESS(672,19))+INDIRECT(ADDRESS(670,20))-INDIRECT(ADDRESS(671,20))</f>
        <v>0</v>
      </c>
      <c r="U672">
        <f>INDIRECT(ADDRESS(672,20))+INDIRECT(ADDRESS(670,21))-INDIRECT(ADDRESS(671,21))</f>
        <v>0</v>
      </c>
      <c r="V672">
        <f>INDIRECT(ADDRESS(672,21))+INDIRECT(ADDRESS(670,22))-INDIRECT(ADDRESS(671,22))</f>
        <v>0</v>
      </c>
      <c r="W672">
        <f>INDIRECT(ADDRESS(672,22))+INDIRECT(ADDRESS(670,23))-INDIRECT(ADDRESS(671,23))</f>
        <v>0</v>
      </c>
      <c r="X672">
        <f>INDIRECT(ADDRESS(672,23))+INDIRECT(ADDRESS(670,24))-INDIRECT(ADDRESS(671,24))</f>
        <v>0</v>
      </c>
      <c r="Y672">
        <f>INDIRECT(ADDRESS(672,24))+INDIRECT(ADDRESS(670,25))-INDIRECT(ADDRESS(671,25))</f>
        <v>0</v>
      </c>
      <c r="Z672">
        <f>INDIRECT(ADDRESS(672,25))+INDIRECT(ADDRESS(670,26))-INDIRECT(ADDRESS(671,26))</f>
        <v>0</v>
      </c>
      <c r="AA672">
        <f>INDIRECT(ADDRESS(672,26))+INDIRECT(ADDRESS(670,27))-INDIRECT(ADDRESS(671,27))</f>
        <v>0</v>
      </c>
      <c r="AB672">
        <f>INDIRECT(ADDRESS(672,27))+INDIRECT(ADDRESS(670,28))-INDIRECT(ADDRESS(671,28))</f>
        <v>0</v>
      </c>
      <c r="AC672">
        <f>INDIRECT(ADDRESS(672,28))+INDIRECT(ADDRESS(670,29))-INDIRECT(ADDRESS(671,29))</f>
        <v>0</v>
      </c>
      <c r="AD672">
        <f>INDIRECT(ADDRESS(672,29))+INDIRECT(ADDRESS(670,30))-INDIRECT(ADDRESS(671,30))</f>
        <v>0</v>
      </c>
      <c r="AE672">
        <f>INDIRECT(ADDRESS(672,30))+INDIRECT(ADDRESS(670,31))-INDIRECT(ADDRESS(671,31))</f>
        <v>0</v>
      </c>
      <c r="AF672">
        <f>INDIRECT(ADDRESS(672,31))+INDIRECT(ADDRESS(670,32))-INDIRECT(ADDRESS(671,32))</f>
        <v>0</v>
      </c>
      <c r="AG672">
        <f>INDIRECT(ADDRESS(672,32))+INDIRECT(ADDRESS(670,33))-INDIRECT(ADDRESS(671,33))</f>
        <v>0</v>
      </c>
      <c r="AH672">
        <f>INDIRECT(ADDRESS(672,33))+INDIRECT(ADDRESS(670,34))-INDIRECT(ADDRESS(671,34))</f>
        <v>0</v>
      </c>
      <c r="AI672">
        <f>INDIRECT(ADDRESS(672,34))+INDIRECT(ADDRESS(670,35))-INDIRECT(ADDRESS(671,35))</f>
        <v>0</v>
      </c>
      <c r="AJ672">
        <f>INDIRECT(ADDRESS(672,35))+INDIRECT(ADDRESS(670,36))-INDIRECT(ADDRESS(671,36))</f>
        <v>0</v>
      </c>
      <c r="AK672">
        <f>INDIRECT(ADDRESS(672,36))+INDIRECT(ADDRESS(670,37))-INDIRECT(ADDRESS(671,37))</f>
        <v>0</v>
      </c>
      <c r="AL672">
        <f>INDIRECT(ADDRESS(672,37))+INDIRECT(ADDRESS(670,38))-INDIRECT(ADDRESS(671,38))</f>
        <v>0</v>
      </c>
      <c r="AM672">
        <f>INDIRECT(ADDRESS(672,38))+INDIRECT(ADDRESS(670,39))-INDIRECT(ADDRESS(671,39))</f>
        <v>0</v>
      </c>
      <c r="AN672">
        <f>INDIRECT(ADDRESS(672,39))+INDIRECT(ADDRESS(670,40))-INDIRECT(ADDRESS(671,40))</f>
        <v>0</v>
      </c>
      <c r="AO672">
        <f>SUM(INDIRECT(ADDRESS(671,8)):INDIRECT(ADDRESS(671,39)))</f>
        <v>0</v>
      </c>
    </row>
    <row r="673" spans="1:41">
      <c r="A673" t="s">
        <v>8</v>
      </c>
      <c r="B673" t="s">
        <v>57</v>
      </c>
      <c r="C673" t="s">
        <v>54</v>
      </c>
      <c r="E673">
        <v>1</v>
      </c>
      <c r="I673" t="s">
        <v>177</v>
      </c>
    </row>
    <row r="674" spans="1:41">
      <c r="I674" t="s">
        <v>178</v>
      </c>
      <c r="J674">
        <f>IFERROR(VLOOKUP("924-025056-300",Out!B:AB,1+8,0),0)</f>
        <v>0</v>
      </c>
      <c r="K674">
        <f>IFERROR(VLOOKUP("924-025056-300",Out!B:AB,2+8,0),0)</f>
        <v>0</v>
      </c>
      <c r="L674">
        <f>IFERROR(VLOOKUP("924-025056-300",Out!B:AB,3+8,0),0)</f>
        <v>0</v>
      </c>
      <c r="M674">
        <f>IFERROR(VLOOKUP("924-025056-300",Out!B:AB,4+8,0),0)</f>
        <v>0</v>
      </c>
      <c r="N674">
        <f>IFERROR(VLOOKUP("924-025056-300",Out!B:AB,5+8,0),0)</f>
        <v>0</v>
      </c>
      <c r="O674">
        <f>IFERROR(VLOOKUP("924-025056-300",Out!B:AB,6+8,0),0)</f>
        <v>0</v>
      </c>
      <c r="P674">
        <f>IFERROR(VLOOKUP("924-025056-300",Out!B:AB,7+8,0),0)</f>
        <v>0</v>
      </c>
      <c r="Q674">
        <f>IFERROR(VLOOKUP("924-025056-300",Out!B:AB,8+8,0),0)</f>
        <v>0</v>
      </c>
      <c r="R674">
        <f>IFERROR(VLOOKUP("924-025056-300",Out!B:AB,9+8,0),0)</f>
        <v>0</v>
      </c>
      <c r="S674">
        <f>IFERROR(VLOOKUP("924-025056-300",Out!B:AB,10+8,0),0)</f>
        <v>0</v>
      </c>
      <c r="T674">
        <f>IFERROR(VLOOKUP("924-025056-300",Out!B:AB,11+8,0),0)</f>
        <v>0</v>
      </c>
      <c r="U674">
        <f>IFERROR(VLOOKUP("924-025056-300",Out!B:AB,12+8,0),0)</f>
        <v>0</v>
      </c>
      <c r="V674">
        <f>IFERROR(VLOOKUP("924-025056-300",Out!B:AB,13+8,0),0)</f>
        <v>0</v>
      </c>
      <c r="W674">
        <f>IFERROR(VLOOKUP("924-025056-300",Out!B:AB,14+8,0),0)</f>
        <v>0</v>
      </c>
      <c r="X674">
        <f>IFERROR(VLOOKUP("924-025056-300",Out!B:AB,15+8,0),0)</f>
        <v>0</v>
      </c>
      <c r="Y674">
        <f>IFERROR(VLOOKUP("924-025056-300",Out!B:AB,16+8,0),0)</f>
        <v>0</v>
      </c>
      <c r="Z674">
        <f>IFERROR(VLOOKUP("924-025056-300",Out!B:AB,17+8,0),0)</f>
        <v>0</v>
      </c>
      <c r="AA674">
        <f>IFERROR(VLOOKUP("924-025056-300",Out!B:AB,18+8,0),0)</f>
        <v>0</v>
      </c>
      <c r="AB674">
        <f>IFERROR(VLOOKUP("924-025056-300",Out!B:AB,19+8,0),0)</f>
        <v>0</v>
      </c>
      <c r="AC674">
        <f>IFERROR(VLOOKUP("924-025056-300",Out!B:AB,20+8,0),0)</f>
        <v>0</v>
      </c>
      <c r="AD674">
        <f>IFERROR(VLOOKUP("924-025056-300",Out!B:AB,21+8,0),0)</f>
        <v>0</v>
      </c>
      <c r="AE674">
        <f>IFERROR(VLOOKUP("924-025056-300",Out!B:AB,22+8,0),0)</f>
        <v>0</v>
      </c>
      <c r="AF674">
        <f>IFERROR(VLOOKUP("924-025056-300",Out!B:AB,23+8,0),0)</f>
        <v>0</v>
      </c>
      <c r="AG674">
        <f>IFERROR(VLOOKUP("924-025056-300",Out!B:AB,24+8,0),0)</f>
        <v>0</v>
      </c>
      <c r="AH674">
        <f>IFERROR(VLOOKUP("924-025056-300",Out!B:AB,25+8,0),0)</f>
        <v>0</v>
      </c>
      <c r="AI674">
        <f>IFERROR(VLOOKUP("924-025056-300",Out!B:AB,26+8,0),0)</f>
        <v>0</v>
      </c>
      <c r="AJ674">
        <f>IFERROR(VLOOKUP("924-025056-300",Out!B:AB,27+8,0),0)</f>
        <v>0</v>
      </c>
      <c r="AK674">
        <f>IFERROR(VLOOKUP("924-025056-300",Out!B:AB,28+8,0),0)</f>
        <v>0</v>
      </c>
      <c r="AL674">
        <f>IFERROR(VLOOKUP("924-025056-300",Out!B:AB,29+8,0),0)</f>
        <v>0</v>
      </c>
      <c r="AM674">
        <f>IFERROR(VLOOKUP("924-025056-300",Out!B:AB,30+8,0),0)</f>
        <v>0</v>
      </c>
      <c r="AN674">
        <f>IFERROR(VLOOKUP("924-025056-300",Out!B:AB,31+8,0),0)</f>
        <v>0</v>
      </c>
      <c r="AO674">
        <f>SUN(INDIRECT(ADDRESS(673,8)):INDIRECT(ADDRESS(673,39)))</f>
        <v>0</v>
      </c>
    </row>
    <row r="675" spans="1:41">
      <c r="H675" t="s">
        <v>179</v>
      </c>
      <c r="J675">
        <f>INDIRECT(ADDRESS(675,9))+INDIRECT(ADDRESS(673,10))-INDIRECT(ADDRESS(674,10))</f>
        <v>0</v>
      </c>
      <c r="K675">
        <f>INDIRECT(ADDRESS(675,10))+INDIRECT(ADDRESS(673,11))-INDIRECT(ADDRESS(674,11))</f>
        <v>0</v>
      </c>
      <c r="L675">
        <f>INDIRECT(ADDRESS(675,11))+INDIRECT(ADDRESS(673,12))-INDIRECT(ADDRESS(674,12))</f>
        <v>0</v>
      </c>
      <c r="M675">
        <f>INDIRECT(ADDRESS(675,12))+INDIRECT(ADDRESS(673,13))-INDIRECT(ADDRESS(674,13))</f>
        <v>0</v>
      </c>
      <c r="N675">
        <f>INDIRECT(ADDRESS(675,13))+INDIRECT(ADDRESS(673,14))-INDIRECT(ADDRESS(674,14))</f>
        <v>0</v>
      </c>
      <c r="O675">
        <f>INDIRECT(ADDRESS(675,14))+INDIRECT(ADDRESS(673,15))-INDIRECT(ADDRESS(674,15))</f>
        <v>0</v>
      </c>
      <c r="P675">
        <f>INDIRECT(ADDRESS(675,15))+INDIRECT(ADDRESS(673,16))-INDIRECT(ADDRESS(674,16))</f>
        <v>0</v>
      </c>
      <c r="Q675">
        <f>INDIRECT(ADDRESS(675,16))+INDIRECT(ADDRESS(673,17))-INDIRECT(ADDRESS(674,17))</f>
        <v>0</v>
      </c>
      <c r="R675">
        <f>INDIRECT(ADDRESS(675,17))+INDIRECT(ADDRESS(673,18))-INDIRECT(ADDRESS(674,18))</f>
        <v>0</v>
      </c>
      <c r="S675">
        <f>INDIRECT(ADDRESS(675,18))+INDIRECT(ADDRESS(673,19))-INDIRECT(ADDRESS(674,19))</f>
        <v>0</v>
      </c>
      <c r="T675">
        <f>INDIRECT(ADDRESS(675,19))+INDIRECT(ADDRESS(673,20))-INDIRECT(ADDRESS(674,20))</f>
        <v>0</v>
      </c>
      <c r="U675">
        <f>INDIRECT(ADDRESS(675,20))+INDIRECT(ADDRESS(673,21))-INDIRECT(ADDRESS(674,21))</f>
        <v>0</v>
      </c>
      <c r="V675">
        <f>INDIRECT(ADDRESS(675,21))+INDIRECT(ADDRESS(673,22))-INDIRECT(ADDRESS(674,22))</f>
        <v>0</v>
      </c>
      <c r="W675">
        <f>INDIRECT(ADDRESS(675,22))+INDIRECT(ADDRESS(673,23))-INDIRECT(ADDRESS(674,23))</f>
        <v>0</v>
      </c>
      <c r="X675">
        <f>INDIRECT(ADDRESS(675,23))+INDIRECT(ADDRESS(673,24))-INDIRECT(ADDRESS(674,24))</f>
        <v>0</v>
      </c>
      <c r="Y675">
        <f>INDIRECT(ADDRESS(675,24))+INDIRECT(ADDRESS(673,25))-INDIRECT(ADDRESS(674,25))</f>
        <v>0</v>
      </c>
      <c r="Z675">
        <f>INDIRECT(ADDRESS(675,25))+INDIRECT(ADDRESS(673,26))-INDIRECT(ADDRESS(674,26))</f>
        <v>0</v>
      </c>
      <c r="AA675">
        <f>INDIRECT(ADDRESS(675,26))+INDIRECT(ADDRESS(673,27))-INDIRECT(ADDRESS(674,27))</f>
        <v>0</v>
      </c>
      <c r="AB675">
        <f>INDIRECT(ADDRESS(675,27))+INDIRECT(ADDRESS(673,28))-INDIRECT(ADDRESS(674,28))</f>
        <v>0</v>
      </c>
      <c r="AC675">
        <f>INDIRECT(ADDRESS(675,28))+INDIRECT(ADDRESS(673,29))-INDIRECT(ADDRESS(674,29))</f>
        <v>0</v>
      </c>
      <c r="AD675">
        <f>INDIRECT(ADDRESS(675,29))+INDIRECT(ADDRESS(673,30))-INDIRECT(ADDRESS(674,30))</f>
        <v>0</v>
      </c>
      <c r="AE675">
        <f>INDIRECT(ADDRESS(675,30))+INDIRECT(ADDRESS(673,31))-INDIRECT(ADDRESS(674,31))</f>
        <v>0</v>
      </c>
      <c r="AF675">
        <f>INDIRECT(ADDRESS(675,31))+INDIRECT(ADDRESS(673,32))-INDIRECT(ADDRESS(674,32))</f>
        <v>0</v>
      </c>
      <c r="AG675">
        <f>INDIRECT(ADDRESS(675,32))+INDIRECT(ADDRESS(673,33))-INDIRECT(ADDRESS(674,33))</f>
        <v>0</v>
      </c>
      <c r="AH675">
        <f>INDIRECT(ADDRESS(675,33))+INDIRECT(ADDRESS(673,34))-INDIRECT(ADDRESS(674,34))</f>
        <v>0</v>
      </c>
      <c r="AI675">
        <f>INDIRECT(ADDRESS(675,34))+INDIRECT(ADDRESS(673,35))-INDIRECT(ADDRESS(674,35))</f>
        <v>0</v>
      </c>
      <c r="AJ675">
        <f>INDIRECT(ADDRESS(675,35))+INDIRECT(ADDRESS(673,36))-INDIRECT(ADDRESS(674,36))</f>
        <v>0</v>
      </c>
      <c r="AK675">
        <f>INDIRECT(ADDRESS(675,36))+INDIRECT(ADDRESS(673,37))-INDIRECT(ADDRESS(674,37))</f>
        <v>0</v>
      </c>
      <c r="AL675">
        <f>INDIRECT(ADDRESS(675,37))+INDIRECT(ADDRESS(673,38))-INDIRECT(ADDRESS(674,38))</f>
        <v>0</v>
      </c>
      <c r="AM675">
        <f>INDIRECT(ADDRESS(675,38))+INDIRECT(ADDRESS(673,39))-INDIRECT(ADDRESS(674,39))</f>
        <v>0</v>
      </c>
      <c r="AN675">
        <f>INDIRECT(ADDRESS(675,39))+INDIRECT(ADDRESS(673,40))-INDIRECT(ADDRESS(674,40))</f>
        <v>0</v>
      </c>
      <c r="AO675">
        <f>SUM(INDIRECT(ADDRESS(674,8)):INDIRECT(ADDRESS(674,39)))</f>
        <v>0</v>
      </c>
    </row>
    <row r="676" spans="1:41">
      <c r="A676" t="s">
        <v>180</v>
      </c>
      <c r="B676" t="s">
        <v>57</v>
      </c>
      <c r="C676" t="s">
        <v>422</v>
      </c>
      <c r="E676">
        <v>1</v>
      </c>
      <c r="I676" t="s">
        <v>177</v>
      </c>
    </row>
    <row r="677" spans="1:41">
      <c r="I677" t="s">
        <v>178</v>
      </c>
      <c r="J677">
        <f>IFERROR(VLOOKUP("924-025056-300",B:AB,1+8,0),0)</f>
        <v>0</v>
      </c>
      <c r="K677">
        <f>IFERROR(VLOOKUP("924-025056-300",B:AB,2+8,0),0)</f>
        <v>0</v>
      </c>
      <c r="L677">
        <f>IFERROR(VLOOKUP("924-025056-300",B:AB,3+8,0),0)</f>
        <v>0</v>
      </c>
      <c r="M677">
        <f>IFERROR(VLOOKUP("924-025056-300",B:AB,4+8,0),0)</f>
        <v>0</v>
      </c>
      <c r="N677">
        <f>IFERROR(VLOOKUP("924-025056-300",B:AB,5+8,0),0)</f>
        <v>0</v>
      </c>
      <c r="O677">
        <f>IFERROR(VLOOKUP("924-025056-300",B:AB,6+8,0),0)</f>
        <v>0</v>
      </c>
      <c r="P677">
        <f>IFERROR(VLOOKUP("924-025056-300",B:AB,7+8,0),0)</f>
        <v>0</v>
      </c>
      <c r="Q677">
        <f>IFERROR(VLOOKUP("924-025056-300",B:AB,8+8,0),0)</f>
        <v>0</v>
      </c>
      <c r="R677">
        <f>IFERROR(VLOOKUP("924-025056-300",B:AB,9+8,0),0)</f>
        <v>0</v>
      </c>
      <c r="S677">
        <f>IFERROR(VLOOKUP("924-025056-300",B:AB,10+8,0),0)</f>
        <v>0</v>
      </c>
      <c r="T677">
        <f>IFERROR(VLOOKUP("924-025056-300",B:AB,11+8,0),0)</f>
        <v>0</v>
      </c>
      <c r="U677">
        <f>IFERROR(VLOOKUP("924-025056-300",B:AB,12+8,0),0)</f>
        <v>0</v>
      </c>
      <c r="V677">
        <f>IFERROR(VLOOKUP("924-025056-300",B:AB,13+8,0),0)</f>
        <v>0</v>
      </c>
      <c r="W677">
        <f>IFERROR(VLOOKUP("924-025056-300",B:AB,14+8,0),0)</f>
        <v>0</v>
      </c>
      <c r="X677">
        <f>IFERROR(VLOOKUP("924-025056-300",B:AB,15+8,0),0)</f>
        <v>0</v>
      </c>
      <c r="Y677">
        <f>IFERROR(VLOOKUP("924-025056-300",B:AB,16+8,0),0)</f>
        <v>0</v>
      </c>
      <c r="Z677">
        <f>IFERROR(VLOOKUP("924-025056-300",B:AB,17+8,0),0)</f>
        <v>0</v>
      </c>
      <c r="AA677">
        <f>IFERROR(VLOOKUP("924-025056-300",B:AB,18+8,0),0)</f>
        <v>0</v>
      </c>
      <c r="AB677">
        <f>IFERROR(VLOOKUP("924-025056-300",B:AB,19+8,0),0)</f>
        <v>0</v>
      </c>
      <c r="AC677">
        <f>IFERROR(VLOOKUP("924-025056-300",B:AB,20+8,0),0)</f>
        <v>0</v>
      </c>
      <c r="AD677">
        <f>IFERROR(VLOOKUP("924-025056-300",B:AB,21+8,0),0)</f>
        <v>0</v>
      </c>
      <c r="AE677">
        <f>IFERROR(VLOOKUP("924-025056-300",B:AB,22+8,0),0)</f>
        <v>0</v>
      </c>
      <c r="AF677">
        <f>IFERROR(VLOOKUP("924-025056-300",B:AB,23+8,0),0)</f>
        <v>0</v>
      </c>
      <c r="AG677">
        <f>IFERROR(VLOOKUP("924-025056-300",B:AB,24+8,0),0)</f>
        <v>0</v>
      </c>
      <c r="AH677">
        <f>IFERROR(VLOOKUP("924-025056-300",B:AB,25+8,0),0)</f>
        <v>0</v>
      </c>
      <c r="AI677">
        <f>IFERROR(VLOOKUP("924-025056-300",B:AB,26+8,0),0)</f>
        <v>0</v>
      </c>
      <c r="AJ677">
        <f>IFERROR(VLOOKUP("924-025056-300",B:AB,27+8,0),0)</f>
        <v>0</v>
      </c>
      <c r="AK677">
        <f>IFERROR(VLOOKUP("924-025056-300",B:AB,28+8,0),0)</f>
        <v>0</v>
      </c>
      <c r="AL677">
        <f>IFERROR(VLOOKUP("924-025056-300",B:AB,29+8,0),0)</f>
        <v>0</v>
      </c>
      <c r="AM677">
        <f>IFERROR(VLOOKUP("924-025056-300",B:AB,30+8,0),0)</f>
        <v>0</v>
      </c>
      <c r="AN677">
        <f>IFERROR(VLOOKUP("924-025056-300",B:AB,31+8,0),0)</f>
        <v>0</v>
      </c>
      <c r="AO677">
        <f>SUN(INDIRECT(ADDRESS(676,8)):INDIRECT(ADDRESS(676,39)))</f>
        <v>0</v>
      </c>
    </row>
    <row r="678" spans="1:41">
      <c r="H678" t="s">
        <v>179</v>
      </c>
      <c r="J678">
        <f>INDIRECT(ADDRESS(678,9))+INDIRECT(ADDRESS(676,10))-INDIRECT(ADDRESS(677,10))</f>
        <v>0</v>
      </c>
      <c r="K678">
        <f>INDIRECT(ADDRESS(678,10))+INDIRECT(ADDRESS(676,11))-INDIRECT(ADDRESS(677,11))</f>
        <v>0</v>
      </c>
      <c r="L678">
        <f>INDIRECT(ADDRESS(678,11))+INDIRECT(ADDRESS(676,12))-INDIRECT(ADDRESS(677,12))</f>
        <v>0</v>
      </c>
      <c r="M678">
        <f>INDIRECT(ADDRESS(678,12))+INDIRECT(ADDRESS(676,13))-INDIRECT(ADDRESS(677,13))</f>
        <v>0</v>
      </c>
      <c r="N678">
        <f>INDIRECT(ADDRESS(678,13))+INDIRECT(ADDRESS(676,14))-INDIRECT(ADDRESS(677,14))</f>
        <v>0</v>
      </c>
      <c r="O678">
        <f>INDIRECT(ADDRESS(678,14))+INDIRECT(ADDRESS(676,15))-INDIRECT(ADDRESS(677,15))</f>
        <v>0</v>
      </c>
      <c r="P678">
        <f>INDIRECT(ADDRESS(678,15))+INDIRECT(ADDRESS(676,16))-INDIRECT(ADDRESS(677,16))</f>
        <v>0</v>
      </c>
      <c r="Q678">
        <f>INDIRECT(ADDRESS(678,16))+INDIRECT(ADDRESS(676,17))-INDIRECT(ADDRESS(677,17))</f>
        <v>0</v>
      </c>
      <c r="R678">
        <f>INDIRECT(ADDRESS(678,17))+INDIRECT(ADDRESS(676,18))-INDIRECT(ADDRESS(677,18))</f>
        <v>0</v>
      </c>
      <c r="S678">
        <f>INDIRECT(ADDRESS(678,18))+INDIRECT(ADDRESS(676,19))-INDIRECT(ADDRESS(677,19))</f>
        <v>0</v>
      </c>
      <c r="T678">
        <f>INDIRECT(ADDRESS(678,19))+INDIRECT(ADDRESS(676,20))-INDIRECT(ADDRESS(677,20))</f>
        <v>0</v>
      </c>
      <c r="U678">
        <f>INDIRECT(ADDRESS(678,20))+INDIRECT(ADDRESS(676,21))-INDIRECT(ADDRESS(677,21))</f>
        <v>0</v>
      </c>
      <c r="V678">
        <f>INDIRECT(ADDRESS(678,21))+INDIRECT(ADDRESS(676,22))-INDIRECT(ADDRESS(677,22))</f>
        <v>0</v>
      </c>
      <c r="W678">
        <f>INDIRECT(ADDRESS(678,22))+INDIRECT(ADDRESS(676,23))-INDIRECT(ADDRESS(677,23))</f>
        <v>0</v>
      </c>
      <c r="X678">
        <f>INDIRECT(ADDRESS(678,23))+INDIRECT(ADDRESS(676,24))-INDIRECT(ADDRESS(677,24))</f>
        <v>0</v>
      </c>
      <c r="Y678">
        <f>INDIRECT(ADDRESS(678,24))+INDIRECT(ADDRESS(676,25))-INDIRECT(ADDRESS(677,25))</f>
        <v>0</v>
      </c>
      <c r="Z678">
        <f>INDIRECT(ADDRESS(678,25))+INDIRECT(ADDRESS(676,26))-INDIRECT(ADDRESS(677,26))</f>
        <v>0</v>
      </c>
      <c r="AA678">
        <f>INDIRECT(ADDRESS(678,26))+INDIRECT(ADDRESS(676,27))-INDIRECT(ADDRESS(677,27))</f>
        <v>0</v>
      </c>
      <c r="AB678">
        <f>INDIRECT(ADDRESS(678,27))+INDIRECT(ADDRESS(676,28))-INDIRECT(ADDRESS(677,28))</f>
        <v>0</v>
      </c>
      <c r="AC678">
        <f>INDIRECT(ADDRESS(678,28))+INDIRECT(ADDRESS(676,29))-INDIRECT(ADDRESS(677,29))</f>
        <v>0</v>
      </c>
      <c r="AD678">
        <f>INDIRECT(ADDRESS(678,29))+INDIRECT(ADDRESS(676,30))-INDIRECT(ADDRESS(677,30))</f>
        <v>0</v>
      </c>
      <c r="AE678">
        <f>INDIRECT(ADDRESS(678,30))+INDIRECT(ADDRESS(676,31))-INDIRECT(ADDRESS(677,31))</f>
        <v>0</v>
      </c>
      <c r="AF678">
        <f>INDIRECT(ADDRESS(678,31))+INDIRECT(ADDRESS(676,32))-INDIRECT(ADDRESS(677,32))</f>
        <v>0</v>
      </c>
      <c r="AG678">
        <f>INDIRECT(ADDRESS(678,32))+INDIRECT(ADDRESS(676,33))-INDIRECT(ADDRESS(677,33))</f>
        <v>0</v>
      </c>
      <c r="AH678">
        <f>INDIRECT(ADDRESS(678,33))+INDIRECT(ADDRESS(676,34))-INDIRECT(ADDRESS(677,34))</f>
        <v>0</v>
      </c>
      <c r="AI678">
        <f>INDIRECT(ADDRESS(678,34))+INDIRECT(ADDRESS(676,35))-INDIRECT(ADDRESS(677,35))</f>
        <v>0</v>
      </c>
      <c r="AJ678">
        <f>INDIRECT(ADDRESS(678,35))+INDIRECT(ADDRESS(676,36))-INDIRECT(ADDRESS(677,36))</f>
        <v>0</v>
      </c>
      <c r="AK678">
        <f>INDIRECT(ADDRESS(678,36))+INDIRECT(ADDRESS(676,37))-INDIRECT(ADDRESS(677,37))</f>
        <v>0</v>
      </c>
      <c r="AL678">
        <f>INDIRECT(ADDRESS(678,37))+INDIRECT(ADDRESS(676,38))-INDIRECT(ADDRESS(677,38))</f>
        <v>0</v>
      </c>
      <c r="AM678">
        <f>INDIRECT(ADDRESS(678,38))+INDIRECT(ADDRESS(676,39))-INDIRECT(ADDRESS(677,39))</f>
        <v>0</v>
      </c>
      <c r="AN678">
        <f>INDIRECT(ADDRESS(678,39))+INDIRECT(ADDRESS(676,40))-INDIRECT(ADDRESS(677,40))</f>
        <v>0</v>
      </c>
      <c r="AO678">
        <f>SUM(INDIRECT(ADDRESS(677,8)):INDIRECT(ADDRESS(677,39)))</f>
        <v>0</v>
      </c>
    </row>
    <row r="679" spans="1:41">
      <c r="A679" t="s">
        <v>185</v>
      </c>
      <c r="B679" t="s">
        <v>57</v>
      </c>
      <c r="C679" t="s">
        <v>414</v>
      </c>
      <c r="E679">
        <v>1</v>
      </c>
      <c r="I679" t="s">
        <v>177</v>
      </c>
    </row>
    <row r="680" spans="1:41">
      <c r="I680" t="s">
        <v>178</v>
      </c>
      <c r="J680">
        <f>IFERROR(VLOOKUP("924-025056-300",B:AB,1+8,0),0)</f>
        <v>0</v>
      </c>
      <c r="K680">
        <f>IFERROR(VLOOKUP("924-025056-300",B:AB,2+8,0),0)</f>
        <v>0</v>
      </c>
      <c r="L680">
        <f>IFERROR(VLOOKUP("924-025056-300",B:AB,3+8,0),0)</f>
        <v>0</v>
      </c>
      <c r="M680">
        <f>IFERROR(VLOOKUP("924-025056-300",B:AB,4+8,0),0)</f>
        <v>0</v>
      </c>
      <c r="N680">
        <f>IFERROR(VLOOKUP("924-025056-300",B:AB,5+8,0),0)</f>
        <v>0</v>
      </c>
      <c r="O680">
        <f>IFERROR(VLOOKUP("924-025056-300",B:AB,6+8,0),0)</f>
        <v>0</v>
      </c>
      <c r="P680">
        <f>IFERROR(VLOOKUP("924-025056-300",B:AB,7+8,0),0)</f>
        <v>0</v>
      </c>
      <c r="Q680">
        <f>IFERROR(VLOOKUP("924-025056-300",B:AB,8+8,0),0)</f>
        <v>0</v>
      </c>
      <c r="R680">
        <f>IFERROR(VLOOKUP("924-025056-300",B:AB,9+8,0),0)</f>
        <v>0</v>
      </c>
      <c r="S680">
        <f>IFERROR(VLOOKUP("924-025056-300",B:AB,10+8,0),0)</f>
        <v>0</v>
      </c>
      <c r="T680">
        <f>IFERROR(VLOOKUP("924-025056-300",B:AB,11+8,0),0)</f>
        <v>0</v>
      </c>
      <c r="U680">
        <f>IFERROR(VLOOKUP("924-025056-300",B:AB,12+8,0),0)</f>
        <v>0</v>
      </c>
      <c r="V680">
        <f>IFERROR(VLOOKUP("924-025056-300",B:AB,13+8,0),0)</f>
        <v>0</v>
      </c>
      <c r="W680">
        <f>IFERROR(VLOOKUP("924-025056-300",B:AB,14+8,0),0)</f>
        <v>0</v>
      </c>
      <c r="X680">
        <f>IFERROR(VLOOKUP("924-025056-300",B:AB,15+8,0),0)</f>
        <v>0</v>
      </c>
      <c r="Y680">
        <f>IFERROR(VLOOKUP("924-025056-300",B:AB,16+8,0),0)</f>
        <v>0</v>
      </c>
      <c r="Z680">
        <f>IFERROR(VLOOKUP("924-025056-300",B:AB,17+8,0),0)</f>
        <v>0</v>
      </c>
      <c r="AA680">
        <f>IFERROR(VLOOKUP("924-025056-300",B:AB,18+8,0),0)</f>
        <v>0</v>
      </c>
      <c r="AB680">
        <f>IFERROR(VLOOKUP("924-025056-300",B:AB,19+8,0),0)</f>
        <v>0</v>
      </c>
      <c r="AC680">
        <f>IFERROR(VLOOKUP("924-025056-300",B:AB,20+8,0),0)</f>
        <v>0</v>
      </c>
      <c r="AD680">
        <f>IFERROR(VLOOKUP("924-025056-300",B:AB,21+8,0),0)</f>
        <v>0</v>
      </c>
      <c r="AE680">
        <f>IFERROR(VLOOKUP("924-025056-300",B:AB,22+8,0),0)</f>
        <v>0</v>
      </c>
      <c r="AF680">
        <f>IFERROR(VLOOKUP("924-025056-300",B:AB,23+8,0),0)</f>
        <v>0</v>
      </c>
      <c r="AG680">
        <f>IFERROR(VLOOKUP("924-025056-300",B:AB,24+8,0),0)</f>
        <v>0</v>
      </c>
      <c r="AH680">
        <f>IFERROR(VLOOKUP("924-025056-300",B:AB,25+8,0),0)</f>
        <v>0</v>
      </c>
      <c r="AI680">
        <f>IFERROR(VLOOKUP("924-025056-300",B:AB,26+8,0),0)</f>
        <v>0</v>
      </c>
      <c r="AJ680">
        <f>IFERROR(VLOOKUP("924-025056-300",B:AB,27+8,0),0)</f>
        <v>0</v>
      </c>
      <c r="AK680">
        <f>IFERROR(VLOOKUP("924-025056-300",B:AB,28+8,0),0)</f>
        <v>0</v>
      </c>
      <c r="AL680">
        <f>IFERROR(VLOOKUP("924-025056-300",B:AB,29+8,0),0)</f>
        <v>0</v>
      </c>
      <c r="AM680">
        <f>IFERROR(VLOOKUP("924-025056-300",B:AB,30+8,0),0)</f>
        <v>0</v>
      </c>
      <c r="AN680">
        <f>IFERROR(VLOOKUP("924-025056-300",B:AB,31+8,0),0)</f>
        <v>0</v>
      </c>
      <c r="AO680">
        <f>SUN(INDIRECT(ADDRESS(679,8)):INDIRECT(ADDRESS(679,39)))</f>
        <v>0</v>
      </c>
    </row>
    <row r="681" spans="1:41">
      <c r="H681" t="s">
        <v>179</v>
      </c>
      <c r="J681">
        <f>INDIRECT(ADDRESS(681,9))+INDIRECT(ADDRESS(679,10))-INDIRECT(ADDRESS(680,10))</f>
        <v>0</v>
      </c>
      <c r="K681">
        <f>INDIRECT(ADDRESS(681,10))+INDIRECT(ADDRESS(679,11))-INDIRECT(ADDRESS(680,11))</f>
        <v>0</v>
      </c>
      <c r="L681">
        <f>INDIRECT(ADDRESS(681,11))+INDIRECT(ADDRESS(679,12))-INDIRECT(ADDRESS(680,12))</f>
        <v>0</v>
      </c>
      <c r="M681">
        <f>INDIRECT(ADDRESS(681,12))+INDIRECT(ADDRESS(679,13))-INDIRECT(ADDRESS(680,13))</f>
        <v>0</v>
      </c>
      <c r="N681">
        <f>INDIRECT(ADDRESS(681,13))+INDIRECT(ADDRESS(679,14))-INDIRECT(ADDRESS(680,14))</f>
        <v>0</v>
      </c>
      <c r="O681">
        <f>INDIRECT(ADDRESS(681,14))+INDIRECT(ADDRESS(679,15))-INDIRECT(ADDRESS(680,15))</f>
        <v>0</v>
      </c>
      <c r="P681">
        <f>INDIRECT(ADDRESS(681,15))+INDIRECT(ADDRESS(679,16))-INDIRECT(ADDRESS(680,16))</f>
        <v>0</v>
      </c>
      <c r="Q681">
        <f>INDIRECT(ADDRESS(681,16))+INDIRECT(ADDRESS(679,17))-INDIRECT(ADDRESS(680,17))</f>
        <v>0</v>
      </c>
      <c r="R681">
        <f>INDIRECT(ADDRESS(681,17))+INDIRECT(ADDRESS(679,18))-INDIRECT(ADDRESS(680,18))</f>
        <v>0</v>
      </c>
      <c r="S681">
        <f>INDIRECT(ADDRESS(681,18))+INDIRECT(ADDRESS(679,19))-INDIRECT(ADDRESS(680,19))</f>
        <v>0</v>
      </c>
      <c r="T681">
        <f>INDIRECT(ADDRESS(681,19))+INDIRECT(ADDRESS(679,20))-INDIRECT(ADDRESS(680,20))</f>
        <v>0</v>
      </c>
      <c r="U681">
        <f>INDIRECT(ADDRESS(681,20))+INDIRECT(ADDRESS(679,21))-INDIRECT(ADDRESS(680,21))</f>
        <v>0</v>
      </c>
      <c r="V681">
        <f>INDIRECT(ADDRESS(681,21))+INDIRECT(ADDRESS(679,22))-INDIRECT(ADDRESS(680,22))</f>
        <v>0</v>
      </c>
      <c r="W681">
        <f>INDIRECT(ADDRESS(681,22))+INDIRECT(ADDRESS(679,23))-INDIRECT(ADDRESS(680,23))</f>
        <v>0</v>
      </c>
      <c r="X681">
        <f>INDIRECT(ADDRESS(681,23))+INDIRECT(ADDRESS(679,24))-INDIRECT(ADDRESS(680,24))</f>
        <v>0</v>
      </c>
      <c r="Y681">
        <f>INDIRECT(ADDRESS(681,24))+INDIRECT(ADDRESS(679,25))-INDIRECT(ADDRESS(680,25))</f>
        <v>0</v>
      </c>
      <c r="Z681">
        <f>INDIRECT(ADDRESS(681,25))+INDIRECT(ADDRESS(679,26))-INDIRECT(ADDRESS(680,26))</f>
        <v>0</v>
      </c>
      <c r="AA681">
        <f>INDIRECT(ADDRESS(681,26))+INDIRECT(ADDRESS(679,27))-INDIRECT(ADDRESS(680,27))</f>
        <v>0</v>
      </c>
      <c r="AB681">
        <f>INDIRECT(ADDRESS(681,27))+INDIRECT(ADDRESS(679,28))-INDIRECT(ADDRESS(680,28))</f>
        <v>0</v>
      </c>
      <c r="AC681">
        <f>INDIRECT(ADDRESS(681,28))+INDIRECT(ADDRESS(679,29))-INDIRECT(ADDRESS(680,29))</f>
        <v>0</v>
      </c>
      <c r="AD681">
        <f>INDIRECT(ADDRESS(681,29))+INDIRECT(ADDRESS(679,30))-INDIRECT(ADDRESS(680,30))</f>
        <v>0</v>
      </c>
      <c r="AE681">
        <f>INDIRECT(ADDRESS(681,30))+INDIRECT(ADDRESS(679,31))-INDIRECT(ADDRESS(680,31))</f>
        <v>0</v>
      </c>
      <c r="AF681">
        <f>INDIRECT(ADDRESS(681,31))+INDIRECT(ADDRESS(679,32))-INDIRECT(ADDRESS(680,32))</f>
        <v>0</v>
      </c>
      <c r="AG681">
        <f>INDIRECT(ADDRESS(681,32))+INDIRECT(ADDRESS(679,33))-INDIRECT(ADDRESS(680,33))</f>
        <v>0</v>
      </c>
      <c r="AH681">
        <f>INDIRECT(ADDRESS(681,33))+INDIRECT(ADDRESS(679,34))-INDIRECT(ADDRESS(680,34))</f>
        <v>0</v>
      </c>
      <c r="AI681">
        <f>INDIRECT(ADDRESS(681,34))+INDIRECT(ADDRESS(679,35))-INDIRECT(ADDRESS(680,35))</f>
        <v>0</v>
      </c>
      <c r="AJ681">
        <f>INDIRECT(ADDRESS(681,35))+INDIRECT(ADDRESS(679,36))-INDIRECT(ADDRESS(680,36))</f>
        <v>0</v>
      </c>
      <c r="AK681">
        <f>INDIRECT(ADDRESS(681,36))+INDIRECT(ADDRESS(679,37))-INDIRECT(ADDRESS(680,37))</f>
        <v>0</v>
      </c>
      <c r="AL681">
        <f>INDIRECT(ADDRESS(681,37))+INDIRECT(ADDRESS(679,38))-INDIRECT(ADDRESS(680,38))</f>
        <v>0</v>
      </c>
      <c r="AM681">
        <f>INDIRECT(ADDRESS(681,38))+INDIRECT(ADDRESS(679,39))-INDIRECT(ADDRESS(680,39))</f>
        <v>0</v>
      </c>
      <c r="AN681">
        <f>INDIRECT(ADDRESS(681,39))+INDIRECT(ADDRESS(679,40))-INDIRECT(ADDRESS(680,40))</f>
        <v>0</v>
      </c>
      <c r="AO681">
        <f>SUM(INDIRECT(ADDRESS(680,8)):INDIRECT(ADDRESS(680,39)))</f>
        <v>0</v>
      </c>
    </row>
    <row r="682" spans="1:41">
      <c r="A682" t="s">
        <v>185</v>
      </c>
      <c r="B682" t="s">
        <v>57</v>
      </c>
      <c r="C682" t="s">
        <v>415</v>
      </c>
      <c r="E682">
        <v>4</v>
      </c>
      <c r="I682" t="s">
        <v>177</v>
      </c>
    </row>
    <row r="683" spans="1:41">
      <c r="I683" t="s">
        <v>178</v>
      </c>
      <c r="J683">
        <f>IFERROR(VLOOKUP("924-025056-300",B:AB,1+8,0),0)</f>
        <v>0</v>
      </c>
      <c r="K683">
        <f>IFERROR(VLOOKUP("924-025056-300",B:AB,2+8,0),0)</f>
        <v>0</v>
      </c>
      <c r="L683">
        <f>IFERROR(VLOOKUP("924-025056-300",B:AB,3+8,0),0)</f>
        <v>0</v>
      </c>
      <c r="M683">
        <f>IFERROR(VLOOKUP("924-025056-300",B:AB,4+8,0),0)</f>
        <v>0</v>
      </c>
      <c r="N683">
        <f>IFERROR(VLOOKUP("924-025056-300",B:AB,5+8,0),0)</f>
        <v>0</v>
      </c>
      <c r="O683">
        <f>IFERROR(VLOOKUP("924-025056-300",B:AB,6+8,0),0)</f>
        <v>0</v>
      </c>
      <c r="P683">
        <f>IFERROR(VLOOKUP("924-025056-300",B:AB,7+8,0),0)</f>
        <v>0</v>
      </c>
      <c r="Q683">
        <f>IFERROR(VLOOKUP("924-025056-300",B:AB,8+8,0),0)</f>
        <v>0</v>
      </c>
      <c r="R683">
        <f>IFERROR(VLOOKUP("924-025056-300",B:AB,9+8,0),0)</f>
        <v>0</v>
      </c>
      <c r="S683">
        <f>IFERROR(VLOOKUP("924-025056-300",B:AB,10+8,0),0)</f>
        <v>0</v>
      </c>
      <c r="T683">
        <f>IFERROR(VLOOKUP("924-025056-300",B:AB,11+8,0),0)</f>
        <v>0</v>
      </c>
      <c r="U683">
        <f>IFERROR(VLOOKUP("924-025056-300",B:AB,12+8,0),0)</f>
        <v>0</v>
      </c>
      <c r="V683">
        <f>IFERROR(VLOOKUP("924-025056-300",B:AB,13+8,0),0)</f>
        <v>0</v>
      </c>
      <c r="W683">
        <f>IFERROR(VLOOKUP("924-025056-300",B:AB,14+8,0),0)</f>
        <v>0</v>
      </c>
      <c r="X683">
        <f>IFERROR(VLOOKUP("924-025056-300",B:AB,15+8,0),0)</f>
        <v>0</v>
      </c>
      <c r="Y683">
        <f>IFERROR(VLOOKUP("924-025056-300",B:AB,16+8,0),0)</f>
        <v>0</v>
      </c>
      <c r="Z683">
        <f>IFERROR(VLOOKUP("924-025056-300",B:AB,17+8,0),0)</f>
        <v>0</v>
      </c>
      <c r="AA683">
        <f>IFERROR(VLOOKUP("924-025056-300",B:AB,18+8,0),0)</f>
        <v>0</v>
      </c>
      <c r="AB683">
        <f>IFERROR(VLOOKUP("924-025056-300",B:AB,19+8,0),0)</f>
        <v>0</v>
      </c>
      <c r="AC683">
        <f>IFERROR(VLOOKUP("924-025056-300",B:AB,20+8,0),0)</f>
        <v>0</v>
      </c>
      <c r="AD683">
        <f>IFERROR(VLOOKUP("924-025056-300",B:AB,21+8,0),0)</f>
        <v>0</v>
      </c>
      <c r="AE683">
        <f>IFERROR(VLOOKUP("924-025056-300",B:AB,22+8,0),0)</f>
        <v>0</v>
      </c>
      <c r="AF683">
        <f>IFERROR(VLOOKUP("924-025056-300",B:AB,23+8,0),0)</f>
        <v>0</v>
      </c>
      <c r="AG683">
        <f>IFERROR(VLOOKUP("924-025056-300",B:AB,24+8,0),0)</f>
        <v>0</v>
      </c>
      <c r="AH683">
        <f>IFERROR(VLOOKUP("924-025056-300",B:AB,25+8,0),0)</f>
        <v>0</v>
      </c>
      <c r="AI683">
        <f>IFERROR(VLOOKUP("924-025056-300",B:AB,26+8,0),0)</f>
        <v>0</v>
      </c>
      <c r="AJ683">
        <f>IFERROR(VLOOKUP("924-025056-300",B:AB,27+8,0),0)</f>
        <v>0</v>
      </c>
      <c r="AK683">
        <f>IFERROR(VLOOKUP("924-025056-300",B:AB,28+8,0),0)</f>
        <v>0</v>
      </c>
      <c r="AL683">
        <f>IFERROR(VLOOKUP("924-025056-300",B:AB,29+8,0),0)</f>
        <v>0</v>
      </c>
      <c r="AM683">
        <f>IFERROR(VLOOKUP("924-025056-300",B:AB,30+8,0),0)</f>
        <v>0</v>
      </c>
      <c r="AN683">
        <f>IFERROR(VLOOKUP("924-025056-300",B:AB,31+8,0),0)</f>
        <v>0</v>
      </c>
      <c r="AO683">
        <f>SUN(INDIRECT(ADDRESS(682,8)):INDIRECT(ADDRESS(682,39)))</f>
        <v>0</v>
      </c>
    </row>
    <row r="684" spans="1:41">
      <c r="H684" t="s">
        <v>179</v>
      </c>
      <c r="J684">
        <f>INDIRECT(ADDRESS(684,9))+INDIRECT(ADDRESS(682,10))-INDIRECT(ADDRESS(683,10))</f>
        <v>0</v>
      </c>
      <c r="K684">
        <f>INDIRECT(ADDRESS(684,10))+INDIRECT(ADDRESS(682,11))-INDIRECT(ADDRESS(683,11))</f>
        <v>0</v>
      </c>
      <c r="L684">
        <f>INDIRECT(ADDRESS(684,11))+INDIRECT(ADDRESS(682,12))-INDIRECT(ADDRESS(683,12))</f>
        <v>0</v>
      </c>
      <c r="M684">
        <f>INDIRECT(ADDRESS(684,12))+INDIRECT(ADDRESS(682,13))-INDIRECT(ADDRESS(683,13))</f>
        <v>0</v>
      </c>
      <c r="N684">
        <f>INDIRECT(ADDRESS(684,13))+INDIRECT(ADDRESS(682,14))-INDIRECT(ADDRESS(683,14))</f>
        <v>0</v>
      </c>
      <c r="O684">
        <f>INDIRECT(ADDRESS(684,14))+INDIRECT(ADDRESS(682,15))-INDIRECT(ADDRESS(683,15))</f>
        <v>0</v>
      </c>
      <c r="P684">
        <f>INDIRECT(ADDRESS(684,15))+INDIRECT(ADDRESS(682,16))-INDIRECT(ADDRESS(683,16))</f>
        <v>0</v>
      </c>
      <c r="Q684">
        <f>INDIRECT(ADDRESS(684,16))+INDIRECT(ADDRESS(682,17))-INDIRECT(ADDRESS(683,17))</f>
        <v>0</v>
      </c>
      <c r="R684">
        <f>INDIRECT(ADDRESS(684,17))+INDIRECT(ADDRESS(682,18))-INDIRECT(ADDRESS(683,18))</f>
        <v>0</v>
      </c>
      <c r="S684">
        <f>INDIRECT(ADDRESS(684,18))+INDIRECT(ADDRESS(682,19))-INDIRECT(ADDRESS(683,19))</f>
        <v>0</v>
      </c>
      <c r="T684">
        <f>INDIRECT(ADDRESS(684,19))+INDIRECT(ADDRESS(682,20))-INDIRECT(ADDRESS(683,20))</f>
        <v>0</v>
      </c>
      <c r="U684">
        <f>INDIRECT(ADDRESS(684,20))+INDIRECT(ADDRESS(682,21))-INDIRECT(ADDRESS(683,21))</f>
        <v>0</v>
      </c>
      <c r="V684">
        <f>INDIRECT(ADDRESS(684,21))+INDIRECT(ADDRESS(682,22))-INDIRECT(ADDRESS(683,22))</f>
        <v>0</v>
      </c>
      <c r="W684">
        <f>INDIRECT(ADDRESS(684,22))+INDIRECT(ADDRESS(682,23))-INDIRECT(ADDRESS(683,23))</f>
        <v>0</v>
      </c>
      <c r="X684">
        <f>INDIRECT(ADDRESS(684,23))+INDIRECT(ADDRESS(682,24))-INDIRECT(ADDRESS(683,24))</f>
        <v>0</v>
      </c>
      <c r="Y684">
        <f>INDIRECT(ADDRESS(684,24))+INDIRECT(ADDRESS(682,25))-INDIRECT(ADDRESS(683,25))</f>
        <v>0</v>
      </c>
      <c r="Z684">
        <f>INDIRECT(ADDRESS(684,25))+INDIRECT(ADDRESS(682,26))-INDIRECT(ADDRESS(683,26))</f>
        <v>0</v>
      </c>
      <c r="AA684">
        <f>INDIRECT(ADDRESS(684,26))+INDIRECT(ADDRESS(682,27))-INDIRECT(ADDRESS(683,27))</f>
        <v>0</v>
      </c>
      <c r="AB684">
        <f>INDIRECT(ADDRESS(684,27))+INDIRECT(ADDRESS(682,28))-INDIRECT(ADDRESS(683,28))</f>
        <v>0</v>
      </c>
      <c r="AC684">
        <f>INDIRECT(ADDRESS(684,28))+INDIRECT(ADDRESS(682,29))-INDIRECT(ADDRESS(683,29))</f>
        <v>0</v>
      </c>
      <c r="AD684">
        <f>INDIRECT(ADDRESS(684,29))+INDIRECT(ADDRESS(682,30))-INDIRECT(ADDRESS(683,30))</f>
        <v>0</v>
      </c>
      <c r="AE684">
        <f>INDIRECT(ADDRESS(684,30))+INDIRECT(ADDRESS(682,31))-INDIRECT(ADDRESS(683,31))</f>
        <v>0</v>
      </c>
      <c r="AF684">
        <f>INDIRECT(ADDRESS(684,31))+INDIRECT(ADDRESS(682,32))-INDIRECT(ADDRESS(683,32))</f>
        <v>0</v>
      </c>
      <c r="AG684">
        <f>INDIRECT(ADDRESS(684,32))+INDIRECT(ADDRESS(682,33))-INDIRECT(ADDRESS(683,33))</f>
        <v>0</v>
      </c>
      <c r="AH684">
        <f>INDIRECT(ADDRESS(684,33))+INDIRECT(ADDRESS(682,34))-INDIRECT(ADDRESS(683,34))</f>
        <v>0</v>
      </c>
      <c r="AI684">
        <f>INDIRECT(ADDRESS(684,34))+INDIRECT(ADDRESS(682,35))-INDIRECT(ADDRESS(683,35))</f>
        <v>0</v>
      </c>
      <c r="AJ684">
        <f>INDIRECT(ADDRESS(684,35))+INDIRECT(ADDRESS(682,36))-INDIRECT(ADDRESS(683,36))</f>
        <v>0</v>
      </c>
      <c r="AK684">
        <f>INDIRECT(ADDRESS(684,36))+INDIRECT(ADDRESS(682,37))-INDIRECT(ADDRESS(683,37))</f>
        <v>0</v>
      </c>
      <c r="AL684">
        <f>INDIRECT(ADDRESS(684,37))+INDIRECT(ADDRESS(682,38))-INDIRECT(ADDRESS(683,38))</f>
        <v>0</v>
      </c>
      <c r="AM684">
        <f>INDIRECT(ADDRESS(684,38))+INDIRECT(ADDRESS(682,39))-INDIRECT(ADDRESS(683,39))</f>
        <v>0</v>
      </c>
      <c r="AN684">
        <f>INDIRECT(ADDRESS(684,39))+INDIRECT(ADDRESS(682,40))-INDIRECT(ADDRESS(683,40))</f>
        <v>0</v>
      </c>
      <c r="AO684">
        <f>SUM(INDIRECT(ADDRESS(683,8)):INDIRECT(ADDRESS(683,39)))</f>
        <v>0</v>
      </c>
    </row>
    <row r="685" spans="1:41">
      <c r="A685" t="s">
        <v>185</v>
      </c>
      <c r="B685" t="s">
        <v>57</v>
      </c>
      <c r="C685" t="s">
        <v>416</v>
      </c>
      <c r="E685">
        <v>1</v>
      </c>
      <c r="I685" t="s">
        <v>177</v>
      </c>
    </row>
    <row r="686" spans="1:41">
      <c r="I686" t="s">
        <v>178</v>
      </c>
      <c r="J686">
        <f>IFERROR(VLOOKUP("924-025056-300",B:AB,1+8,0),0)</f>
        <v>0</v>
      </c>
      <c r="K686">
        <f>IFERROR(VLOOKUP("924-025056-300",B:AB,2+8,0),0)</f>
        <v>0</v>
      </c>
      <c r="L686">
        <f>IFERROR(VLOOKUP("924-025056-300",B:AB,3+8,0),0)</f>
        <v>0</v>
      </c>
      <c r="M686">
        <f>IFERROR(VLOOKUP("924-025056-300",B:AB,4+8,0),0)</f>
        <v>0</v>
      </c>
      <c r="N686">
        <f>IFERROR(VLOOKUP("924-025056-300",B:AB,5+8,0),0)</f>
        <v>0</v>
      </c>
      <c r="O686">
        <f>IFERROR(VLOOKUP("924-025056-300",B:AB,6+8,0),0)</f>
        <v>0</v>
      </c>
      <c r="P686">
        <f>IFERROR(VLOOKUP("924-025056-300",B:AB,7+8,0),0)</f>
        <v>0</v>
      </c>
      <c r="Q686">
        <f>IFERROR(VLOOKUP("924-025056-300",B:AB,8+8,0),0)</f>
        <v>0</v>
      </c>
      <c r="R686">
        <f>IFERROR(VLOOKUP("924-025056-300",B:AB,9+8,0),0)</f>
        <v>0</v>
      </c>
      <c r="S686">
        <f>IFERROR(VLOOKUP("924-025056-300",B:AB,10+8,0),0)</f>
        <v>0</v>
      </c>
      <c r="T686">
        <f>IFERROR(VLOOKUP("924-025056-300",B:AB,11+8,0),0)</f>
        <v>0</v>
      </c>
      <c r="U686">
        <f>IFERROR(VLOOKUP("924-025056-300",B:AB,12+8,0),0)</f>
        <v>0</v>
      </c>
      <c r="V686">
        <f>IFERROR(VLOOKUP("924-025056-300",B:AB,13+8,0),0)</f>
        <v>0</v>
      </c>
      <c r="W686">
        <f>IFERROR(VLOOKUP("924-025056-300",B:AB,14+8,0),0)</f>
        <v>0</v>
      </c>
      <c r="X686">
        <f>IFERROR(VLOOKUP("924-025056-300",B:AB,15+8,0),0)</f>
        <v>0</v>
      </c>
      <c r="Y686">
        <f>IFERROR(VLOOKUP("924-025056-300",B:AB,16+8,0),0)</f>
        <v>0</v>
      </c>
      <c r="Z686">
        <f>IFERROR(VLOOKUP("924-025056-300",B:AB,17+8,0),0)</f>
        <v>0</v>
      </c>
      <c r="AA686">
        <f>IFERROR(VLOOKUP("924-025056-300",B:AB,18+8,0),0)</f>
        <v>0</v>
      </c>
      <c r="AB686">
        <f>IFERROR(VLOOKUP("924-025056-300",B:AB,19+8,0),0)</f>
        <v>0</v>
      </c>
      <c r="AC686">
        <f>IFERROR(VLOOKUP("924-025056-300",B:AB,20+8,0),0)</f>
        <v>0</v>
      </c>
      <c r="AD686">
        <f>IFERROR(VLOOKUP("924-025056-300",B:AB,21+8,0),0)</f>
        <v>0</v>
      </c>
      <c r="AE686">
        <f>IFERROR(VLOOKUP("924-025056-300",B:AB,22+8,0),0)</f>
        <v>0</v>
      </c>
      <c r="AF686">
        <f>IFERROR(VLOOKUP("924-025056-300",B:AB,23+8,0),0)</f>
        <v>0</v>
      </c>
      <c r="AG686">
        <f>IFERROR(VLOOKUP("924-025056-300",B:AB,24+8,0),0)</f>
        <v>0</v>
      </c>
      <c r="AH686">
        <f>IFERROR(VLOOKUP("924-025056-300",B:AB,25+8,0),0)</f>
        <v>0</v>
      </c>
      <c r="AI686">
        <f>IFERROR(VLOOKUP("924-025056-300",B:AB,26+8,0),0)</f>
        <v>0</v>
      </c>
      <c r="AJ686">
        <f>IFERROR(VLOOKUP("924-025056-300",B:AB,27+8,0),0)</f>
        <v>0</v>
      </c>
      <c r="AK686">
        <f>IFERROR(VLOOKUP("924-025056-300",B:AB,28+8,0),0)</f>
        <v>0</v>
      </c>
      <c r="AL686">
        <f>IFERROR(VLOOKUP("924-025056-300",B:AB,29+8,0),0)</f>
        <v>0</v>
      </c>
      <c r="AM686">
        <f>IFERROR(VLOOKUP("924-025056-300",B:AB,30+8,0),0)</f>
        <v>0</v>
      </c>
      <c r="AN686">
        <f>IFERROR(VLOOKUP("924-025056-300",B:AB,31+8,0),0)</f>
        <v>0</v>
      </c>
      <c r="AO686">
        <f>SUN(INDIRECT(ADDRESS(685,8)):INDIRECT(ADDRESS(685,39)))</f>
        <v>0</v>
      </c>
    </row>
    <row r="687" spans="1:41">
      <c r="H687" t="s">
        <v>179</v>
      </c>
      <c r="J687">
        <f>INDIRECT(ADDRESS(687,9))+INDIRECT(ADDRESS(685,10))-INDIRECT(ADDRESS(686,10))</f>
        <v>0</v>
      </c>
      <c r="K687">
        <f>INDIRECT(ADDRESS(687,10))+INDIRECT(ADDRESS(685,11))-INDIRECT(ADDRESS(686,11))</f>
        <v>0</v>
      </c>
      <c r="L687">
        <f>INDIRECT(ADDRESS(687,11))+INDIRECT(ADDRESS(685,12))-INDIRECT(ADDRESS(686,12))</f>
        <v>0</v>
      </c>
      <c r="M687">
        <f>INDIRECT(ADDRESS(687,12))+INDIRECT(ADDRESS(685,13))-INDIRECT(ADDRESS(686,13))</f>
        <v>0</v>
      </c>
      <c r="N687">
        <f>INDIRECT(ADDRESS(687,13))+INDIRECT(ADDRESS(685,14))-INDIRECT(ADDRESS(686,14))</f>
        <v>0</v>
      </c>
      <c r="O687">
        <f>INDIRECT(ADDRESS(687,14))+INDIRECT(ADDRESS(685,15))-INDIRECT(ADDRESS(686,15))</f>
        <v>0</v>
      </c>
      <c r="P687">
        <f>INDIRECT(ADDRESS(687,15))+INDIRECT(ADDRESS(685,16))-INDIRECT(ADDRESS(686,16))</f>
        <v>0</v>
      </c>
      <c r="Q687">
        <f>INDIRECT(ADDRESS(687,16))+INDIRECT(ADDRESS(685,17))-INDIRECT(ADDRESS(686,17))</f>
        <v>0</v>
      </c>
      <c r="R687">
        <f>INDIRECT(ADDRESS(687,17))+INDIRECT(ADDRESS(685,18))-INDIRECT(ADDRESS(686,18))</f>
        <v>0</v>
      </c>
      <c r="S687">
        <f>INDIRECT(ADDRESS(687,18))+INDIRECT(ADDRESS(685,19))-INDIRECT(ADDRESS(686,19))</f>
        <v>0</v>
      </c>
      <c r="T687">
        <f>INDIRECT(ADDRESS(687,19))+INDIRECT(ADDRESS(685,20))-INDIRECT(ADDRESS(686,20))</f>
        <v>0</v>
      </c>
      <c r="U687">
        <f>INDIRECT(ADDRESS(687,20))+INDIRECT(ADDRESS(685,21))-INDIRECT(ADDRESS(686,21))</f>
        <v>0</v>
      </c>
      <c r="V687">
        <f>INDIRECT(ADDRESS(687,21))+INDIRECT(ADDRESS(685,22))-INDIRECT(ADDRESS(686,22))</f>
        <v>0</v>
      </c>
      <c r="W687">
        <f>INDIRECT(ADDRESS(687,22))+INDIRECT(ADDRESS(685,23))-INDIRECT(ADDRESS(686,23))</f>
        <v>0</v>
      </c>
      <c r="X687">
        <f>INDIRECT(ADDRESS(687,23))+INDIRECT(ADDRESS(685,24))-INDIRECT(ADDRESS(686,24))</f>
        <v>0</v>
      </c>
      <c r="Y687">
        <f>INDIRECT(ADDRESS(687,24))+INDIRECT(ADDRESS(685,25))-INDIRECT(ADDRESS(686,25))</f>
        <v>0</v>
      </c>
      <c r="Z687">
        <f>INDIRECT(ADDRESS(687,25))+INDIRECT(ADDRESS(685,26))-INDIRECT(ADDRESS(686,26))</f>
        <v>0</v>
      </c>
      <c r="AA687">
        <f>INDIRECT(ADDRESS(687,26))+INDIRECT(ADDRESS(685,27))-INDIRECT(ADDRESS(686,27))</f>
        <v>0</v>
      </c>
      <c r="AB687">
        <f>INDIRECT(ADDRESS(687,27))+INDIRECT(ADDRESS(685,28))-INDIRECT(ADDRESS(686,28))</f>
        <v>0</v>
      </c>
      <c r="AC687">
        <f>INDIRECT(ADDRESS(687,28))+INDIRECT(ADDRESS(685,29))-INDIRECT(ADDRESS(686,29))</f>
        <v>0</v>
      </c>
      <c r="AD687">
        <f>INDIRECT(ADDRESS(687,29))+INDIRECT(ADDRESS(685,30))-INDIRECT(ADDRESS(686,30))</f>
        <v>0</v>
      </c>
      <c r="AE687">
        <f>INDIRECT(ADDRESS(687,30))+INDIRECT(ADDRESS(685,31))-INDIRECT(ADDRESS(686,31))</f>
        <v>0</v>
      </c>
      <c r="AF687">
        <f>INDIRECT(ADDRESS(687,31))+INDIRECT(ADDRESS(685,32))-INDIRECT(ADDRESS(686,32))</f>
        <v>0</v>
      </c>
      <c r="AG687">
        <f>INDIRECT(ADDRESS(687,32))+INDIRECT(ADDRESS(685,33))-INDIRECT(ADDRESS(686,33))</f>
        <v>0</v>
      </c>
      <c r="AH687">
        <f>INDIRECT(ADDRESS(687,33))+INDIRECT(ADDRESS(685,34))-INDIRECT(ADDRESS(686,34))</f>
        <v>0</v>
      </c>
      <c r="AI687">
        <f>INDIRECT(ADDRESS(687,34))+INDIRECT(ADDRESS(685,35))-INDIRECT(ADDRESS(686,35))</f>
        <v>0</v>
      </c>
      <c r="AJ687">
        <f>INDIRECT(ADDRESS(687,35))+INDIRECT(ADDRESS(685,36))-INDIRECT(ADDRESS(686,36))</f>
        <v>0</v>
      </c>
      <c r="AK687">
        <f>INDIRECT(ADDRESS(687,36))+INDIRECT(ADDRESS(685,37))-INDIRECT(ADDRESS(686,37))</f>
        <v>0</v>
      </c>
      <c r="AL687">
        <f>INDIRECT(ADDRESS(687,37))+INDIRECT(ADDRESS(685,38))-INDIRECT(ADDRESS(686,38))</f>
        <v>0</v>
      </c>
      <c r="AM687">
        <f>INDIRECT(ADDRESS(687,38))+INDIRECT(ADDRESS(685,39))-INDIRECT(ADDRESS(686,39))</f>
        <v>0</v>
      </c>
      <c r="AN687">
        <f>INDIRECT(ADDRESS(687,39))+INDIRECT(ADDRESS(685,40))-INDIRECT(ADDRESS(686,40))</f>
        <v>0</v>
      </c>
      <c r="AO687">
        <f>SUM(INDIRECT(ADDRESS(686,8)):INDIRECT(ADDRESS(686,39)))</f>
        <v>0</v>
      </c>
    </row>
    <row r="688" spans="1:41">
      <c r="A688" t="s">
        <v>185</v>
      </c>
      <c r="B688" t="s">
        <v>57</v>
      </c>
      <c r="C688" t="s">
        <v>423</v>
      </c>
      <c r="E688">
        <v>1</v>
      </c>
      <c r="I688" t="s">
        <v>177</v>
      </c>
    </row>
    <row r="689" spans="1:41">
      <c r="I689" t="s">
        <v>178</v>
      </c>
      <c r="J689">
        <f>IFERROR(VLOOKUP("924-025056-300",B:AB,1+8,0),0)</f>
        <v>0</v>
      </c>
      <c r="K689">
        <f>IFERROR(VLOOKUP("924-025056-300",B:AB,2+8,0),0)</f>
        <v>0</v>
      </c>
      <c r="L689">
        <f>IFERROR(VLOOKUP("924-025056-300",B:AB,3+8,0),0)</f>
        <v>0</v>
      </c>
      <c r="M689">
        <f>IFERROR(VLOOKUP("924-025056-300",B:AB,4+8,0),0)</f>
        <v>0</v>
      </c>
      <c r="N689">
        <f>IFERROR(VLOOKUP("924-025056-300",B:AB,5+8,0),0)</f>
        <v>0</v>
      </c>
      <c r="O689">
        <f>IFERROR(VLOOKUP("924-025056-300",B:AB,6+8,0),0)</f>
        <v>0</v>
      </c>
      <c r="P689">
        <f>IFERROR(VLOOKUP("924-025056-300",B:AB,7+8,0),0)</f>
        <v>0</v>
      </c>
      <c r="Q689">
        <f>IFERROR(VLOOKUP("924-025056-300",B:AB,8+8,0),0)</f>
        <v>0</v>
      </c>
      <c r="R689">
        <f>IFERROR(VLOOKUP("924-025056-300",B:AB,9+8,0),0)</f>
        <v>0</v>
      </c>
      <c r="S689">
        <f>IFERROR(VLOOKUP("924-025056-300",B:AB,10+8,0),0)</f>
        <v>0</v>
      </c>
      <c r="T689">
        <f>IFERROR(VLOOKUP("924-025056-300",B:AB,11+8,0),0)</f>
        <v>0</v>
      </c>
      <c r="U689">
        <f>IFERROR(VLOOKUP("924-025056-300",B:AB,12+8,0),0)</f>
        <v>0</v>
      </c>
      <c r="V689">
        <f>IFERROR(VLOOKUP("924-025056-300",B:AB,13+8,0),0)</f>
        <v>0</v>
      </c>
      <c r="W689">
        <f>IFERROR(VLOOKUP("924-025056-300",B:AB,14+8,0),0)</f>
        <v>0</v>
      </c>
      <c r="X689">
        <f>IFERROR(VLOOKUP("924-025056-300",B:AB,15+8,0),0)</f>
        <v>0</v>
      </c>
      <c r="Y689">
        <f>IFERROR(VLOOKUP("924-025056-300",B:AB,16+8,0),0)</f>
        <v>0</v>
      </c>
      <c r="Z689">
        <f>IFERROR(VLOOKUP("924-025056-300",B:AB,17+8,0),0)</f>
        <v>0</v>
      </c>
      <c r="AA689">
        <f>IFERROR(VLOOKUP("924-025056-300",B:AB,18+8,0),0)</f>
        <v>0</v>
      </c>
      <c r="AB689">
        <f>IFERROR(VLOOKUP("924-025056-300",B:AB,19+8,0),0)</f>
        <v>0</v>
      </c>
      <c r="AC689">
        <f>IFERROR(VLOOKUP("924-025056-300",B:AB,20+8,0),0)</f>
        <v>0</v>
      </c>
      <c r="AD689">
        <f>IFERROR(VLOOKUP("924-025056-300",B:AB,21+8,0),0)</f>
        <v>0</v>
      </c>
      <c r="AE689">
        <f>IFERROR(VLOOKUP("924-025056-300",B:AB,22+8,0),0)</f>
        <v>0</v>
      </c>
      <c r="AF689">
        <f>IFERROR(VLOOKUP("924-025056-300",B:AB,23+8,0),0)</f>
        <v>0</v>
      </c>
      <c r="AG689">
        <f>IFERROR(VLOOKUP("924-025056-300",B:AB,24+8,0),0)</f>
        <v>0</v>
      </c>
      <c r="AH689">
        <f>IFERROR(VLOOKUP("924-025056-300",B:AB,25+8,0),0)</f>
        <v>0</v>
      </c>
      <c r="AI689">
        <f>IFERROR(VLOOKUP("924-025056-300",B:AB,26+8,0),0)</f>
        <v>0</v>
      </c>
      <c r="AJ689">
        <f>IFERROR(VLOOKUP("924-025056-300",B:AB,27+8,0),0)</f>
        <v>0</v>
      </c>
      <c r="AK689">
        <f>IFERROR(VLOOKUP("924-025056-300",B:AB,28+8,0),0)</f>
        <v>0</v>
      </c>
      <c r="AL689">
        <f>IFERROR(VLOOKUP("924-025056-300",B:AB,29+8,0),0)</f>
        <v>0</v>
      </c>
      <c r="AM689">
        <f>IFERROR(VLOOKUP("924-025056-300",B:AB,30+8,0),0)</f>
        <v>0</v>
      </c>
      <c r="AN689">
        <f>IFERROR(VLOOKUP("924-025056-300",B:AB,31+8,0),0)</f>
        <v>0</v>
      </c>
      <c r="AO689">
        <f>SUN(INDIRECT(ADDRESS(688,8)):INDIRECT(ADDRESS(688,39)))</f>
        <v>0</v>
      </c>
    </row>
    <row r="690" spans="1:41">
      <c r="H690" t="s">
        <v>179</v>
      </c>
      <c r="J690">
        <f>INDIRECT(ADDRESS(690,9))+INDIRECT(ADDRESS(688,10))-INDIRECT(ADDRESS(689,10))</f>
        <v>0</v>
      </c>
      <c r="K690">
        <f>INDIRECT(ADDRESS(690,10))+INDIRECT(ADDRESS(688,11))-INDIRECT(ADDRESS(689,11))</f>
        <v>0</v>
      </c>
      <c r="L690">
        <f>INDIRECT(ADDRESS(690,11))+INDIRECT(ADDRESS(688,12))-INDIRECT(ADDRESS(689,12))</f>
        <v>0</v>
      </c>
      <c r="M690">
        <f>INDIRECT(ADDRESS(690,12))+INDIRECT(ADDRESS(688,13))-INDIRECT(ADDRESS(689,13))</f>
        <v>0</v>
      </c>
      <c r="N690">
        <f>INDIRECT(ADDRESS(690,13))+INDIRECT(ADDRESS(688,14))-INDIRECT(ADDRESS(689,14))</f>
        <v>0</v>
      </c>
      <c r="O690">
        <f>INDIRECT(ADDRESS(690,14))+INDIRECT(ADDRESS(688,15))-INDIRECT(ADDRESS(689,15))</f>
        <v>0</v>
      </c>
      <c r="P690">
        <f>INDIRECT(ADDRESS(690,15))+INDIRECT(ADDRESS(688,16))-INDIRECT(ADDRESS(689,16))</f>
        <v>0</v>
      </c>
      <c r="Q690">
        <f>INDIRECT(ADDRESS(690,16))+INDIRECT(ADDRESS(688,17))-INDIRECT(ADDRESS(689,17))</f>
        <v>0</v>
      </c>
      <c r="R690">
        <f>INDIRECT(ADDRESS(690,17))+INDIRECT(ADDRESS(688,18))-INDIRECT(ADDRESS(689,18))</f>
        <v>0</v>
      </c>
      <c r="S690">
        <f>INDIRECT(ADDRESS(690,18))+INDIRECT(ADDRESS(688,19))-INDIRECT(ADDRESS(689,19))</f>
        <v>0</v>
      </c>
      <c r="T690">
        <f>INDIRECT(ADDRESS(690,19))+INDIRECT(ADDRESS(688,20))-INDIRECT(ADDRESS(689,20))</f>
        <v>0</v>
      </c>
      <c r="U690">
        <f>INDIRECT(ADDRESS(690,20))+INDIRECT(ADDRESS(688,21))-INDIRECT(ADDRESS(689,21))</f>
        <v>0</v>
      </c>
      <c r="V690">
        <f>INDIRECT(ADDRESS(690,21))+INDIRECT(ADDRESS(688,22))-INDIRECT(ADDRESS(689,22))</f>
        <v>0</v>
      </c>
      <c r="W690">
        <f>INDIRECT(ADDRESS(690,22))+INDIRECT(ADDRESS(688,23))-INDIRECT(ADDRESS(689,23))</f>
        <v>0</v>
      </c>
      <c r="X690">
        <f>INDIRECT(ADDRESS(690,23))+INDIRECT(ADDRESS(688,24))-INDIRECT(ADDRESS(689,24))</f>
        <v>0</v>
      </c>
      <c r="Y690">
        <f>INDIRECT(ADDRESS(690,24))+INDIRECT(ADDRESS(688,25))-INDIRECT(ADDRESS(689,25))</f>
        <v>0</v>
      </c>
      <c r="Z690">
        <f>INDIRECT(ADDRESS(690,25))+INDIRECT(ADDRESS(688,26))-INDIRECT(ADDRESS(689,26))</f>
        <v>0</v>
      </c>
      <c r="AA690">
        <f>INDIRECT(ADDRESS(690,26))+INDIRECT(ADDRESS(688,27))-INDIRECT(ADDRESS(689,27))</f>
        <v>0</v>
      </c>
      <c r="AB690">
        <f>INDIRECT(ADDRESS(690,27))+INDIRECT(ADDRESS(688,28))-INDIRECT(ADDRESS(689,28))</f>
        <v>0</v>
      </c>
      <c r="AC690">
        <f>INDIRECT(ADDRESS(690,28))+INDIRECT(ADDRESS(688,29))-INDIRECT(ADDRESS(689,29))</f>
        <v>0</v>
      </c>
      <c r="AD690">
        <f>INDIRECT(ADDRESS(690,29))+INDIRECT(ADDRESS(688,30))-INDIRECT(ADDRESS(689,30))</f>
        <v>0</v>
      </c>
      <c r="AE690">
        <f>INDIRECT(ADDRESS(690,30))+INDIRECT(ADDRESS(688,31))-INDIRECT(ADDRESS(689,31))</f>
        <v>0</v>
      </c>
      <c r="AF690">
        <f>INDIRECT(ADDRESS(690,31))+INDIRECT(ADDRESS(688,32))-INDIRECT(ADDRESS(689,32))</f>
        <v>0</v>
      </c>
      <c r="AG690">
        <f>INDIRECT(ADDRESS(690,32))+INDIRECT(ADDRESS(688,33))-INDIRECT(ADDRESS(689,33))</f>
        <v>0</v>
      </c>
      <c r="AH690">
        <f>INDIRECT(ADDRESS(690,33))+INDIRECT(ADDRESS(688,34))-INDIRECT(ADDRESS(689,34))</f>
        <v>0</v>
      </c>
      <c r="AI690">
        <f>INDIRECT(ADDRESS(690,34))+INDIRECT(ADDRESS(688,35))-INDIRECT(ADDRESS(689,35))</f>
        <v>0</v>
      </c>
      <c r="AJ690">
        <f>INDIRECT(ADDRESS(690,35))+INDIRECT(ADDRESS(688,36))-INDIRECT(ADDRESS(689,36))</f>
        <v>0</v>
      </c>
      <c r="AK690">
        <f>INDIRECT(ADDRESS(690,36))+INDIRECT(ADDRESS(688,37))-INDIRECT(ADDRESS(689,37))</f>
        <v>0</v>
      </c>
      <c r="AL690">
        <f>INDIRECT(ADDRESS(690,37))+INDIRECT(ADDRESS(688,38))-INDIRECT(ADDRESS(689,38))</f>
        <v>0</v>
      </c>
      <c r="AM690">
        <f>INDIRECT(ADDRESS(690,38))+INDIRECT(ADDRESS(688,39))-INDIRECT(ADDRESS(689,39))</f>
        <v>0</v>
      </c>
      <c r="AN690">
        <f>INDIRECT(ADDRESS(690,39))+INDIRECT(ADDRESS(688,40))-INDIRECT(ADDRESS(689,40))</f>
        <v>0</v>
      </c>
      <c r="AO690">
        <f>SUM(INDIRECT(ADDRESS(689,8)):INDIRECT(ADDRESS(689,39)))</f>
        <v>0</v>
      </c>
    </row>
    <row r="691" spans="1:41">
      <c r="A691" t="s">
        <v>185</v>
      </c>
      <c r="B691" t="s">
        <v>57</v>
      </c>
      <c r="C691" t="s">
        <v>424</v>
      </c>
      <c r="E691">
        <v>1</v>
      </c>
      <c r="I691" t="s">
        <v>177</v>
      </c>
    </row>
    <row r="692" spans="1:41">
      <c r="I692" t="s">
        <v>178</v>
      </c>
      <c r="J692">
        <f>IFERROR(VLOOKUP("924-025056-300",B:AB,1+8,0),0)</f>
        <v>0</v>
      </c>
      <c r="K692">
        <f>IFERROR(VLOOKUP("924-025056-300",B:AB,2+8,0),0)</f>
        <v>0</v>
      </c>
      <c r="L692">
        <f>IFERROR(VLOOKUP("924-025056-300",B:AB,3+8,0),0)</f>
        <v>0</v>
      </c>
      <c r="M692">
        <f>IFERROR(VLOOKUP("924-025056-300",B:AB,4+8,0),0)</f>
        <v>0</v>
      </c>
      <c r="N692">
        <f>IFERROR(VLOOKUP("924-025056-300",B:AB,5+8,0),0)</f>
        <v>0</v>
      </c>
      <c r="O692">
        <f>IFERROR(VLOOKUP("924-025056-300",B:AB,6+8,0),0)</f>
        <v>0</v>
      </c>
      <c r="P692">
        <f>IFERROR(VLOOKUP("924-025056-300",B:AB,7+8,0),0)</f>
        <v>0</v>
      </c>
      <c r="Q692">
        <f>IFERROR(VLOOKUP("924-025056-300",B:AB,8+8,0),0)</f>
        <v>0</v>
      </c>
      <c r="R692">
        <f>IFERROR(VLOOKUP("924-025056-300",B:AB,9+8,0),0)</f>
        <v>0</v>
      </c>
      <c r="S692">
        <f>IFERROR(VLOOKUP("924-025056-300",B:AB,10+8,0),0)</f>
        <v>0</v>
      </c>
      <c r="T692">
        <f>IFERROR(VLOOKUP("924-025056-300",B:AB,11+8,0),0)</f>
        <v>0</v>
      </c>
      <c r="U692">
        <f>IFERROR(VLOOKUP("924-025056-300",B:AB,12+8,0),0)</f>
        <v>0</v>
      </c>
      <c r="V692">
        <f>IFERROR(VLOOKUP("924-025056-300",B:AB,13+8,0),0)</f>
        <v>0</v>
      </c>
      <c r="W692">
        <f>IFERROR(VLOOKUP("924-025056-300",B:AB,14+8,0),0)</f>
        <v>0</v>
      </c>
      <c r="X692">
        <f>IFERROR(VLOOKUP("924-025056-300",B:AB,15+8,0),0)</f>
        <v>0</v>
      </c>
      <c r="Y692">
        <f>IFERROR(VLOOKUP("924-025056-300",B:AB,16+8,0),0)</f>
        <v>0</v>
      </c>
      <c r="Z692">
        <f>IFERROR(VLOOKUP("924-025056-300",B:AB,17+8,0),0)</f>
        <v>0</v>
      </c>
      <c r="AA692">
        <f>IFERROR(VLOOKUP("924-025056-300",B:AB,18+8,0),0)</f>
        <v>0</v>
      </c>
      <c r="AB692">
        <f>IFERROR(VLOOKUP("924-025056-300",B:AB,19+8,0),0)</f>
        <v>0</v>
      </c>
      <c r="AC692">
        <f>IFERROR(VLOOKUP("924-025056-300",B:AB,20+8,0),0)</f>
        <v>0</v>
      </c>
      <c r="AD692">
        <f>IFERROR(VLOOKUP("924-025056-300",B:AB,21+8,0),0)</f>
        <v>0</v>
      </c>
      <c r="AE692">
        <f>IFERROR(VLOOKUP("924-025056-300",B:AB,22+8,0),0)</f>
        <v>0</v>
      </c>
      <c r="AF692">
        <f>IFERROR(VLOOKUP("924-025056-300",B:AB,23+8,0),0)</f>
        <v>0</v>
      </c>
      <c r="AG692">
        <f>IFERROR(VLOOKUP("924-025056-300",B:AB,24+8,0),0)</f>
        <v>0</v>
      </c>
      <c r="AH692">
        <f>IFERROR(VLOOKUP("924-025056-300",B:AB,25+8,0),0)</f>
        <v>0</v>
      </c>
      <c r="AI692">
        <f>IFERROR(VLOOKUP("924-025056-300",B:AB,26+8,0),0)</f>
        <v>0</v>
      </c>
      <c r="AJ692">
        <f>IFERROR(VLOOKUP("924-025056-300",B:AB,27+8,0),0)</f>
        <v>0</v>
      </c>
      <c r="AK692">
        <f>IFERROR(VLOOKUP("924-025056-300",B:AB,28+8,0),0)</f>
        <v>0</v>
      </c>
      <c r="AL692">
        <f>IFERROR(VLOOKUP("924-025056-300",B:AB,29+8,0),0)</f>
        <v>0</v>
      </c>
      <c r="AM692">
        <f>IFERROR(VLOOKUP("924-025056-300",B:AB,30+8,0),0)</f>
        <v>0</v>
      </c>
      <c r="AN692">
        <f>IFERROR(VLOOKUP("924-025056-300",B:AB,31+8,0),0)</f>
        <v>0</v>
      </c>
      <c r="AO692">
        <f>SUN(INDIRECT(ADDRESS(691,8)):INDIRECT(ADDRESS(691,39)))</f>
        <v>0</v>
      </c>
    </row>
    <row r="693" spans="1:41">
      <c r="H693" t="s">
        <v>179</v>
      </c>
      <c r="J693">
        <f>INDIRECT(ADDRESS(693,9))+INDIRECT(ADDRESS(691,10))-INDIRECT(ADDRESS(692,10))</f>
        <v>0</v>
      </c>
      <c r="K693">
        <f>INDIRECT(ADDRESS(693,10))+INDIRECT(ADDRESS(691,11))-INDIRECT(ADDRESS(692,11))</f>
        <v>0</v>
      </c>
      <c r="L693">
        <f>INDIRECT(ADDRESS(693,11))+INDIRECT(ADDRESS(691,12))-INDIRECT(ADDRESS(692,12))</f>
        <v>0</v>
      </c>
      <c r="M693">
        <f>INDIRECT(ADDRESS(693,12))+INDIRECT(ADDRESS(691,13))-INDIRECT(ADDRESS(692,13))</f>
        <v>0</v>
      </c>
      <c r="N693">
        <f>INDIRECT(ADDRESS(693,13))+INDIRECT(ADDRESS(691,14))-INDIRECT(ADDRESS(692,14))</f>
        <v>0</v>
      </c>
      <c r="O693">
        <f>INDIRECT(ADDRESS(693,14))+INDIRECT(ADDRESS(691,15))-INDIRECT(ADDRESS(692,15))</f>
        <v>0</v>
      </c>
      <c r="P693">
        <f>INDIRECT(ADDRESS(693,15))+INDIRECT(ADDRESS(691,16))-INDIRECT(ADDRESS(692,16))</f>
        <v>0</v>
      </c>
      <c r="Q693">
        <f>INDIRECT(ADDRESS(693,16))+INDIRECT(ADDRESS(691,17))-INDIRECT(ADDRESS(692,17))</f>
        <v>0</v>
      </c>
      <c r="R693">
        <f>INDIRECT(ADDRESS(693,17))+INDIRECT(ADDRESS(691,18))-INDIRECT(ADDRESS(692,18))</f>
        <v>0</v>
      </c>
      <c r="S693">
        <f>INDIRECT(ADDRESS(693,18))+INDIRECT(ADDRESS(691,19))-INDIRECT(ADDRESS(692,19))</f>
        <v>0</v>
      </c>
      <c r="T693">
        <f>INDIRECT(ADDRESS(693,19))+INDIRECT(ADDRESS(691,20))-INDIRECT(ADDRESS(692,20))</f>
        <v>0</v>
      </c>
      <c r="U693">
        <f>INDIRECT(ADDRESS(693,20))+INDIRECT(ADDRESS(691,21))-INDIRECT(ADDRESS(692,21))</f>
        <v>0</v>
      </c>
      <c r="V693">
        <f>INDIRECT(ADDRESS(693,21))+INDIRECT(ADDRESS(691,22))-INDIRECT(ADDRESS(692,22))</f>
        <v>0</v>
      </c>
      <c r="W693">
        <f>INDIRECT(ADDRESS(693,22))+INDIRECT(ADDRESS(691,23))-INDIRECT(ADDRESS(692,23))</f>
        <v>0</v>
      </c>
      <c r="X693">
        <f>INDIRECT(ADDRESS(693,23))+INDIRECT(ADDRESS(691,24))-INDIRECT(ADDRESS(692,24))</f>
        <v>0</v>
      </c>
      <c r="Y693">
        <f>INDIRECT(ADDRESS(693,24))+INDIRECT(ADDRESS(691,25))-INDIRECT(ADDRESS(692,25))</f>
        <v>0</v>
      </c>
      <c r="Z693">
        <f>INDIRECT(ADDRESS(693,25))+INDIRECT(ADDRESS(691,26))-INDIRECT(ADDRESS(692,26))</f>
        <v>0</v>
      </c>
      <c r="AA693">
        <f>INDIRECT(ADDRESS(693,26))+INDIRECT(ADDRESS(691,27))-INDIRECT(ADDRESS(692,27))</f>
        <v>0</v>
      </c>
      <c r="AB693">
        <f>INDIRECT(ADDRESS(693,27))+INDIRECT(ADDRESS(691,28))-INDIRECT(ADDRESS(692,28))</f>
        <v>0</v>
      </c>
      <c r="AC693">
        <f>INDIRECT(ADDRESS(693,28))+INDIRECT(ADDRESS(691,29))-INDIRECT(ADDRESS(692,29))</f>
        <v>0</v>
      </c>
      <c r="AD693">
        <f>INDIRECT(ADDRESS(693,29))+INDIRECT(ADDRESS(691,30))-INDIRECT(ADDRESS(692,30))</f>
        <v>0</v>
      </c>
      <c r="AE693">
        <f>INDIRECT(ADDRESS(693,30))+INDIRECT(ADDRESS(691,31))-INDIRECT(ADDRESS(692,31))</f>
        <v>0</v>
      </c>
      <c r="AF693">
        <f>INDIRECT(ADDRESS(693,31))+INDIRECT(ADDRESS(691,32))-INDIRECT(ADDRESS(692,32))</f>
        <v>0</v>
      </c>
      <c r="AG693">
        <f>INDIRECT(ADDRESS(693,32))+INDIRECT(ADDRESS(691,33))-INDIRECT(ADDRESS(692,33))</f>
        <v>0</v>
      </c>
      <c r="AH693">
        <f>INDIRECT(ADDRESS(693,33))+INDIRECT(ADDRESS(691,34))-INDIRECT(ADDRESS(692,34))</f>
        <v>0</v>
      </c>
      <c r="AI693">
        <f>INDIRECT(ADDRESS(693,34))+INDIRECT(ADDRESS(691,35))-INDIRECT(ADDRESS(692,35))</f>
        <v>0</v>
      </c>
      <c r="AJ693">
        <f>INDIRECT(ADDRESS(693,35))+INDIRECT(ADDRESS(691,36))-INDIRECT(ADDRESS(692,36))</f>
        <v>0</v>
      </c>
      <c r="AK693">
        <f>INDIRECT(ADDRESS(693,36))+INDIRECT(ADDRESS(691,37))-INDIRECT(ADDRESS(692,37))</f>
        <v>0</v>
      </c>
      <c r="AL693">
        <f>INDIRECT(ADDRESS(693,37))+INDIRECT(ADDRESS(691,38))-INDIRECT(ADDRESS(692,38))</f>
        <v>0</v>
      </c>
      <c r="AM693">
        <f>INDIRECT(ADDRESS(693,38))+INDIRECT(ADDRESS(691,39))-INDIRECT(ADDRESS(692,39))</f>
        <v>0</v>
      </c>
      <c r="AN693">
        <f>INDIRECT(ADDRESS(693,39))+INDIRECT(ADDRESS(691,40))-INDIRECT(ADDRESS(692,40))</f>
        <v>0</v>
      </c>
      <c r="AO693">
        <f>SUM(INDIRECT(ADDRESS(692,8)):INDIRECT(ADDRESS(692,39)))</f>
        <v>0</v>
      </c>
    </row>
    <row r="694" spans="1:41">
      <c r="A694" t="s">
        <v>185</v>
      </c>
      <c r="B694" t="s">
        <v>57</v>
      </c>
      <c r="C694" t="s">
        <v>425</v>
      </c>
      <c r="E694">
        <v>1</v>
      </c>
      <c r="I694" t="s">
        <v>177</v>
      </c>
    </row>
    <row r="695" spans="1:41">
      <c r="I695" t="s">
        <v>178</v>
      </c>
      <c r="J695">
        <f>IFERROR(VLOOKUP("924-025056-300",B:AB,1+8,0),0)</f>
        <v>0</v>
      </c>
      <c r="K695">
        <f>IFERROR(VLOOKUP("924-025056-300",B:AB,2+8,0),0)</f>
        <v>0</v>
      </c>
      <c r="L695">
        <f>IFERROR(VLOOKUP("924-025056-300",B:AB,3+8,0),0)</f>
        <v>0</v>
      </c>
      <c r="M695">
        <f>IFERROR(VLOOKUP("924-025056-300",B:AB,4+8,0),0)</f>
        <v>0</v>
      </c>
      <c r="N695">
        <f>IFERROR(VLOOKUP("924-025056-300",B:AB,5+8,0),0)</f>
        <v>0</v>
      </c>
      <c r="O695">
        <f>IFERROR(VLOOKUP("924-025056-300",B:AB,6+8,0),0)</f>
        <v>0</v>
      </c>
      <c r="P695">
        <f>IFERROR(VLOOKUP("924-025056-300",B:AB,7+8,0),0)</f>
        <v>0</v>
      </c>
      <c r="Q695">
        <f>IFERROR(VLOOKUP("924-025056-300",B:AB,8+8,0),0)</f>
        <v>0</v>
      </c>
      <c r="R695">
        <f>IFERROR(VLOOKUP("924-025056-300",B:AB,9+8,0),0)</f>
        <v>0</v>
      </c>
      <c r="S695">
        <f>IFERROR(VLOOKUP("924-025056-300",B:AB,10+8,0),0)</f>
        <v>0</v>
      </c>
      <c r="T695">
        <f>IFERROR(VLOOKUP("924-025056-300",B:AB,11+8,0),0)</f>
        <v>0</v>
      </c>
      <c r="U695">
        <f>IFERROR(VLOOKUP("924-025056-300",B:AB,12+8,0),0)</f>
        <v>0</v>
      </c>
      <c r="V695">
        <f>IFERROR(VLOOKUP("924-025056-300",B:AB,13+8,0),0)</f>
        <v>0</v>
      </c>
      <c r="W695">
        <f>IFERROR(VLOOKUP("924-025056-300",B:AB,14+8,0),0)</f>
        <v>0</v>
      </c>
      <c r="X695">
        <f>IFERROR(VLOOKUP("924-025056-300",B:AB,15+8,0),0)</f>
        <v>0</v>
      </c>
      <c r="Y695">
        <f>IFERROR(VLOOKUP("924-025056-300",B:AB,16+8,0),0)</f>
        <v>0</v>
      </c>
      <c r="Z695">
        <f>IFERROR(VLOOKUP("924-025056-300",B:AB,17+8,0),0)</f>
        <v>0</v>
      </c>
      <c r="AA695">
        <f>IFERROR(VLOOKUP("924-025056-300",B:AB,18+8,0),0)</f>
        <v>0</v>
      </c>
      <c r="AB695">
        <f>IFERROR(VLOOKUP("924-025056-300",B:AB,19+8,0),0)</f>
        <v>0</v>
      </c>
      <c r="AC695">
        <f>IFERROR(VLOOKUP("924-025056-300",B:AB,20+8,0),0)</f>
        <v>0</v>
      </c>
      <c r="AD695">
        <f>IFERROR(VLOOKUP("924-025056-300",B:AB,21+8,0),0)</f>
        <v>0</v>
      </c>
      <c r="AE695">
        <f>IFERROR(VLOOKUP("924-025056-300",B:AB,22+8,0),0)</f>
        <v>0</v>
      </c>
      <c r="AF695">
        <f>IFERROR(VLOOKUP("924-025056-300",B:AB,23+8,0),0)</f>
        <v>0</v>
      </c>
      <c r="AG695">
        <f>IFERROR(VLOOKUP("924-025056-300",B:AB,24+8,0),0)</f>
        <v>0</v>
      </c>
      <c r="AH695">
        <f>IFERROR(VLOOKUP("924-025056-300",B:AB,25+8,0),0)</f>
        <v>0</v>
      </c>
      <c r="AI695">
        <f>IFERROR(VLOOKUP("924-025056-300",B:AB,26+8,0),0)</f>
        <v>0</v>
      </c>
      <c r="AJ695">
        <f>IFERROR(VLOOKUP("924-025056-300",B:AB,27+8,0),0)</f>
        <v>0</v>
      </c>
      <c r="AK695">
        <f>IFERROR(VLOOKUP("924-025056-300",B:AB,28+8,0),0)</f>
        <v>0</v>
      </c>
      <c r="AL695">
        <f>IFERROR(VLOOKUP("924-025056-300",B:AB,29+8,0),0)</f>
        <v>0</v>
      </c>
      <c r="AM695">
        <f>IFERROR(VLOOKUP("924-025056-300",B:AB,30+8,0),0)</f>
        <v>0</v>
      </c>
      <c r="AN695">
        <f>IFERROR(VLOOKUP("924-025056-300",B:AB,31+8,0),0)</f>
        <v>0</v>
      </c>
      <c r="AO695">
        <f>SUN(INDIRECT(ADDRESS(694,8)):INDIRECT(ADDRESS(694,39)))</f>
        <v>0</v>
      </c>
    </row>
    <row r="696" spans="1:41">
      <c r="H696" t="s">
        <v>179</v>
      </c>
      <c r="J696">
        <f>INDIRECT(ADDRESS(696,9))+INDIRECT(ADDRESS(694,10))-INDIRECT(ADDRESS(695,10))</f>
        <v>0</v>
      </c>
      <c r="K696">
        <f>INDIRECT(ADDRESS(696,10))+INDIRECT(ADDRESS(694,11))-INDIRECT(ADDRESS(695,11))</f>
        <v>0</v>
      </c>
      <c r="L696">
        <f>INDIRECT(ADDRESS(696,11))+INDIRECT(ADDRESS(694,12))-INDIRECT(ADDRESS(695,12))</f>
        <v>0</v>
      </c>
      <c r="M696">
        <f>INDIRECT(ADDRESS(696,12))+INDIRECT(ADDRESS(694,13))-INDIRECT(ADDRESS(695,13))</f>
        <v>0</v>
      </c>
      <c r="N696">
        <f>INDIRECT(ADDRESS(696,13))+INDIRECT(ADDRESS(694,14))-INDIRECT(ADDRESS(695,14))</f>
        <v>0</v>
      </c>
      <c r="O696">
        <f>INDIRECT(ADDRESS(696,14))+INDIRECT(ADDRESS(694,15))-INDIRECT(ADDRESS(695,15))</f>
        <v>0</v>
      </c>
      <c r="P696">
        <f>INDIRECT(ADDRESS(696,15))+INDIRECT(ADDRESS(694,16))-INDIRECT(ADDRESS(695,16))</f>
        <v>0</v>
      </c>
      <c r="Q696">
        <f>INDIRECT(ADDRESS(696,16))+INDIRECT(ADDRESS(694,17))-INDIRECT(ADDRESS(695,17))</f>
        <v>0</v>
      </c>
      <c r="R696">
        <f>INDIRECT(ADDRESS(696,17))+INDIRECT(ADDRESS(694,18))-INDIRECT(ADDRESS(695,18))</f>
        <v>0</v>
      </c>
      <c r="S696">
        <f>INDIRECT(ADDRESS(696,18))+INDIRECT(ADDRESS(694,19))-INDIRECT(ADDRESS(695,19))</f>
        <v>0</v>
      </c>
      <c r="T696">
        <f>INDIRECT(ADDRESS(696,19))+INDIRECT(ADDRESS(694,20))-INDIRECT(ADDRESS(695,20))</f>
        <v>0</v>
      </c>
      <c r="U696">
        <f>INDIRECT(ADDRESS(696,20))+INDIRECT(ADDRESS(694,21))-INDIRECT(ADDRESS(695,21))</f>
        <v>0</v>
      </c>
      <c r="V696">
        <f>INDIRECT(ADDRESS(696,21))+INDIRECT(ADDRESS(694,22))-INDIRECT(ADDRESS(695,22))</f>
        <v>0</v>
      </c>
      <c r="W696">
        <f>INDIRECT(ADDRESS(696,22))+INDIRECT(ADDRESS(694,23))-INDIRECT(ADDRESS(695,23))</f>
        <v>0</v>
      </c>
      <c r="X696">
        <f>INDIRECT(ADDRESS(696,23))+INDIRECT(ADDRESS(694,24))-INDIRECT(ADDRESS(695,24))</f>
        <v>0</v>
      </c>
      <c r="Y696">
        <f>INDIRECT(ADDRESS(696,24))+INDIRECT(ADDRESS(694,25))-INDIRECT(ADDRESS(695,25))</f>
        <v>0</v>
      </c>
      <c r="Z696">
        <f>INDIRECT(ADDRESS(696,25))+INDIRECT(ADDRESS(694,26))-INDIRECT(ADDRESS(695,26))</f>
        <v>0</v>
      </c>
      <c r="AA696">
        <f>INDIRECT(ADDRESS(696,26))+INDIRECT(ADDRESS(694,27))-INDIRECT(ADDRESS(695,27))</f>
        <v>0</v>
      </c>
      <c r="AB696">
        <f>INDIRECT(ADDRESS(696,27))+INDIRECT(ADDRESS(694,28))-INDIRECT(ADDRESS(695,28))</f>
        <v>0</v>
      </c>
      <c r="AC696">
        <f>INDIRECT(ADDRESS(696,28))+INDIRECT(ADDRESS(694,29))-INDIRECT(ADDRESS(695,29))</f>
        <v>0</v>
      </c>
      <c r="AD696">
        <f>INDIRECT(ADDRESS(696,29))+INDIRECT(ADDRESS(694,30))-INDIRECT(ADDRESS(695,30))</f>
        <v>0</v>
      </c>
      <c r="AE696">
        <f>INDIRECT(ADDRESS(696,30))+INDIRECT(ADDRESS(694,31))-INDIRECT(ADDRESS(695,31))</f>
        <v>0</v>
      </c>
      <c r="AF696">
        <f>INDIRECT(ADDRESS(696,31))+INDIRECT(ADDRESS(694,32))-INDIRECT(ADDRESS(695,32))</f>
        <v>0</v>
      </c>
      <c r="AG696">
        <f>INDIRECT(ADDRESS(696,32))+INDIRECT(ADDRESS(694,33))-INDIRECT(ADDRESS(695,33))</f>
        <v>0</v>
      </c>
      <c r="AH696">
        <f>INDIRECT(ADDRESS(696,33))+INDIRECT(ADDRESS(694,34))-INDIRECT(ADDRESS(695,34))</f>
        <v>0</v>
      </c>
      <c r="AI696">
        <f>INDIRECT(ADDRESS(696,34))+INDIRECT(ADDRESS(694,35))-INDIRECT(ADDRESS(695,35))</f>
        <v>0</v>
      </c>
      <c r="AJ696">
        <f>INDIRECT(ADDRESS(696,35))+INDIRECT(ADDRESS(694,36))-INDIRECT(ADDRESS(695,36))</f>
        <v>0</v>
      </c>
      <c r="AK696">
        <f>INDIRECT(ADDRESS(696,36))+INDIRECT(ADDRESS(694,37))-INDIRECT(ADDRESS(695,37))</f>
        <v>0</v>
      </c>
      <c r="AL696">
        <f>INDIRECT(ADDRESS(696,37))+INDIRECT(ADDRESS(694,38))-INDIRECT(ADDRESS(695,38))</f>
        <v>0</v>
      </c>
      <c r="AM696">
        <f>INDIRECT(ADDRESS(696,38))+INDIRECT(ADDRESS(694,39))-INDIRECT(ADDRESS(695,39))</f>
        <v>0</v>
      </c>
      <c r="AN696">
        <f>INDIRECT(ADDRESS(696,39))+INDIRECT(ADDRESS(694,40))-INDIRECT(ADDRESS(695,40))</f>
        <v>0</v>
      </c>
      <c r="AO696">
        <f>SUM(INDIRECT(ADDRESS(695,8)):INDIRECT(ADDRESS(695,39)))</f>
        <v>0</v>
      </c>
    </row>
    <row r="697" spans="1:41">
      <c r="A697" t="s">
        <v>238</v>
      </c>
      <c r="B697" t="s">
        <v>57</v>
      </c>
      <c r="C697" t="s">
        <v>417</v>
      </c>
      <c r="E697">
        <v>0.05</v>
      </c>
      <c r="I697" t="s">
        <v>177</v>
      </c>
    </row>
    <row r="698" spans="1:41">
      <c r="I698" t="s">
        <v>178</v>
      </c>
      <c r="J698">
        <f>IFERROR(VLOOKUP("924-025056-300",B:AB,1+8,0),0)</f>
        <v>0</v>
      </c>
      <c r="K698">
        <f>IFERROR(VLOOKUP("924-025056-300",B:AB,2+8,0),0)</f>
        <v>0</v>
      </c>
      <c r="L698">
        <f>IFERROR(VLOOKUP("924-025056-300",B:AB,3+8,0),0)</f>
        <v>0</v>
      </c>
      <c r="M698">
        <f>IFERROR(VLOOKUP("924-025056-300",B:AB,4+8,0),0)</f>
        <v>0</v>
      </c>
      <c r="N698">
        <f>IFERROR(VLOOKUP("924-025056-300",B:AB,5+8,0),0)</f>
        <v>0</v>
      </c>
      <c r="O698">
        <f>IFERROR(VLOOKUP("924-025056-300",B:AB,6+8,0),0)</f>
        <v>0</v>
      </c>
      <c r="P698">
        <f>IFERROR(VLOOKUP("924-025056-300",B:AB,7+8,0),0)</f>
        <v>0</v>
      </c>
      <c r="Q698">
        <f>IFERROR(VLOOKUP("924-025056-300",B:AB,8+8,0),0)</f>
        <v>0</v>
      </c>
      <c r="R698">
        <f>IFERROR(VLOOKUP("924-025056-300",B:AB,9+8,0),0)</f>
        <v>0</v>
      </c>
      <c r="S698">
        <f>IFERROR(VLOOKUP("924-025056-300",B:AB,10+8,0),0)</f>
        <v>0</v>
      </c>
      <c r="T698">
        <f>IFERROR(VLOOKUP("924-025056-300",B:AB,11+8,0),0)</f>
        <v>0</v>
      </c>
      <c r="U698">
        <f>IFERROR(VLOOKUP("924-025056-300",B:AB,12+8,0),0)</f>
        <v>0</v>
      </c>
      <c r="V698">
        <f>IFERROR(VLOOKUP("924-025056-300",B:AB,13+8,0),0)</f>
        <v>0</v>
      </c>
      <c r="W698">
        <f>IFERROR(VLOOKUP("924-025056-300",B:AB,14+8,0),0)</f>
        <v>0</v>
      </c>
      <c r="X698">
        <f>IFERROR(VLOOKUP("924-025056-300",B:AB,15+8,0),0)</f>
        <v>0</v>
      </c>
      <c r="Y698">
        <f>IFERROR(VLOOKUP("924-025056-300",B:AB,16+8,0),0)</f>
        <v>0</v>
      </c>
      <c r="Z698">
        <f>IFERROR(VLOOKUP("924-025056-300",B:AB,17+8,0),0)</f>
        <v>0</v>
      </c>
      <c r="AA698">
        <f>IFERROR(VLOOKUP("924-025056-300",B:AB,18+8,0),0)</f>
        <v>0</v>
      </c>
      <c r="AB698">
        <f>IFERROR(VLOOKUP("924-025056-300",B:AB,19+8,0),0)</f>
        <v>0</v>
      </c>
      <c r="AC698">
        <f>IFERROR(VLOOKUP("924-025056-300",B:AB,20+8,0),0)</f>
        <v>0</v>
      </c>
      <c r="AD698">
        <f>IFERROR(VLOOKUP("924-025056-300",B:AB,21+8,0),0)</f>
        <v>0</v>
      </c>
      <c r="AE698">
        <f>IFERROR(VLOOKUP("924-025056-300",B:AB,22+8,0),0)</f>
        <v>0</v>
      </c>
      <c r="AF698">
        <f>IFERROR(VLOOKUP("924-025056-300",B:AB,23+8,0),0)</f>
        <v>0</v>
      </c>
      <c r="AG698">
        <f>IFERROR(VLOOKUP("924-025056-300",B:AB,24+8,0),0)</f>
        <v>0</v>
      </c>
      <c r="AH698">
        <f>IFERROR(VLOOKUP("924-025056-300",B:AB,25+8,0),0)</f>
        <v>0</v>
      </c>
      <c r="AI698">
        <f>IFERROR(VLOOKUP("924-025056-300",B:AB,26+8,0),0)</f>
        <v>0</v>
      </c>
      <c r="AJ698">
        <f>IFERROR(VLOOKUP("924-025056-300",B:AB,27+8,0),0)</f>
        <v>0</v>
      </c>
      <c r="AK698">
        <f>IFERROR(VLOOKUP("924-025056-300",B:AB,28+8,0),0)</f>
        <v>0</v>
      </c>
      <c r="AL698">
        <f>IFERROR(VLOOKUP("924-025056-300",B:AB,29+8,0),0)</f>
        <v>0</v>
      </c>
      <c r="AM698">
        <f>IFERROR(VLOOKUP("924-025056-300",B:AB,30+8,0),0)</f>
        <v>0</v>
      </c>
      <c r="AN698">
        <f>IFERROR(VLOOKUP("924-025056-300",B:AB,31+8,0),0)</f>
        <v>0</v>
      </c>
      <c r="AO698">
        <f>SUN(INDIRECT(ADDRESS(697,8)):INDIRECT(ADDRESS(697,39)))</f>
        <v>0</v>
      </c>
    </row>
    <row r="699" spans="1:41">
      <c r="H699" t="s">
        <v>179</v>
      </c>
      <c r="J699">
        <f>INDIRECT(ADDRESS(699,9))+INDIRECT(ADDRESS(697,10))-INDIRECT(ADDRESS(698,10))</f>
        <v>0</v>
      </c>
      <c r="K699">
        <f>INDIRECT(ADDRESS(699,10))+INDIRECT(ADDRESS(697,11))-INDIRECT(ADDRESS(698,11))</f>
        <v>0</v>
      </c>
      <c r="L699">
        <f>INDIRECT(ADDRESS(699,11))+INDIRECT(ADDRESS(697,12))-INDIRECT(ADDRESS(698,12))</f>
        <v>0</v>
      </c>
      <c r="M699">
        <f>INDIRECT(ADDRESS(699,12))+INDIRECT(ADDRESS(697,13))-INDIRECT(ADDRESS(698,13))</f>
        <v>0</v>
      </c>
      <c r="N699">
        <f>INDIRECT(ADDRESS(699,13))+INDIRECT(ADDRESS(697,14))-INDIRECT(ADDRESS(698,14))</f>
        <v>0</v>
      </c>
      <c r="O699">
        <f>INDIRECT(ADDRESS(699,14))+INDIRECT(ADDRESS(697,15))-INDIRECT(ADDRESS(698,15))</f>
        <v>0</v>
      </c>
      <c r="P699">
        <f>INDIRECT(ADDRESS(699,15))+INDIRECT(ADDRESS(697,16))-INDIRECT(ADDRESS(698,16))</f>
        <v>0</v>
      </c>
      <c r="Q699">
        <f>INDIRECT(ADDRESS(699,16))+INDIRECT(ADDRESS(697,17))-INDIRECT(ADDRESS(698,17))</f>
        <v>0</v>
      </c>
      <c r="R699">
        <f>INDIRECT(ADDRESS(699,17))+INDIRECT(ADDRESS(697,18))-INDIRECT(ADDRESS(698,18))</f>
        <v>0</v>
      </c>
      <c r="S699">
        <f>INDIRECT(ADDRESS(699,18))+INDIRECT(ADDRESS(697,19))-INDIRECT(ADDRESS(698,19))</f>
        <v>0</v>
      </c>
      <c r="T699">
        <f>INDIRECT(ADDRESS(699,19))+INDIRECT(ADDRESS(697,20))-INDIRECT(ADDRESS(698,20))</f>
        <v>0</v>
      </c>
      <c r="U699">
        <f>INDIRECT(ADDRESS(699,20))+INDIRECT(ADDRESS(697,21))-INDIRECT(ADDRESS(698,21))</f>
        <v>0</v>
      </c>
      <c r="V699">
        <f>INDIRECT(ADDRESS(699,21))+INDIRECT(ADDRESS(697,22))-INDIRECT(ADDRESS(698,22))</f>
        <v>0</v>
      </c>
      <c r="W699">
        <f>INDIRECT(ADDRESS(699,22))+INDIRECT(ADDRESS(697,23))-INDIRECT(ADDRESS(698,23))</f>
        <v>0</v>
      </c>
      <c r="X699">
        <f>INDIRECT(ADDRESS(699,23))+INDIRECT(ADDRESS(697,24))-INDIRECT(ADDRESS(698,24))</f>
        <v>0</v>
      </c>
      <c r="Y699">
        <f>INDIRECT(ADDRESS(699,24))+INDIRECT(ADDRESS(697,25))-INDIRECT(ADDRESS(698,25))</f>
        <v>0</v>
      </c>
      <c r="Z699">
        <f>INDIRECT(ADDRESS(699,25))+INDIRECT(ADDRESS(697,26))-INDIRECT(ADDRESS(698,26))</f>
        <v>0</v>
      </c>
      <c r="AA699">
        <f>INDIRECT(ADDRESS(699,26))+INDIRECT(ADDRESS(697,27))-INDIRECT(ADDRESS(698,27))</f>
        <v>0</v>
      </c>
      <c r="AB699">
        <f>INDIRECT(ADDRESS(699,27))+INDIRECT(ADDRESS(697,28))-INDIRECT(ADDRESS(698,28))</f>
        <v>0</v>
      </c>
      <c r="AC699">
        <f>INDIRECT(ADDRESS(699,28))+INDIRECT(ADDRESS(697,29))-INDIRECT(ADDRESS(698,29))</f>
        <v>0</v>
      </c>
      <c r="AD699">
        <f>INDIRECT(ADDRESS(699,29))+INDIRECT(ADDRESS(697,30))-INDIRECT(ADDRESS(698,30))</f>
        <v>0</v>
      </c>
      <c r="AE699">
        <f>INDIRECT(ADDRESS(699,30))+INDIRECT(ADDRESS(697,31))-INDIRECT(ADDRESS(698,31))</f>
        <v>0</v>
      </c>
      <c r="AF699">
        <f>INDIRECT(ADDRESS(699,31))+INDIRECT(ADDRESS(697,32))-INDIRECT(ADDRESS(698,32))</f>
        <v>0</v>
      </c>
      <c r="AG699">
        <f>INDIRECT(ADDRESS(699,32))+INDIRECT(ADDRESS(697,33))-INDIRECT(ADDRESS(698,33))</f>
        <v>0</v>
      </c>
      <c r="AH699">
        <f>INDIRECT(ADDRESS(699,33))+INDIRECT(ADDRESS(697,34))-INDIRECT(ADDRESS(698,34))</f>
        <v>0</v>
      </c>
      <c r="AI699">
        <f>INDIRECT(ADDRESS(699,34))+INDIRECT(ADDRESS(697,35))-INDIRECT(ADDRESS(698,35))</f>
        <v>0</v>
      </c>
      <c r="AJ699">
        <f>INDIRECT(ADDRESS(699,35))+INDIRECT(ADDRESS(697,36))-INDIRECT(ADDRESS(698,36))</f>
        <v>0</v>
      </c>
      <c r="AK699">
        <f>INDIRECT(ADDRESS(699,36))+INDIRECT(ADDRESS(697,37))-INDIRECT(ADDRESS(698,37))</f>
        <v>0</v>
      </c>
      <c r="AL699">
        <f>INDIRECT(ADDRESS(699,37))+INDIRECT(ADDRESS(697,38))-INDIRECT(ADDRESS(698,38))</f>
        <v>0</v>
      </c>
      <c r="AM699">
        <f>INDIRECT(ADDRESS(699,38))+INDIRECT(ADDRESS(697,39))-INDIRECT(ADDRESS(698,39))</f>
        <v>0</v>
      </c>
      <c r="AN699">
        <f>INDIRECT(ADDRESS(699,39))+INDIRECT(ADDRESS(697,40))-INDIRECT(ADDRESS(698,40))</f>
        <v>0</v>
      </c>
      <c r="AO699">
        <f>SUM(INDIRECT(ADDRESS(698,8)):INDIRECT(ADDRESS(698,39)))</f>
        <v>0</v>
      </c>
    </row>
    <row r="700" spans="1:41">
      <c r="A700" t="s">
        <v>206</v>
      </c>
      <c r="B700" t="s">
        <v>57</v>
      </c>
      <c r="C700" t="s">
        <v>426</v>
      </c>
      <c r="E700">
        <v>0.05</v>
      </c>
      <c r="I700" t="s">
        <v>177</v>
      </c>
    </row>
    <row r="701" spans="1:41">
      <c r="I701" t="s">
        <v>178</v>
      </c>
      <c r="J701">
        <f>IFERROR(VLOOKUP("924-025056-300",B:AB,1+8,0),0)</f>
        <v>0</v>
      </c>
      <c r="K701">
        <f>IFERROR(VLOOKUP("924-025056-300",B:AB,2+8,0),0)</f>
        <v>0</v>
      </c>
      <c r="L701">
        <f>IFERROR(VLOOKUP("924-025056-300",B:AB,3+8,0),0)</f>
        <v>0</v>
      </c>
      <c r="M701">
        <f>IFERROR(VLOOKUP("924-025056-300",B:AB,4+8,0),0)</f>
        <v>0</v>
      </c>
      <c r="N701">
        <f>IFERROR(VLOOKUP("924-025056-300",B:AB,5+8,0),0)</f>
        <v>0</v>
      </c>
      <c r="O701">
        <f>IFERROR(VLOOKUP("924-025056-300",B:AB,6+8,0),0)</f>
        <v>0</v>
      </c>
      <c r="P701">
        <f>IFERROR(VLOOKUP("924-025056-300",B:AB,7+8,0),0)</f>
        <v>0</v>
      </c>
      <c r="Q701">
        <f>IFERROR(VLOOKUP("924-025056-300",B:AB,8+8,0),0)</f>
        <v>0</v>
      </c>
      <c r="R701">
        <f>IFERROR(VLOOKUP("924-025056-300",B:AB,9+8,0),0)</f>
        <v>0</v>
      </c>
      <c r="S701">
        <f>IFERROR(VLOOKUP("924-025056-300",B:AB,10+8,0),0)</f>
        <v>0</v>
      </c>
      <c r="T701">
        <f>IFERROR(VLOOKUP("924-025056-300",B:AB,11+8,0),0)</f>
        <v>0</v>
      </c>
      <c r="U701">
        <f>IFERROR(VLOOKUP("924-025056-300",B:AB,12+8,0),0)</f>
        <v>0</v>
      </c>
      <c r="V701">
        <f>IFERROR(VLOOKUP("924-025056-300",B:AB,13+8,0),0)</f>
        <v>0</v>
      </c>
      <c r="W701">
        <f>IFERROR(VLOOKUP("924-025056-300",B:AB,14+8,0),0)</f>
        <v>0</v>
      </c>
      <c r="X701">
        <f>IFERROR(VLOOKUP("924-025056-300",B:AB,15+8,0),0)</f>
        <v>0</v>
      </c>
      <c r="Y701">
        <f>IFERROR(VLOOKUP("924-025056-300",B:AB,16+8,0),0)</f>
        <v>0</v>
      </c>
      <c r="Z701">
        <f>IFERROR(VLOOKUP("924-025056-300",B:AB,17+8,0),0)</f>
        <v>0</v>
      </c>
      <c r="AA701">
        <f>IFERROR(VLOOKUP("924-025056-300",B:AB,18+8,0),0)</f>
        <v>0</v>
      </c>
      <c r="AB701">
        <f>IFERROR(VLOOKUP("924-025056-300",B:AB,19+8,0),0)</f>
        <v>0</v>
      </c>
      <c r="AC701">
        <f>IFERROR(VLOOKUP("924-025056-300",B:AB,20+8,0),0)</f>
        <v>0</v>
      </c>
      <c r="AD701">
        <f>IFERROR(VLOOKUP("924-025056-300",B:AB,21+8,0),0)</f>
        <v>0</v>
      </c>
      <c r="AE701">
        <f>IFERROR(VLOOKUP("924-025056-300",B:AB,22+8,0),0)</f>
        <v>0</v>
      </c>
      <c r="AF701">
        <f>IFERROR(VLOOKUP("924-025056-300",B:AB,23+8,0),0)</f>
        <v>0</v>
      </c>
      <c r="AG701">
        <f>IFERROR(VLOOKUP("924-025056-300",B:AB,24+8,0),0)</f>
        <v>0</v>
      </c>
      <c r="AH701">
        <f>IFERROR(VLOOKUP("924-025056-300",B:AB,25+8,0),0)</f>
        <v>0</v>
      </c>
      <c r="AI701">
        <f>IFERROR(VLOOKUP("924-025056-300",B:AB,26+8,0),0)</f>
        <v>0</v>
      </c>
      <c r="AJ701">
        <f>IFERROR(VLOOKUP("924-025056-300",B:AB,27+8,0),0)</f>
        <v>0</v>
      </c>
      <c r="AK701">
        <f>IFERROR(VLOOKUP("924-025056-300",B:AB,28+8,0),0)</f>
        <v>0</v>
      </c>
      <c r="AL701">
        <f>IFERROR(VLOOKUP("924-025056-300",B:AB,29+8,0),0)</f>
        <v>0</v>
      </c>
      <c r="AM701">
        <f>IFERROR(VLOOKUP("924-025056-300",B:AB,30+8,0),0)</f>
        <v>0</v>
      </c>
      <c r="AN701">
        <f>IFERROR(VLOOKUP("924-025056-300",B:AB,31+8,0),0)</f>
        <v>0</v>
      </c>
      <c r="AO701">
        <f>SUN(INDIRECT(ADDRESS(700,8)):INDIRECT(ADDRESS(700,39)))</f>
        <v>0</v>
      </c>
    </row>
    <row r="702" spans="1:41">
      <c r="H702" t="s">
        <v>179</v>
      </c>
      <c r="J702">
        <f>INDIRECT(ADDRESS(702,9))+INDIRECT(ADDRESS(700,10))-INDIRECT(ADDRESS(701,10))</f>
        <v>0</v>
      </c>
      <c r="K702">
        <f>INDIRECT(ADDRESS(702,10))+INDIRECT(ADDRESS(700,11))-INDIRECT(ADDRESS(701,11))</f>
        <v>0</v>
      </c>
      <c r="L702">
        <f>INDIRECT(ADDRESS(702,11))+INDIRECT(ADDRESS(700,12))-INDIRECT(ADDRESS(701,12))</f>
        <v>0</v>
      </c>
      <c r="M702">
        <f>INDIRECT(ADDRESS(702,12))+INDIRECT(ADDRESS(700,13))-INDIRECT(ADDRESS(701,13))</f>
        <v>0</v>
      </c>
      <c r="N702">
        <f>INDIRECT(ADDRESS(702,13))+INDIRECT(ADDRESS(700,14))-INDIRECT(ADDRESS(701,14))</f>
        <v>0</v>
      </c>
      <c r="O702">
        <f>INDIRECT(ADDRESS(702,14))+INDIRECT(ADDRESS(700,15))-INDIRECT(ADDRESS(701,15))</f>
        <v>0</v>
      </c>
      <c r="P702">
        <f>INDIRECT(ADDRESS(702,15))+INDIRECT(ADDRESS(700,16))-INDIRECT(ADDRESS(701,16))</f>
        <v>0</v>
      </c>
      <c r="Q702">
        <f>INDIRECT(ADDRESS(702,16))+INDIRECT(ADDRESS(700,17))-INDIRECT(ADDRESS(701,17))</f>
        <v>0</v>
      </c>
      <c r="R702">
        <f>INDIRECT(ADDRESS(702,17))+INDIRECT(ADDRESS(700,18))-INDIRECT(ADDRESS(701,18))</f>
        <v>0</v>
      </c>
      <c r="S702">
        <f>INDIRECT(ADDRESS(702,18))+INDIRECT(ADDRESS(700,19))-INDIRECT(ADDRESS(701,19))</f>
        <v>0</v>
      </c>
      <c r="T702">
        <f>INDIRECT(ADDRESS(702,19))+INDIRECT(ADDRESS(700,20))-INDIRECT(ADDRESS(701,20))</f>
        <v>0</v>
      </c>
      <c r="U702">
        <f>INDIRECT(ADDRESS(702,20))+INDIRECT(ADDRESS(700,21))-INDIRECT(ADDRESS(701,21))</f>
        <v>0</v>
      </c>
      <c r="V702">
        <f>INDIRECT(ADDRESS(702,21))+INDIRECT(ADDRESS(700,22))-INDIRECT(ADDRESS(701,22))</f>
        <v>0</v>
      </c>
      <c r="W702">
        <f>INDIRECT(ADDRESS(702,22))+INDIRECT(ADDRESS(700,23))-INDIRECT(ADDRESS(701,23))</f>
        <v>0</v>
      </c>
      <c r="X702">
        <f>INDIRECT(ADDRESS(702,23))+INDIRECT(ADDRESS(700,24))-INDIRECT(ADDRESS(701,24))</f>
        <v>0</v>
      </c>
      <c r="Y702">
        <f>INDIRECT(ADDRESS(702,24))+INDIRECT(ADDRESS(700,25))-INDIRECT(ADDRESS(701,25))</f>
        <v>0</v>
      </c>
      <c r="Z702">
        <f>INDIRECT(ADDRESS(702,25))+INDIRECT(ADDRESS(700,26))-INDIRECT(ADDRESS(701,26))</f>
        <v>0</v>
      </c>
      <c r="AA702">
        <f>INDIRECT(ADDRESS(702,26))+INDIRECT(ADDRESS(700,27))-INDIRECT(ADDRESS(701,27))</f>
        <v>0</v>
      </c>
      <c r="AB702">
        <f>INDIRECT(ADDRESS(702,27))+INDIRECT(ADDRESS(700,28))-INDIRECT(ADDRESS(701,28))</f>
        <v>0</v>
      </c>
      <c r="AC702">
        <f>INDIRECT(ADDRESS(702,28))+INDIRECT(ADDRESS(700,29))-INDIRECT(ADDRESS(701,29))</f>
        <v>0</v>
      </c>
      <c r="AD702">
        <f>INDIRECT(ADDRESS(702,29))+INDIRECT(ADDRESS(700,30))-INDIRECT(ADDRESS(701,30))</f>
        <v>0</v>
      </c>
      <c r="AE702">
        <f>INDIRECT(ADDRESS(702,30))+INDIRECT(ADDRESS(700,31))-INDIRECT(ADDRESS(701,31))</f>
        <v>0</v>
      </c>
      <c r="AF702">
        <f>INDIRECT(ADDRESS(702,31))+INDIRECT(ADDRESS(700,32))-INDIRECT(ADDRESS(701,32))</f>
        <v>0</v>
      </c>
      <c r="AG702">
        <f>INDIRECT(ADDRESS(702,32))+INDIRECT(ADDRESS(700,33))-INDIRECT(ADDRESS(701,33))</f>
        <v>0</v>
      </c>
      <c r="AH702">
        <f>INDIRECT(ADDRESS(702,33))+INDIRECT(ADDRESS(700,34))-INDIRECT(ADDRESS(701,34))</f>
        <v>0</v>
      </c>
      <c r="AI702">
        <f>INDIRECT(ADDRESS(702,34))+INDIRECT(ADDRESS(700,35))-INDIRECT(ADDRESS(701,35))</f>
        <v>0</v>
      </c>
      <c r="AJ702">
        <f>INDIRECT(ADDRESS(702,35))+INDIRECT(ADDRESS(700,36))-INDIRECT(ADDRESS(701,36))</f>
        <v>0</v>
      </c>
      <c r="AK702">
        <f>INDIRECT(ADDRESS(702,36))+INDIRECT(ADDRESS(700,37))-INDIRECT(ADDRESS(701,37))</f>
        <v>0</v>
      </c>
      <c r="AL702">
        <f>INDIRECT(ADDRESS(702,37))+INDIRECT(ADDRESS(700,38))-INDIRECT(ADDRESS(701,38))</f>
        <v>0</v>
      </c>
      <c r="AM702">
        <f>INDIRECT(ADDRESS(702,38))+INDIRECT(ADDRESS(700,39))-INDIRECT(ADDRESS(701,39))</f>
        <v>0</v>
      </c>
      <c r="AN702">
        <f>INDIRECT(ADDRESS(702,39))+INDIRECT(ADDRESS(700,40))-INDIRECT(ADDRESS(701,40))</f>
        <v>0</v>
      </c>
      <c r="AO702">
        <f>SUM(INDIRECT(ADDRESS(701,8)):INDIRECT(ADDRESS(701,39)))</f>
        <v>0</v>
      </c>
    </row>
    <row r="703" spans="1:41">
      <c r="A703" t="s">
        <v>8</v>
      </c>
      <c r="B703" t="s">
        <v>58</v>
      </c>
      <c r="C703" t="s">
        <v>56</v>
      </c>
      <c r="E703">
        <v>1</v>
      </c>
      <c r="I703" t="s">
        <v>177</v>
      </c>
    </row>
    <row r="704" spans="1:41">
      <c r="I704" t="s">
        <v>178</v>
      </c>
      <c r="J704">
        <f>IFERROR(VLOOKUP("924-025056-400",Out!B:AB,1+8,0),0)</f>
        <v>0</v>
      </c>
      <c r="K704">
        <f>IFERROR(VLOOKUP("924-025056-400",Out!B:AB,2+8,0),0)</f>
        <v>0</v>
      </c>
      <c r="L704">
        <f>IFERROR(VLOOKUP("924-025056-400",Out!B:AB,3+8,0),0)</f>
        <v>0</v>
      </c>
      <c r="M704">
        <f>IFERROR(VLOOKUP("924-025056-400",Out!B:AB,4+8,0),0)</f>
        <v>0</v>
      </c>
      <c r="N704">
        <f>IFERROR(VLOOKUP("924-025056-400",Out!B:AB,5+8,0),0)</f>
        <v>0</v>
      </c>
      <c r="O704">
        <f>IFERROR(VLOOKUP("924-025056-400",Out!B:AB,6+8,0),0)</f>
        <v>0</v>
      </c>
      <c r="P704">
        <f>IFERROR(VLOOKUP("924-025056-400",Out!B:AB,7+8,0),0)</f>
        <v>0</v>
      </c>
      <c r="Q704">
        <f>IFERROR(VLOOKUP("924-025056-400",Out!B:AB,8+8,0),0)</f>
        <v>0</v>
      </c>
      <c r="R704">
        <f>IFERROR(VLOOKUP("924-025056-400",Out!B:AB,9+8,0),0)</f>
        <v>0</v>
      </c>
      <c r="S704">
        <f>IFERROR(VLOOKUP("924-025056-400",Out!B:AB,10+8,0),0)</f>
        <v>0</v>
      </c>
      <c r="T704">
        <f>IFERROR(VLOOKUP("924-025056-400",Out!B:AB,11+8,0),0)</f>
        <v>0</v>
      </c>
      <c r="U704">
        <f>IFERROR(VLOOKUP("924-025056-400",Out!B:AB,12+8,0),0)</f>
        <v>0</v>
      </c>
      <c r="V704">
        <f>IFERROR(VLOOKUP("924-025056-400",Out!B:AB,13+8,0),0)</f>
        <v>0</v>
      </c>
      <c r="W704">
        <f>IFERROR(VLOOKUP("924-025056-400",Out!B:AB,14+8,0),0)</f>
        <v>0</v>
      </c>
      <c r="X704">
        <f>IFERROR(VLOOKUP("924-025056-400",Out!B:AB,15+8,0),0)</f>
        <v>0</v>
      </c>
      <c r="Y704">
        <f>IFERROR(VLOOKUP("924-025056-400",Out!B:AB,16+8,0),0)</f>
        <v>0</v>
      </c>
      <c r="Z704">
        <f>IFERROR(VLOOKUP("924-025056-400",Out!B:AB,17+8,0),0)</f>
        <v>0</v>
      </c>
      <c r="AA704">
        <f>IFERROR(VLOOKUP("924-025056-400",Out!B:AB,18+8,0),0)</f>
        <v>0</v>
      </c>
      <c r="AB704">
        <f>IFERROR(VLOOKUP("924-025056-400",Out!B:AB,19+8,0),0)</f>
        <v>0</v>
      </c>
      <c r="AC704">
        <f>IFERROR(VLOOKUP("924-025056-400",Out!B:AB,20+8,0),0)</f>
        <v>0</v>
      </c>
      <c r="AD704">
        <f>IFERROR(VLOOKUP("924-025056-400",Out!B:AB,21+8,0),0)</f>
        <v>0</v>
      </c>
      <c r="AE704">
        <f>IFERROR(VLOOKUP("924-025056-400",Out!B:AB,22+8,0),0)</f>
        <v>0</v>
      </c>
      <c r="AF704">
        <f>IFERROR(VLOOKUP("924-025056-400",Out!B:AB,23+8,0),0)</f>
        <v>0</v>
      </c>
      <c r="AG704">
        <f>IFERROR(VLOOKUP("924-025056-400",Out!B:AB,24+8,0),0)</f>
        <v>0</v>
      </c>
      <c r="AH704">
        <f>IFERROR(VLOOKUP("924-025056-400",Out!B:AB,25+8,0),0)</f>
        <v>0</v>
      </c>
      <c r="AI704">
        <f>IFERROR(VLOOKUP("924-025056-400",Out!B:AB,26+8,0),0)</f>
        <v>0</v>
      </c>
      <c r="AJ704">
        <f>IFERROR(VLOOKUP("924-025056-400",Out!B:AB,27+8,0),0)</f>
        <v>0</v>
      </c>
      <c r="AK704">
        <f>IFERROR(VLOOKUP("924-025056-400",Out!B:AB,28+8,0),0)</f>
        <v>0</v>
      </c>
      <c r="AL704">
        <f>IFERROR(VLOOKUP("924-025056-400",Out!B:AB,29+8,0),0)</f>
        <v>0</v>
      </c>
      <c r="AM704">
        <f>IFERROR(VLOOKUP("924-025056-400",Out!B:AB,30+8,0),0)</f>
        <v>0</v>
      </c>
      <c r="AN704">
        <f>IFERROR(VLOOKUP("924-025056-400",Out!B:AB,31+8,0),0)</f>
        <v>0</v>
      </c>
      <c r="AO704">
        <f>SUN(INDIRECT(ADDRESS(703,8)):INDIRECT(ADDRESS(703,39)))</f>
        <v>0</v>
      </c>
    </row>
    <row r="705" spans="1:41">
      <c r="H705" t="s">
        <v>179</v>
      </c>
      <c r="J705">
        <f>INDIRECT(ADDRESS(705,9))+INDIRECT(ADDRESS(703,10))-INDIRECT(ADDRESS(704,10))</f>
        <v>0</v>
      </c>
      <c r="K705">
        <f>INDIRECT(ADDRESS(705,10))+INDIRECT(ADDRESS(703,11))-INDIRECT(ADDRESS(704,11))</f>
        <v>0</v>
      </c>
      <c r="L705">
        <f>INDIRECT(ADDRESS(705,11))+INDIRECT(ADDRESS(703,12))-INDIRECT(ADDRESS(704,12))</f>
        <v>0</v>
      </c>
      <c r="M705">
        <f>INDIRECT(ADDRESS(705,12))+INDIRECT(ADDRESS(703,13))-INDIRECT(ADDRESS(704,13))</f>
        <v>0</v>
      </c>
      <c r="N705">
        <f>INDIRECT(ADDRESS(705,13))+INDIRECT(ADDRESS(703,14))-INDIRECT(ADDRESS(704,14))</f>
        <v>0</v>
      </c>
      <c r="O705">
        <f>INDIRECT(ADDRESS(705,14))+INDIRECT(ADDRESS(703,15))-INDIRECT(ADDRESS(704,15))</f>
        <v>0</v>
      </c>
      <c r="P705">
        <f>INDIRECT(ADDRESS(705,15))+INDIRECT(ADDRESS(703,16))-INDIRECT(ADDRESS(704,16))</f>
        <v>0</v>
      </c>
      <c r="Q705">
        <f>INDIRECT(ADDRESS(705,16))+INDIRECT(ADDRESS(703,17))-INDIRECT(ADDRESS(704,17))</f>
        <v>0</v>
      </c>
      <c r="R705">
        <f>INDIRECT(ADDRESS(705,17))+INDIRECT(ADDRESS(703,18))-INDIRECT(ADDRESS(704,18))</f>
        <v>0</v>
      </c>
      <c r="S705">
        <f>INDIRECT(ADDRESS(705,18))+INDIRECT(ADDRESS(703,19))-INDIRECT(ADDRESS(704,19))</f>
        <v>0</v>
      </c>
      <c r="T705">
        <f>INDIRECT(ADDRESS(705,19))+INDIRECT(ADDRESS(703,20))-INDIRECT(ADDRESS(704,20))</f>
        <v>0</v>
      </c>
      <c r="U705">
        <f>INDIRECT(ADDRESS(705,20))+INDIRECT(ADDRESS(703,21))-INDIRECT(ADDRESS(704,21))</f>
        <v>0</v>
      </c>
      <c r="V705">
        <f>INDIRECT(ADDRESS(705,21))+INDIRECT(ADDRESS(703,22))-INDIRECT(ADDRESS(704,22))</f>
        <v>0</v>
      </c>
      <c r="W705">
        <f>INDIRECT(ADDRESS(705,22))+INDIRECT(ADDRESS(703,23))-INDIRECT(ADDRESS(704,23))</f>
        <v>0</v>
      </c>
      <c r="X705">
        <f>INDIRECT(ADDRESS(705,23))+INDIRECT(ADDRESS(703,24))-INDIRECT(ADDRESS(704,24))</f>
        <v>0</v>
      </c>
      <c r="Y705">
        <f>INDIRECT(ADDRESS(705,24))+INDIRECT(ADDRESS(703,25))-INDIRECT(ADDRESS(704,25))</f>
        <v>0</v>
      </c>
      <c r="Z705">
        <f>INDIRECT(ADDRESS(705,25))+INDIRECT(ADDRESS(703,26))-INDIRECT(ADDRESS(704,26))</f>
        <v>0</v>
      </c>
      <c r="AA705">
        <f>INDIRECT(ADDRESS(705,26))+INDIRECT(ADDRESS(703,27))-INDIRECT(ADDRESS(704,27))</f>
        <v>0</v>
      </c>
      <c r="AB705">
        <f>INDIRECT(ADDRESS(705,27))+INDIRECT(ADDRESS(703,28))-INDIRECT(ADDRESS(704,28))</f>
        <v>0</v>
      </c>
      <c r="AC705">
        <f>INDIRECT(ADDRESS(705,28))+INDIRECT(ADDRESS(703,29))-INDIRECT(ADDRESS(704,29))</f>
        <v>0</v>
      </c>
      <c r="AD705">
        <f>INDIRECT(ADDRESS(705,29))+INDIRECT(ADDRESS(703,30))-INDIRECT(ADDRESS(704,30))</f>
        <v>0</v>
      </c>
      <c r="AE705">
        <f>INDIRECT(ADDRESS(705,30))+INDIRECT(ADDRESS(703,31))-INDIRECT(ADDRESS(704,31))</f>
        <v>0</v>
      </c>
      <c r="AF705">
        <f>INDIRECT(ADDRESS(705,31))+INDIRECT(ADDRESS(703,32))-INDIRECT(ADDRESS(704,32))</f>
        <v>0</v>
      </c>
      <c r="AG705">
        <f>INDIRECT(ADDRESS(705,32))+INDIRECT(ADDRESS(703,33))-INDIRECT(ADDRESS(704,33))</f>
        <v>0</v>
      </c>
      <c r="AH705">
        <f>INDIRECT(ADDRESS(705,33))+INDIRECT(ADDRESS(703,34))-INDIRECT(ADDRESS(704,34))</f>
        <v>0</v>
      </c>
      <c r="AI705">
        <f>INDIRECT(ADDRESS(705,34))+INDIRECT(ADDRESS(703,35))-INDIRECT(ADDRESS(704,35))</f>
        <v>0</v>
      </c>
      <c r="AJ705">
        <f>INDIRECT(ADDRESS(705,35))+INDIRECT(ADDRESS(703,36))-INDIRECT(ADDRESS(704,36))</f>
        <v>0</v>
      </c>
      <c r="AK705">
        <f>INDIRECT(ADDRESS(705,36))+INDIRECT(ADDRESS(703,37))-INDIRECT(ADDRESS(704,37))</f>
        <v>0</v>
      </c>
      <c r="AL705">
        <f>INDIRECT(ADDRESS(705,37))+INDIRECT(ADDRESS(703,38))-INDIRECT(ADDRESS(704,38))</f>
        <v>0</v>
      </c>
      <c r="AM705">
        <f>INDIRECT(ADDRESS(705,38))+INDIRECT(ADDRESS(703,39))-INDIRECT(ADDRESS(704,39))</f>
        <v>0</v>
      </c>
      <c r="AN705">
        <f>INDIRECT(ADDRESS(705,39))+INDIRECT(ADDRESS(703,40))-INDIRECT(ADDRESS(704,40))</f>
        <v>0</v>
      </c>
      <c r="AO705">
        <f>SUM(INDIRECT(ADDRESS(704,8)):INDIRECT(ADDRESS(704,39)))</f>
        <v>0</v>
      </c>
    </row>
    <row r="706" spans="1:41">
      <c r="A706" t="s">
        <v>180</v>
      </c>
      <c r="B706" t="s">
        <v>58</v>
      </c>
      <c r="C706" t="s">
        <v>427</v>
      </c>
      <c r="E706">
        <v>1</v>
      </c>
      <c r="I706" t="s">
        <v>177</v>
      </c>
    </row>
    <row r="707" spans="1:41">
      <c r="I707" t="s">
        <v>178</v>
      </c>
      <c r="J707">
        <f>IFERROR(VLOOKUP("924-025056-400",B:AB,1+8,0),0)</f>
        <v>0</v>
      </c>
      <c r="K707">
        <f>IFERROR(VLOOKUP("924-025056-400",B:AB,2+8,0),0)</f>
        <v>0</v>
      </c>
      <c r="L707">
        <f>IFERROR(VLOOKUP("924-025056-400",B:AB,3+8,0),0)</f>
        <v>0</v>
      </c>
      <c r="M707">
        <f>IFERROR(VLOOKUP("924-025056-400",B:AB,4+8,0),0)</f>
        <v>0</v>
      </c>
      <c r="N707">
        <f>IFERROR(VLOOKUP("924-025056-400",B:AB,5+8,0),0)</f>
        <v>0</v>
      </c>
      <c r="O707">
        <f>IFERROR(VLOOKUP("924-025056-400",B:AB,6+8,0),0)</f>
        <v>0</v>
      </c>
      <c r="P707">
        <f>IFERROR(VLOOKUP("924-025056-400",B:AB,7+8,0),0)</f>
        <v>0</v>
      </c>
      <c r="Q707">
        <f>IFERROR(VLOOKUP("924-025056-400",B:AB,8+8,0),0)</f>
        <v>0</v>
      </c>
      <c r="R707">
        <f>IFERROR(VLOOKUP("924-025056-400",B:AB,9+8,0),0)</f>
        <v>0</v>
      </c>
      <c r="S707">
        <f>IFERROR(VLOOKUP("924-025056-400",B:AB,10+8,0),0)</f>
        <v>0</v>
      </c>
      <c r="T707">
        <f>IFERROR(VLOOKUP("924-025056-400",B:AB,11+8,0),0)</f>
        <v>0</v>
      </c>
      <c r="U707">
        <f>IFERROR(VLOOKUP("924-025056-400",B:AB,12+8,0),0)</f>
        <v>0</v>
      </c>
      <c r="V707">
        <f>IFERROR(VLOOKUP("924-025056-400",B:AB,13+8,0),0)</f>
        <v>0</v>
      </c>
      <c r="W707">
        <f>IFERROR(VLOOKUP("924-025056-400",B:AB,14+8,0),0)</f>
        <v>0</v>
      </c>
      <c r="X707">
        <f>IFERROR(VLOOKUP("924-025056-400",B:AB,15+8,0),0)</f>
        <v>0</v>
      </c>
      <c r="Y707">
        <f>IFERROR(VLOOKUP("924-025056-400",B:AB,16+8,0),0)</f>
        <v>0</v>
      </c>
      <c r="Z707">
        <f>IFERROR(VLOOKUP("924-025056-400",B:AB,17+8,0),0)</f>
        <v>0</v>
      </c>
      <c r="AA707">
        <f>IFERROR(VLOOKUP("924-025056-400",B:AB,18+8,0),0)</f>
        <v>0</v>
      </c>
      <c r="AB707">
        <f>IFERROR(VLOOKUP("924-025056-400",B:AB,19+8,0),0)</f>
        <v>0</v>
      </c>
      <c r="AC707">
        <f>IFERROR(VLOOKUP("924-025056-400",B:AB,20+8,0),0)</f>
        <v>0</v>
      </c>
      <c r="AD707">
        <f>IFERROR(VLOOKUP("924-025056-400",B:AB,21+8,0),0)</f>
        <v>0</v>
      </c>
      <c r="AE707">
        <f>IFERROR(VLOOKUP("924-025056-400",B:AB,22+8,0),0)</f>
        <v>0</v>
      </c>
      <c r="AF707">
        <f>IFERROR(VLOOKUP("924-025056-400",B:AB,23+8,0),0)</f>
        <v>0</v>
      </c>
      <c r="AG707">
        <f>IFERROR(VLOOKUP("924-025056-400",B:AB,24+8,0),0)</f>
        <v>0</v>
      </c>
      <c r="AH707">
        <f>IFERROR(VLOOKUP("924-025056-400",B:AB,25+8,0),0)</f>
        <v>0</v>
      </c>
      <c r="AI707">
        <f>IFERROR(VLOOKUP("924-025056-400",B:AB,26+8,0),0)</f>
        <v>0</v>
      </c>
      <c r="AJ707">
        <f>IFERROR(VLOOKUP("924-025056-400",B:AB,27+8,0),0)</f>
        <v>0</v>
      </c>
      <c r="AK707">
        <f>IFERROR(VLOOKUP("924-025056-400",B:AB,28+8,0),0)</f>
        <v>0</v>
      </c>
      <c r="AL707">
        <f>IFERROR(VLOOKUP("924-025056-400",B:AB,29+8,0),0)</f>
        <v>0</v>
      </c>
      <c r="AM707">
        <f>IFERROR(VLOOKUP("924-025056-400",B:AB,30+8,0),0)</f>
        <v>0</v>
      </c>
      <c r="AN707">
        <f>IFERROR(VLOOKUP("924-025056-400",B:AB,31+8,0),0)</f>
        <v>0</v>
      </c>
      <c r="AO707">
        <f>SUN(INDIRECT(ADDRESS(706,8)):INDIRECT(ADDRESS(706,39)))</f>
        <v>0</v>
      </c>
    </row>
    <row r="708" spans="1:41">
      <c r="H708" t="s">
        <v>179</v>
      </c>
      <c r="J708">
        <f>INDIRECT(ADDRESS(708,9))+INDIRECT(ADDRESS(706,10))-INDIRECT(ADDRESS(707,10))</f>
        <v>0</v>
      </c>
      <c r="K708">
        <f>INDIRECT(ADDRESS(708,10))+INDIRECT(ADDRESS(706,11))-INDIRECT(ADDRESS(707,11))</f>
        <v>0</v>
      </c>
      <c r="L708">
        <f>INDIRECT(ADDRESS(708,11))+INDIRECT(ADDRESS(706,12))-INDIRECT(ADDRESS(707,12))</f>
        <v>0</v>
      </c>
      <c r="M708">
        <f>INDIRECT(ADDRESS(708,12))+INDIRECT(ADDRESS(706,13))-INDIRECT(ADDRESS(707,13))</f>
        <v>0</v>
      </c>
      <c r="N708">
        <f>INDIRECT(ADDRESS(708,13))+INDIRECT(ADDRESS(706,14))-INDIRECT(ADDRESS(707,14))</f>
        <v>0</v>
      </c>
      <c r="O708">
        <f>INDIRECT(ADDRESS(708,14))+INDIRECT(ADDRESS(706,15))-INDIRECT(ADDRESS(707,15))</f>
        <v>0</v>
      </c>
      <c r="P708">
        <f>INDIRECT(ADDRESS(708,15))+INDIRECT(ADDRESS(706,16))-INDIRECT(ADDRESS(707,16))</f>
        <v>0</v>
      </c>
      <c r="Q708">
        <f>INDIRECT(ADDRESS(708,16))+INDIRECT(ADDRESS(706,17))-INDIRECT(ADDRESS(707,17))</f>
        <v>0</v>
      </c>
      <c r="R708">
        <f>INDIRECT(ADDRESS(708,17))+INDIRECT(ADDRESS(706,18))-INDIRECT(ADDRESS(707,18))</f>
        <v>0</v>
      </c>
      <c r="S708">
        <f>INDIRECT(ADDRESS(708,18))+INDIRECT(ADDRESS(706,19))-INDIRECT(ADDRESS(707,19))</f>
        <v>0</v>
      </c>
      <c r="T708">
        <f>INDIRECT(ADDRESS(708,19))+INDIRECT(ADDRESS(706,20))-INDIRECT(ADDRESS(707,20))</f>
        <v>0</v>
      </c>
      <c r="U708">
        <f>INDIRECT(ADDRESS(708,20))+INDIRECT(ADDRESS(706,21))-INDIRECT(ADDRESS(707,21))</f>
        <v>0</v>
      </c>
      <c r="V708">
        <f>INDIRECT(ADDRESS(708,21))+INDIRECT(ADDRESS(706,22))-INDIRECT(ADDRESS(707,22))</f>
        <v>0</v>
      </c>
      <c r="W708">
        <f>INDIRECT(ADDRESS(708,22))+INDIRECT(ADDRESS(706,23))-INDIRECT(ADDRESS(707,23))</f>
        <v>0</v>
      </c>
      <c r="X708">
        <f>INDIRECT(ADDRESS(708,23))+INDIRECT(ADDRESS(706,24))-INDIRECT(ADDRESS(707,24))</f>
        <v>0</v>
      </c>
      <c r="Y708">
        <f>INDIRECT(ADDRESS(708,24))+INDIRECT(ADDRESS(706,25))-INDIRECT(ADDRESS(707,25))</f>
        <v>0</v>
      </c>
      <c r="Z708">
        <f>INDIRECT(ADDRESS(708,25))+INDIRECT(ADDRESS(706,26))-INDIRECT(ADDRESS(707,26))</f>
        <v>0</v>
      </c>
      <c r="AA708">
        <f>INDIRECT(ADDRESS(708,26))+INDIRECT(ADDRESS(706,27))-INDIRECT(ADDRESS(707,27))</f>
        <v>0</v>
      </c>
      <c r="AB708">
        <f>INDIRECT(ADDRESS(708,27))+INDIRECT(ADDRESS(706,28))-INDIRECT(ADDRESS(707,28))</f>
        <v>0</v>
      </c>
      <c r="AC708">
        <f>INDIRECT(ADDRESS(708,28))+INDIRECT(ADDRESS(706,29))-INDIRECT(ADDRESS(707,29))</f>
        <v>0</v>
      </c>
      <c r="AD708">
        <f>INDIRECT(ADDRESS(708,29))+INDIRECT(ADDRESS(706,30))-INDIRECT(ADDRESS(707,30))</f>
        <v>0</v>
      </c>
      <c r="AE708">
        <f>INDIRECT(ADDRESS(708,30))+INDIRECT(ADDRESS(706,31))-INDIRECT(ADDRESS(707,31))</f>
        <v>0</v>
      </c>
      <c r="AF708">
        <f>INDIRECT(ADDRESS(708,31))+INDIRECT(ADDRESS(706,32))-INDIRECT(ADDRESS(707,32))</f>
        <v>0</v>
      </c>
      <c r="AG708">
        <f>INDIRECT(ADDRESS(708,32))+INDIRECT(ADDRESS(706,33))-INDIRECT(ADDRESS(707,33))</f>
        <v>0</v>
      </c>
      <c r="AH708">
        <f>INDIRECT(ADDRESS(708,33))+INDIRECT(ADDRESS(706,34))-INDIRECT(ADDRESS(707,34))</f>
        <v>0</v>
      </c>
      <c r="AI708">
        <f>INDIRECT(ADDRESS(708,34))+INDIRECT(ADDRESS(706,35))-INDIRECT(ADDRESS(707,35))</f>
        <v>0</v>
      </c>
      <c r="AJ708">
        <f>INDIRECT(ADDRESS(708,35))+INDIRECT(ADDRESS(706,36))-INDIRECT(ADDRESS(707,36))</f>
        <v>0</v>
      </c>
      <c r="AK708">
        <f>INDIRECT(ADDRESS(708,36))+INDIRECT(ADDRESS(706,37))-INDIRECT(ADDRESS(707,37))</f>
        <v>0</v>
      </c>
      <c r="AL708">
        <f>INDIRECT(ADDRESS(708,37))+INDIRECT(ADDRESS(706,38))-INDIRECT(ADDRESS(707,38))</f>
        <v>0</v>
      </c>
      <c r="AM708">
        <f>INDIRECT(ADDRESS(708,38))+INDIRECT(ADDRESS(706,39))-INDIRECT(ADDRESS(707,39))</f>
        <v>0</v>
      </c>
      <c r="AN708">
        <f>INDIRECT(ADDRESS(708,39))+INDIRECT(ADDRESS(706,40))-INDIRECT(ADDRESS(707,40))</f>
        <v>0</v>
      </c>
      <c r="AO708">
        <f>SUM(INDIRECT(ADDRESS(707,8)):INDIRECT(ADDRESS(707,39)))</f>
        <v>0</v>
      </c>
    </row>
    <row r="709" spans="1:41">
      <c r="A709" t="s">
        <v>185</v>
      </c>
      <c r="B709" t="s">
        <v>58</v>
      </c>
      <c r="C709" t="s">
        <v>414</v>
      </c>
      <c r="E709">
        <v>1</v>
      </c>
      <c r="I709" t="s">
        <v>177</v>
      </c>
    </row>
    <row r="710" spans="1:41">
      <c r="I710" t="s">
        <v>178</v>
      </c>
      <c r="J710">
        <f>IFERROR(VLOOKUP("924-025056-400",B:AB,1+8,0),0)</f>
        <v>0</v>
      </c>
      <c r="K710">
        <f>IFERROR(VLOOKUP("924-025056-400",B:AB,2+8,0),0)</f>
        <v>0</v>
      </c>
      <c r="L710">
        <f>IFERROR(VLOOKUP("924-025056-400",B:AB,3+8,0),0)</f>
        <v>0</v>
      </c>
      <c r="M710">
        <f>IFERROR(VLOOKUP("924-025056-400",B:AB,4+8,0),0)</f>
        <v>0</v>
      </c>
      <c r="N710">
        <f>IFERROR(VLOOKUP("924-025056-400",B:AB,5+8,0),0)</f>
        <v>0</v>
      </c>
      <c r="O710">
        <f>IFERROR(VLOOKUP("924-025056-400",B:AB,6+8,0),0)</f>
        <v>0</v>
      </c>
      <c r="P710">
        <f>IFERROR(VLOOKUP("924-025056-400",B:AB,7+8,0),0)</f>
        <v>0</v>
      </c>
      <c r="Q710">
        <f>IFERROR(VLOOKUP("924-025056-400",B:AB,8+8,0),0)</f>
        <v>0</v>
      </c>
      <c r="R710">
        <f>IFERROR(VLOOKUP("924-025056-400",B:AB,9+8,0),0)</f>
        <v>0</v>
      </c>
      <c r="S710">
        <f>IFERROR(VLOOKUP("924-025056-400",B:AB,10+8,0),0)</f>
        <v>0</v>
      </c>
      <c r="T710">
        <f>IFERROR(VLOOKUP("924-025056-400",B:AB,11+8,0),0)</f>
        <v>0</v>
      </c>
      <c r="U710">
        <f>IFERROR(VLOOKUP("924-025056-400",B:AB,12+8,0),0)</f>
        <v>0</v>
      </c>
      <c r="V710">
        <f>IFERROR(VLOOKUP("924-025056-400",B:AB,13+8,0),0)</f>
        <v>0</v>
      </c>
      <c r="W710">
        <f>IFERROR(VLOOKUP("924-025056-400",B:AB,14+8,0),0)</f>
        <v>0</v>
      </c>
      <c r="X710">
        <f>IFERROR(VLOOKUP("924-025056-400",B:AB,15+8,0),0)</f>
        <v>0</v>
      </c>
      <c r="Y710">
        <f>IFERROR(VLOOKUP("924-025056-400",B:AB,16+8,0),0)</f>
        <v>0</v>
      </c>
      <c r="Z710">
        <f>IFERROR(VLOOKUP("924-025056-400",B:AB,17+8,0),0)</f>
        <v>0</v>
      </c>
      <c r="AA710">
        <f>IFERROR(VLOOKUP("924-025056-400",B:AB,18+8,0),0)</f>
        <v>0</v>
      </c>
      <c r="AB710">
        <f>IFERROR(VLOOKUP("924-025056-400",B:AB,19+8,0),0)</f>
        <v>0</v>
      </c>
      <c r="AC710">
        <f>IFERROR(VLOOKUP("924-025056-400",B:AB,20+8,0),0)</f>
        <v>0</v>
      </c>
      <c r="AD710">
        <f>IFERROR(VLOOKUP("924-025056-400",B:AB,21+8,0),0)</f>
        <v>0</v>
      </c>
      <c r="AE710">
        <f>IFERROR(VLOOKUP("924-025056-400",B:AB,22+8,0),0)</f>
        <v>0</v>
      </c>
      <c r="AF710">
        <f>IFERROR(VLOOKUP("924-025056-400",B:AB,23+8,0),0)</f>
        <v>0</v>
      </c>
      <c r="AG710">
        <f>IFERROR(VLOOKUP("924-025056-400",B:AB,24+8,0),0)</f>
        <v>0</v>
      </c>
      <c r="AH710">
        <f>IFERROR(VLOOKUP("924-025056-400",B:AB,25+8,0),0)</f>
        <v>0</v>
      </c>
      <c r="AI710">
        <f>IFERROR(VLOOKUP("924-025056-400",B:AB,26+8,0),0)</f>
        <v>0</v>
      </c>
      <c r="AJ710">
        <f>IFERROR(VLOOKUP("924-025056-400",B:AB,27+8,0),0)</f>
        <v>0</v>
      </c>
      <c r="AK710">
        <f>IFERROR(VLOOKUP("924-025056-400",B:AB,28+8,0),0)</f>
        <v>0</v>
      </c>
      <c r="AL710">
        <f>IFERROR(VLOOKUP("924-025056-400",B:AB,29+8,0),0)</f>
        <v>0</v>
      </c>
      <c r="AM710">
        <f>IFERROR(VLOOKUP("924-025056-400",B:AB,30+8,0),0)</f>
        <v>0</v>
      </c>
      <c r="AN710">
        <f>IFERROR(VLOOKUP("924-025056-400",B:AB,31+8,0),0)</f>
        <v>0</v>
      </c>
      <c r="AO710">
        <f>SUN(INDIRECT(ADDRESS(709,8)):INDIRECT(ADDRESS(709,39)))</f>
        <v>0</v>
      </c>
    </row>
    <row r="711" spans="1:41">
      <c r="H711" t="s">
        <v>179</v>
      </c>
      <c r="J711">
        <f>INDIRECT(ADDRESS(711,9))+INDIRECT(ADDRESS(709,10))-INDIRECT(ADDRESS(710,10))</f>
        <v>0</v>
      </c>
      <c r="K711">
        <f>INDIRECT(ADDRESS(711,10))+INDIRECT(ADDRESS(709,11))-INDIRECT(ADDRESS(710,11))</f>
        <v>0</v>
      </c>
      <c r="L711">
        <f>INDIRECT(ADDRESS(711,11))+INDIRECT(ADDRESS(709,12))-INDIRECT(ADDRESS(710,12))</f>
        <v>0</v>
      </c>
      <c r="M711">
        <f>INDIRECT(ADDRESS(711,12))+INDIRECT(ADDRESS(709,13))-INDIRECT(ADDRESS(710,13))</f>
        <v>0</v>
      </c>
      <c r="N711">
        <f>INDIRECT(ADDRESS(711,13))+INDIRECT(ADDRESS(709,14))-INDIRECT(ADDRESS(710,14))</f>
        <v>0</v>
      </c>
      <c r="O711">
        <f>INDIRECT(ADDRESS(711,14))+INDIRECT(ADDRESS(709,15))-INDIRECT(ADDRESS(710,15))</f>
        <v>0</v>
      </c>
      <c r="P711">
        <f>INDIRECT(ADDRESS(711,15))+INDIRECT(ADDRESS(709,16))-INDIRECT(ADDRESS(710,16))</f>
        <v>0</v>
      </c>
      <c r="Q711">
        <f>INDIRECT(ADDRESS(711,16))+INDIRECT(ADDRESS(709,17))-INDIRECT(ADDRESS(710,17))</f>
        <v>0</v>
      </c>
      <c r="R711">
        <f>INDIRECT(ADDRESS(711,17))+INDIRECT(ADDRESS(709,18))-INDIRECT(ADDRESS(710,18))</f>
        <v>0</v>
      </c>
      <c r="S711">
        <f>INDIRECT(ADDRESS(711,18))+INDIRECT(ADDRESS(709,19))-INDIRECT(ADDRESS(710,19))</f>
        <v>0</v>
      </c>
      <c r="T711">
        <f>INDIRECT(ADDRESS(711,19))+INDIRECT(ADDRESS(709,20))-INDIRECT(ADDRESS(710,20))</f>
        <v>0</v>
      </c>
      <c r="U711">
        <f>INDIRECT(ADDRESS(711,20))+INDIRECT(ADDRESS(709,21))-INDIRECT(ADDRESS(710,21))</f>
        <v>0</v>
      </c>
      <c r="V711">
        <f>INDIRECT(ADDRESS(711,21))+INDIRECT(ADDRESS(709,22))-INDIRECT(ADDRESS(710,22))</f>
        <v>0</v>
      </c>
      <c r="W711">
        <f>INDIRECT(ADDRESS(711,22))+INDIRECT(ADDRESS(709,23))-INDIRECT(ADDRESS(710,23))</f>
        <v>0</v>
      </c>
      <c r="X711">
        <f>INDIRECT(ADDRESS(711,23))+INDIRECT(ADDRESS(709,24))-INDIRECT(ADDRESS(710,24))</f>
        <v>0</v>
      </c>
      <c r="Y711">
        <f>INDIRECT(ADDRESS(711,24))+INDIRECT(ADDRESS(709,25))-INDIRECT(ADDRESS(710,25))</f>
        <v>0</v>
      </c>
      <c r="Z711">
        <f>INDIRECT(ADDRESS(711,25))+INDIRECT(ADDRESS(709,26))-INDIRECT(ADDRESS(710,26))</f>
        <v>0</v>
      </c>
      <c r="AA711">
        <f>INDIRECT(ADDRESS(711,26))+INDIRECT(ADDRESS(709,27))-INDIRECT(ADDRESS(710,27))</f>
        <v>0</v>
      </c>
      <c r="AB711">
        <f>INDIRECT(ADDRESS(711,27))+INDIRECT(ADDRESS(709,28))-INDIRECT(ADDRESS(710,28))</f>
        <v>0</v>
      </c>
      <c r="AC711">
        <f>INDIRECT(ADDRESS(711,28))+INDIRECT(ADDRESS(709,29))-INDIRECT(ADDRESS(710,29))</f>
        <v>0</v>
      </c>
      <c r="AD711">
        <f>INDIRECT(ADDRESS(711,29))+INDIRECT(ADDRESS(709,30))-INDIRECT(ADDRESS(710,30))</f>
        <v>0</v>
      </c>
      <c r="AE711">
        <f>INDIRECT(ADDRESS(711,30))+INDIRECT(ADDRESS(709,31))-INDIRECT(ADDRESS(710,31))</f>
        <v>0</v>
      </c>
      <c r="AF711">
        <f>INDIRECT(ADDRESS(711,31))+INDIRECT(ADDRESS(709,32))-INDIRECT(ADDRESS(710,32))</f>
        <v>0</v>
      </c>
      <c r="AG711">
        <f>INDIRECT(ADDRESS(711,32))+INDIRECT(ADDRESS(709,33))-INDIRECT(ADDRESS(710,33))</f>
        <v>0</v>
      </c>
      <c r="AH711">
        <f>INDIRECT(ADDRESS(711,33))+INDIRECT(ADDRESS(709,34))-INDIRECT(ADDRESS(710,34))</f>
        <v>0</v>
      </c>
      <c r="AI711">
        <f>INDIRECT(ADDRESS(711,34))+INDIRECT(ADDRESS(709,35))-INDIRECT(ADDRESS(710,35))</f>
        <v>0</v>
      </c>
      <c r="AJ711">
        <f>INDIRECT(ADDRESS(711,35))+INDIRECT(ADDRESS(709,36))-INDIRECT(ADDRESS(710,36))</f>
        <v>0</v>
      </c>
      <c r="AK711">
        <f>INDIRECT(ADDRESS(711,36))+INDIRECT(ADDRESS(709,37))-INDIRECT(ADDRESS(710,37))</f>
        <v>0</v>
      </c>
      <c r="AL711">
        <f>INDIRECT(ADDRESS(711,37))+INDIRECT(ADDRESS(709,38))-INDIRECT(ADDRESS(710,38))</f>
        <v>0</v>
      </c>
      <c r="AM711">
        <f>INDIRECT(ADDRESS(711,38))+INDIRECT(ADDRESS(709,39))-INDIRECT(ADDRESS(710,39))</f>
        <v>0</v>
      </c>
      <c r="AN711">
        <f>INDIRECT(ADDRESS(711,39))+INDIRECT(ADDRESS(709,40))-INDIRECT(ADDRESS(710,40))</f>
        <v>0</v>
      </c>
      <c r="AO711">
        <f>SUM(INDIRECT(ADDRESS(710,8)):INDIRECT(ADDRESS(710,39)))</f>
        <v>0</v>
      </c>
    </row>
    <row r="712" spans="1:41">
      <c r="A712" t="s">
        <v>185</v>
      </c>
      <c r="B712" t="s">
        <v>58</v>
      </c>
      <c r="C712" t="s">
        <v>415</v>
      </c>
      <c r="E712">
        <v>4</v>
      </c>
      <c r="I712" t="s">
        <v>177</v>
      </c>
    </row>
    <row r="713" spans="1:41">
      <c r="I713" t="s">
        <v>178</v>
      </c>
      <c r="J713">
        <f>IFERROR(VLOOKUP("924-025056-400",B:AB,1+8,0),0)</f>
        <v>0</v>
      </c>
      <c r="K713">
        <f>IFERROR(VLOOKUP("924-025056-400",B:AB,2+8,0),0)</f>
        <v>0</v>
      </c>
      <c r="L713">
        <f>IFERROR(VLOOKUP("924-025056-400",B:AB,3+8,0),0)</f>
        <v>0</v>
      </c>
      <c r="M713">
        <f>IFERROR(VLOOKUP("924-025056-400",B:AB,4+8,0),0)</f>
        <v>0</v>
      </c>
      <c r="N713">
        <f>IFERROR(VLOOKUP("924-025056-400",B:AB,5+8,0),0)</f>
        <v>0</v>
      </c>
      <c r="O713">
        <f>IFERROR(VLOOKUP("924-025056-400",B:AB,6+8,0),0)</f>
        <v>0</v>
      </c>
      <c r="P713">
        <f>IFERROR(VLOOKUP("924-025056-400",B:AB,7+8,0),0)</f>
        <v>0</v>
      </c>
      <c r="Q713">
        <f>IFERROR(VLOOKUP("924-025056-400",B:AB,8+8,0),0)</f>
        <v>0</v>
      </c>
      <c r="R713">
        <f>IFERROR(VLOOKUP("924-025056-400",B:AB,9+8,0),0)</f>
        <v>0</v>
      </c>
      <c r="S713">
        <f>IFERROR(VLOOKUP("924-025056-400",B:AB,10+8,0),0)</f>
        <v>0</v>
      </c>
      <c r="T713">
        <f>IFERROR(VLOOKUP("924-025056-400",B:AB,11+8,0),0)</f>
        <v>0</v>
      </c>
      <c r="U713">
        <f>IFERROR(VLOOKUP("924-025056-400",B:AB,12+8,0),0)</f>
        <v>0</v>
      </c>
      <c r="V713">
        <f>IFERROR(VLOOKUP("924-025056-400",B:AB,13+8,0),0)</f>
        <v>0</v>
      </c>
      <c r="W713">
        <f>IFERROR(VLOOKUP("924-025056-400",B:AB,14+8,0),0)</f>
        <v>0</v>
      </c>
      <c r="X713">
        <f>IFERROR(VLOOKUP("924-025056-400",B:AB,15+8,0),0)</f>
        <v>0</v>
      </c>
      <c r="Y713">
        <f>IFERROR(VLOOKUP("924-025056-400",B:AB,16+8,0),0)</f>
        <v>0</v>
      </c>
      <c r="Z713">
        <f>IFERROR(VLOOKUP("924-025056-400",B:AB,17+8,0),0)</f>
        <v>0</v>
      </c>
      <c r="AA713">
        <f>IFERROR(VLOOKUP("924-025056-400",B:AB,18+8,0),0)</f>
        <v>0</v>
      </c>
      <c r="AB713">
        <f>IFERROR(VLOOKUP("924-025056-400",B:AB,19+8,0),0)</f>
        <v>0</v>
      </c>
      <c r="AC713">
        <f>IFERROR(VLOOKUP("924-025056-400",B:AB,20+8,0),0)</f>
        <v>0</v>
      </c>
      <c r="AD713">
        <f>IFERROR(VLOOKUP("924-025056-400",B:AB,21+8,0),0)</f>
        <v>0</v>
      </c>
      <c r="AE713">
        <f>IFERROR(VLOOKUP("924-025056-400",B:AB,22+8,0),0)</f>
        <v>0</v>
      </c>
      <c r="AF713">
        <f>IFERROR(VLOOKUP("924-025056-400",B:AB,23+8,0),0)</f>
        <v>0</v>
      </c>
      <c r="AG713">
        <f>IFERROR(VLOOKUP("924-025056-400",B:AB,24+8,0),0)</f>
        <v>0</v>
      </c>
      <c r="AH713">
        <f>IFERROR(VLOOKUP("924-025056-400",B:AB,25+8,0),0)</f>
        <v>0</v>
      </c>
      <c r="AI713">
        <f>IFERROR(VLOOKUP("924-025056-400",B:AB,26+8,0),0)</f>
        <v>0</v>
      </c>
      <c r="AJ713">
        <f>IFERROR(VLOOKUP("924-025056-400",B:AB,27+8,0),0)</f>
        <v>0</v>
      </c>
      <c r="AK713">
        <f>IFERROR(VLOOKUP("924-025056-400",B:AB,28+8,0),0)</f>
        <v>0</v>
      </c>
      <c r="AL713">
        <f>IFERROR(VLOOKUP("924-025056-400",B:AB,29+8,0),0)</f>
        <v>0</v>
      </c>
      <c r="AM713">
        <f>IFERROR(VLOOKUP("924-025056-400",B:AB,30+8,0),0)</f>
        <v>0</v>
      </c>
      <c r="AN713">
        <f>IFERROR(VLOOKUP("924-025056-400",B:AB,31+8,0),0)</f>
        <v>0</v>
      </c>
      <c r="AO713">
        <f>SUN(INDIRECT(ADDRESS(712,8)):INDIRECT(ADDRESS(712,39)))</f>
        <v>0</v>
      </c>
    </row>
    <row r="714" spans="1:41">
      <c r="H714" t="s">
        <v>179</v>
      </c>
      <c r="J714">
        <f>INDIRECT(ADDRESS(714,9))+INDIRECT(ADDRESS(712,10))-INDIRECT(ADDRESS(713,10))</f>
        <v>0</v>
      </c>
      <c r="K714">
        <f>INDIRECT(ADDRESS(714,10))+INDIRECT(ADDRESS(712,11))-INDIRECT(ADDRESS(713,11))</f>
        <v>0</v>
      </c>
      <c r="L714">
        <f>INDIRECT(ADDRESS(714,11))+INDIRECT(ADDRESS(712,12))-INDIRECT(ADDRESS(713,12))</f>
        <v>0</v>
      </c>
      <c r="M714">
        <f>INDIRECT(ADDRESS(714,12))+INDIRECT(ADDRESS(712,13))-INDIRECT(ADDRESS(713,13))</f>
        <v>0</v>
      </c>
      <c r="N714">
        <f>INDIRECT(ADDRESS(714,13))+INDIRECT(ADDRESS(712,14))-INDIRECT(ADDRESS(713,14))</f>
        <v>0</v>
      </c>
      <c r="O714">
        <f>INDIRECT(ADDRESS(714,14))+INDIRECT(ADDRESS(712,15))-INDIRECT(ADDRESS(713,15))</f>
        <v>0</v>
      </c>
      <c r="P714">
        <f>INDIRECT(ADDRESS(714,15))+INDIRECT(ADDRESS(712,16))-INDIRECT(ADDRESS(713,16))</f>
        <v>0</v>
      </c>
      <c r="Q714">
        <f>INDIRECT(ADDRESS(714,16))+INDIRECT(ADDRESS(712,17))-INDIRECT(ADDRESS(713,17))</f>
        <v>0</v>
      </c>
      <c r="R714">
        <f>INDIRECT(ADDRESS(714,17))+INDIRECT(ADDRESS(712,18))-INDIRECT(ADDRESS(713,18))</f>
        <v>0</v>
      </c>
      <c r="S714">
        <f>INDIRECT(ADDRESS(714,18))+INDIRECT(ADDRESS(712,19))-INDIRECT(ADDRESS(713,19))</f>
        <v>0</v>
      </c>
      <c r="T714">
        <f>INDIRECT(ADDRESS(714,19))+INDIRECT(ADDRESS(712,20))-INDIRECT(ADDRESS(713,20))</f>
        <v>0</v>
      </c>
      <c r="U714">
        <f>INDIRECT(ADDRESS(714,20))+INDIRECT(ADDRESS(712,21))-INDIRECT(ADDRESS(713,21))</f>
        <v>0</v>
      </c>
      <c r="V714">
        <f>INDIRECT(ADDRESS(714,21))+INDIRECT(ADDRESS(712,22))-INDIRECT(ADDRESS(713,22))</f>
        <v>0</v>
      </c>
      <c r="W714">
        <f>INDIRECT(ADDRESS(714,22))+INDIRECT(ADDRESS(712,23))-INDIRECT(ADDRESS(713,23))</f>
        <v>0</v>
      </c>
      <c r="X714">
        <f>INDIRECT(ADDRESS(714,23))+INDIRECT(ADDRESS(712,24))-INDIRECT(ADDRESS(713,24))</f>
        <v>0</v>
      </c>
      <c r="Y714">
        <f>INDIRECT(ADDRESS(714,24))+INDIRECT(ADDRESS(712,25))-INDIRECT(ADDRESS(713,25))</f>
        <v>0</v>
      </c>
      <c r="Z714">
        <f>INDIRECT(ADDRESS(714,25))+INDIRECT(ADDRESS(712,26))-INDIRECT(ADDRESS(713,26))</f>
        <v>0</v>
      </c>
      <c r="AA714">
        <f>INDIRECT(ADDRESS(714,26))+INDIRECT(ADDRESS(712,27))-INDIRECT(ADDRESS(713,27))</f>
        <v>0</v>
      </c>
      <c r="AB714">
        <f>INDIRECT(ADDRESS(714,27))+INDIRECT(ADDRESS(712,28))-INDIRECT(ADDRESS(713,28))</f>
        <v>0</v>
      </c>
      <c r="AC714">
        <f>INDIRECT(ADDRESS(714,28))+INDIRECT(ADDRESS(712,29))-INDIRECT(ADDRESS(713,29))</f>
        <v>0</v>
      </c>
      <c r="AD714">
        <f>INDIRECT(ADDRESS(714,29))+INDIRECT(ADDRESS(712,30))-INDIRECT(ADDRESS(713,30))</f>
        <v>0</v>
      </c>
      <c r="AE714">
        <f>INDIRECT(ADDRESS(714,30))+INDIRECT(ADDRESS(712,31))-INDIRECT(ADDRESS(713,31))</f>
        <v>0</v>
      </c>
      <c r="AF714">
        <f>INDIRECT(ADDRESS(714,31))+INDIRECT(ADDRESS(712,32))-INDIRECT(ADDRESS(713,32))</f>
        <v>0</v>
      </c>
      <c r="AG714">
        <f>INDIRECT(ADDRESS(714,32))+INDIRECT(ADDRESS(712,33))-INDIRECT(ADDRESS(713,33))</f>
        <v>0</v>
      </c>
      <c r="AH714">
        <f>INDIRECT(ADDRESS(714,33))+INDIRECT(ADDRESS(712,34))-INDIRECT(ADDRESS(713,34))</f>
        <v>0</v>
      </c>
      <c r="AI714">
        <f>INDIRECT(ADDRESS(714,34))+INDIRECT(ADDRESS(712,35))-INDIRECT(ADDRESS(713,35))</f>
        <v>0</v>
      </c>
      <c r="AJ714">
        <f>INDIRECT(ADDRESS(714,35))+INDIRECT(ADDRESS(712,36))-INDIRECT(ADDRESS(713,36))</f>
        <v>0</v>
      </c>
      <c r="AK714">
        <f>INDIRECT(ADDRESS(714,36))+INDIRECT(ADDRESS(712,37))-INDIRECT(ADDRESS(713,37))</f>
        <v>0</v>
      </c>
      <c r="AL714">
        <f>INDIRECT(ADDRESS(714,37))+INDIRECT(ADDRESS(712,38))-INDIRECT(ADDRESS(713,38))</f>
        <v>0</v>
      </c>
      <c r="AM714">
        <f>INDIRECT(ADDRESS(714,38))+INDIRECT(ADDRESS(712,39))-INDIRECT(ADDRESS(713,39))</f>
        <v>0</v>
      </c>
      <c r="AN714">
        <f>INDIRECT(ADDRESS(714,39))+INDIRECT(ADDRESS(712,40))-INDIRECT(ADDRESS(713,40))</f>
        <v>0</v>
      </c>
      <c r="AO714">
        <f>SUM(INDIRECT(ADDRESS(713,8)):INDIRECT(ADDRESS(713,39)))</f>
        <v>0</v>
      </c>
    </row>
    <row r="715" spans="1:41">
      <c r="A715" t="s">
        <v>185</v>
      </c>
      <c r="B715" t="s">
        <v>58</v>
      </c>
      <c r="C715" t="s">
        <v>416</v>
      </c>
      <c r="E715">
        <v>1</v>
      </c>
      <c r="I715" t="s">
        <v>177</v>
      </c>
    </row>
    <row r="716" spans="1:41">
      <c r="I716" t="s">
        <v>178</v>
      </c>
      <c r="J716">
        <f>IFERROR(VLOOKUP("924-025056-400",B:AB,1+8,0),0)</f>
        <v>0</v>
      </c>
      <c r="K716">
        <f>IFERROR(VLOOKUP("924-025056-400",B:AB,2+8,0),0)</f>
        <v>0</v>
      </c>
      <c r="L716">
        <f>IFERROR(VLOOKUP("924-025056-400",B:AB,3+8,0),0)</f>
        <v>0</v>
      </c>
      <c r="M716">
        <f>IFERROR(VLOOKUP("924-025056-400",B:AB,4+8,0),0)</f>
        <v>0</v>
      </c>
      <c r="N716">
        <f>IFERROR(VLOOKUP("924-025056-400",B:AB,5+8,0),0)</f>
        <v>0</v>
      </c>
      <c r="O716">
        <f>IFERROR(VLOOKUP("924-025056-400",B:AB,6+8,0),0)</f>
        <v>0</v>
      </c>
      <c r="P716">
        <f>IFERROR(VLOOKUP("924-025056-400",B:AB,7+8,0),0)</f>
        <v>0</v>
      </c>
      <c r="Q716">
        <f>IFERROR(VLOOKUP("924-025056-400",B:AB,8+8,0),0)</f>
        <v>0</v>
      </c>
      <c r="R716">
        <f>IFERROR(VLOOKUP("924-025056-400",B:AB,9+8,0),0)</f>
        <v>0</v>
      </c>
      <c r="S716">
        <f>IFERROR(VLOOKUP("924-025056-400",B:AB,10+8,0),0)</f>
        <v>0</v>
      </c>
      <c r="T716">
        <f>IFERROR(VLOOKUP("924-025056-400",B:AB,11+8,0),0)</f>
        <v>0</v>
      </c>
      <c r="U716">
        <f>IFERROR(VLOOKUP("924-025056-400",B:AB,12+8,0),0)</f>
        <v>0</v>
      </c>
      <c r="V716">
        <f>IFERROR(VLOOKUP("924-025056-400",B:AB,13+8,0),0)</f>
        <v>0</v>
      </c>
      <c r="W716">
        <f>IFERROR(VLOOKUP("924-025056-400",B:AB,14+8,0),0)</f>
        <v>0</v>
      </c>
      <c r="X716">
        <f>IFERROR(VLOOKUP("924-025056-400",B:AB,15+8,0),0)</f>
        <v>0</v>
      </c>
      <c r="Y716">
        <f>IFERROR(VLOOKUP("924-025056-400",B:AB,16+8,0),0)</f>
        <v>0</v>
      </c>
      <c r="Z716">
        <f>IFERROR(VLOOKUP("924-025056-400",B:AB,17+8,0),0)</f>
        <v>0</v>
      </c>
      <c r="AA716">
        <f>IFERROR(VLOOKUP("924-025056-400",B:AB,18+8,0),0)</f>
        <v>0</v>
      </c>
      <c r="AB716">
        <f>IFERROR(VLOOKUP("924-025056-400",B:AB,19+8,0),0)</f>
        <v>0</v>
      </c>
      <c r="AC716">
        <f>IFERROR(VLOOKUP("924-025056-400",B:AB,20+8,0),0)</f>
        <v>0</v>
      </c>
      <c r="AD716">
        <f>IFERROR(VLOOKUP("924-025056-400",B:AB,21+8,0),0)</f>
        <v>0</v>
      </c>
      <c r="AE716">
        <f>IFERROR(VLOOKUP("924-025056-400",B:AB,22+8,0),0)</f>
        <v>0</v>
      </c>
      <c r="AF716">
        <f>IFERROR(VLOOKUP("924-025056-400",B:AB,23+8,0),0)</f>
        <v>0</v>
      </c>
      <c r="AG716">
        <f>IFERROR(VLOOKUP("924-025056-400",B:AB,24+8,0),0)</f>
        <v>0</v>
      </c>
      <c r="AH716">
        <f>IFERROR(VLOOKUP("924-025056-400",B:AB,25+8,0),0)</f>
        <v>0</v>
      </c>
      <c r="AI716">
        <f>IFERROR(VLOOKUP("924-025056-400",B:AB,26+8,0),0)</f>
        <v>0</v>
      </c>
      <c r="AJ716">
        <f>IFERROR(VLOOKUP("924-025056-400",B:AB,27+8,0),0)</f>
        <v>0</v>
      </c>
      <c r="AK716">
        <f>IFERROR(VLOOKUP("924-025056-400",B:AB,28+8,0),0)</f>
        <v>0</v>
      </c>
      <c r="AL716">
        <f>IFERROR(VLOOKUP("924-025056-400",B:AB,29+8,0),0)</f>
        <v>0</v>
      </c>
      <c r="AM716">
        <f>IFERROR(VLOOKUP("924-025056-400",B:AB,30+8,0),0)</f>
        <v>0</v>
      </c>
      <c r="AN716">
        <f>IFERROR(VLOOKUP("924-025056-400",B:AB,31+8,0),0)</f>
        <v>0</v>
      </c>
      <c r="AO716">
        <f>SUN(INDIRECT(ADDRESS(715,8)):INDIRECT(ADDRESS(715,39)))</f>
        <v>0</v>
      </c>
    </row>
    <row r="717" spans="1:41">
      <c r="H717" t="s">
        <v>179</v>
      </c>
      <c r="J717">
        <f>INDIRECT(ADDRESS(717,9))+INDIRECT(ADDRESS(715,10))-INDIRECT(ADDRESS(716,10))</f>
        <v>0</v>
      </c>
      <c r="K717">
        <f>INDIRECT(ADDRESS(717,10))+INDIRECT(ADDRESS(715,11))-INDIRECT(ADDRESS(716,11))</f>
        <v>0</v>
      </c>
      <c r="L717">
        <f>INDIRECT(ADDRESS(717,11))+INDIRECT(ADDRESS(715,12))-INDIRECT(ADDRESS(716,12))</f>
        <v>0</v>
      </c>
      <c r="M717">
        <f>INDIRECT(ADDRESS(717,12))+INDIRECT(ADDRESS(715,13))-INDIRECT(ADDRESS(716,13))</f>
        <v>0</v>
      </c>
      <c r="N717">
        <f>INDIRECT(ADDRESS(717,13))+INDIRECT(ADDRESS(715,14))-INDIRECT(ADDRESS(716,14))</f>
        <v>0</v>
      </c>
      <c r="O717">
        <f>INDIRECT(ADDRESS(717,14))+INDIRECT(ADDRESS(715,15))-INDIRECT(ADDRESS(716,15))</f>
        <v>0</v>
      </c>
      <c r="P717">
        <f>INDIRECT(ADDRESS(717,15))+INDIRECT(ADDRESS(715,16))-INDIRECT(ADDRESS(716,16))</f>
        <v>0</v>
      </c>
      <c r="Q717">
        <f>INDIRECT(ADDRESS(717,16))+INDIRECT(ADDRESS(715,17))-INDIRECT(ADDRESS(716,17))</f>
        <v>0</v>
      </c>
      <c r="R717">
        <f>INDIRECT(ADDRESS(717,17))+INDIRECT(ADDRESS(715,18))-INDIRECT(ADDRESS(716,18))</f>
        <v>0</v>
      </c>
      <c r="S717">
        <f>INDIRECT(ADDRESS(717,18))+INDIRECT(ADDRESS(715,19))-INDIRECT(ADDRESS(716,19))</f>
        <v>0</v>
      </c>
      <c r="T717">
        <f>INDIRECT(ADDRESS(717,19))+INDIRECT(ADDRESS(715,20))-INDIRECT(ADDRESS(716,20))</f>
        <v>0</v>
      </c>
      <c r="U717">
        <f>INDIRECT(ADDRESS(717,20))+INDIRECT(ADDRESS(715,21))-INDIRECT(ADDRESS(716,21))</f>
        <v>0</v>
      </c>
      <c r="V717">
        <f>INDIRECT(ADDRESS(717,21))+INDIRECT(ADDRESS(715,22))-INDIRECT(ADDRESS(716,22))</f>
        <v>0</v>
      </c>
      <c r="W717">
        <f>INDIRECT(ADDRESS(717,22))+INDIRECT(ADDRESS(715,23))-INDIRECT(ADDRESS(716,23))</f>
        <v>0</v>
      </c>
      <c r="X717">
        <f>INDIRECT(ADDRESS(717,23))+INDIRECT(ADDRESS(715,24))-INDIRECT(ADDRESS(716,24))</f>
        <v>0</v>
      </c>
      <c r="Y717">
        <f>INDIRECT(ADDRESS(717,24))+INDIRECT(ADDRESS(715,25))-INDIRECT(ADDRESS(716,25))</f>
        <v>0</v>
      </c>
      <c r="Z717">
        <f>INDIRECT(ADDRESS(717,25))+INDIRECT(ADDRESS(715,26))-INDIRECT(ADDRESS(716,26))</f>
        <v>0</v>
      </c>
      <c r="AA717">
        <f>INDIRECT(ADDRESS(717,26))+INDIRECT(ADDRESS(715,27))-INDIRECT(ADDRESS(716,27))</f>
        <v>0</v>
      </c>
      <c r="AB717">
        <f>INDIRECT(ADDRESS(717,27))+INDIRECT(ADDRESS(715,28))-INDIRECT(ADDRESS(716,28))</f>
        <v>0</v>
      </c>
      <c r="AC717">
        <f>INDIRECT(ADDRESS(717,28))+INDIRECT(ADDRESS(715,29))-INDIRECT(ADDRESS(716,29))</f>
        <v>0</v>
      </c>
      <c r="AD717">
        <f>INDIRECT(ADDRESS(717,29))+INDIRECT(ADDRESS(715,30))-INDIRECT(ADDRESS(716,30))</f>
        <v>0</v>
      </c>
      <c r="AE717">
        <f>INDIRECT(ADDRESS(717,30))+INDIRECT(ADDRESS(715,31))-INDIRECT(ADDRESS(716,31))</f>
        <v>0</v>
      </c>
      <c r="AF717">
        <f>INDIRECT(ADDRESS(717,31))+INDIRECT(ADDRESS(715,32))-INDIRECT(ADDRESS(716,32))</f>
        <v>0</v>
      </c>
      <c r="AG717">
        <f>INDIRECT(ADDRESS(717,32))+INDIRECT(ADDRESS(715,33))-INDIRECT(ADDRESS(716,33))</f>
        <v>0</v>
      </c>
      <c r="AH717">
        <f>INDIRECT(ADDRESS(717,33))+INDIRECT(ADDRESS(715,34))-INDIRECT(ADDRESS(716,34))</f>
        <v>0</v>
      </c>
      <c r="AI717">
        <f>INDIRECT(ADDRESS(717,34))+INDIRECT(ADDRESS(715,35))-INDIRECT(ADDRESS(716,35))</f>
        <v>0</v>
      </c>
      <c r="AJ717">
        <f>INDIRECT(ADDRESS(717,35))+INDIRECT(ADDRESS(715,36))-INDIRECT(ADDRESS(716,36))</f>
        <v>0</v>
      </c>
      <c r="AK717">
        <f>INDIRECT(ADDRESS(717,36))+INDIRECT(ADDRESS(715,37))-INDIRECT(ADDRESS(716,37))</f>
        <v>0</v>
      </c>
      <c r="AL717">
        <f>INDIRECT(ADDRESS(717,37))+INDIRECT(ADDRESS(715,38))-INDIRECT(ADDRESS(716,38))</f>
        <v>0</v>
      </c>
      <c r="AM717">
        <f>INDIRECT(ADDRESS(717,38))+INDIRECT(ADDRESS(715,39))-INDIRECT(ADDRESS(716,39))</f>
        <v>0</v>
      </c>
      <c r="AN717">
        <f>INDIRECT(ADDRESS(717,39))+INDIRECT(ADDRESS(715,40))-INDIRECT(ADDRESS(716,40))</f>
        <v>0</v>
      </c>
      <c r="AO717">
        <f>SUM(INDIRECT(ADDRESS(716,8)):INDIRECT(ADDRESS(716,39)))</f>
        <v>0</v>
      </c>
    </row>
    <row r="718" spans="1:41">
      <c r="A718" t="s">
        <v>185</v>
      </c>
      <c r="B718" t="s">
        <v>58</v>
      </c>
      <c r="C718" t="s">
        <v>423</v>
      </c>
      <c r="E718">
        <v>1</v>
      </c>
      <c r="I718" t="s">
        <v>177</v>
      </c>
    </row>
    <row r="719" spans="1:41">
      <c r="I719" t="s">
        <v>178</v>
      </c>
      <c r="J719">
        <f>IFERROR(VLOOKUP("924-025056-400",B:AB,1+8,0),0)</f>
        <v>0</v>
      </c>
      <c r="K719">
        <f>IFERROR(VLOOKUP("924-025056-400",B:AB,2+8,0),0)</f>
        <v>0</v>
      </c>
      <c r="L719">
        <f>IFERROR(VLOOKUP("924-025056-400",B:AB,3+8,0),0)</f>
        <v>0</v>
      </c>
      <c r="M719">
        <f>IFERROR(VLOOKUP("924-025056-400",B:AB,4+8,0),0)</f>
        <v>0</v>
      </c>
      <c r="N719">
        <f>IFERROR(VLOOKUP("924-025056-400",B:AB,5+8,0),0)</f>
        <v>0</v>
      </c>
      <c r="O719">
        <f>IFERROR(VLOOKUP("924-025056-400",B:AB,6+8,0),0)</f>
        <v>0</v>
      </c>
      <c r="P719">
        <f>IFERROR(VLOOKUP("924-025056-400",B:AB,7+8,0),0)</f>
        <v>0</v>
      </c>
      <c r="Q719">
        <f>IFERROR(VLOOKUP("924-025056-400",B:AB,8+8,0),0)</f>
        <v>0</v>
      </c>
      <c r="R719">
        <f>IFERROR(VLOOKUP("924-025056-400",B:AB,9+8,0),0)</f>
        <v>0</v>
      </c>
      <c r="S719">
        <f>IFERROR(VLOOKUP("924-025056-400",B:AB,10+8,0),0)</f>
        <v>0</v>
      </c>
      <c r="T719">
        <f>IFERROR(VLOOKUP("924-025056-400",B:AB,11+8,0),0)</f>
        <v>0</v>
      </c>
      <c r="U719">
        <f>IFERROR(VLOOKUP("924-025056-400",B:AB,12+8,0),0)</f>
        <v>0</v>
      </c>
      <c r="V719">
        <f>IFERROR(VLOOKUP("924-025056-400",B:AB,13+8,0),0)</f>
        <v>0</v>
      </c>
      <c r="W719">
        <f>IFERROR(VLOOKUP("924-025056-400",B:AB,14+8,0),0)</f>
        <v>0</v>
      </c>
      <c r="X719">
        <f>IFERROR(VLOOKUP("924-025056-400",B:AB,15+8,0),0)</f>
        <v>0</v>
      </c>
      <c r="Y719">
        <f>IFERROR(VLOOKUP("924-025056-400",B:AB,16+8,0),0)</f>
        <v>0</v>
      </c>
      <c r="Z719">
        <f>IFERROR(VLOOKUP("924-025056-400",B:AB,17+8,0),0)</f>
        <v>0</v>
      </c>
      <c r="AA719">
        <f>IFERROR(VLOOKUP("924-025056-400",B:AB,18+8,0),0)</f>
        <v>0</v>
      </c>
      <c r="AB719">
        <f>IFERROR(VLOOKUP("924-025056-400",B:AB,19+8,0),0)</f>
        <v>0</v>
      </c>
      <c r="AC719">
        <f>IFERROR(VLOOKUP("924-025056-400",B:AB,20+8,0),0)</f>
        <v>0</v>
      </c>
      <c r="AD719">
        <f>IFERROR(VLOOKUP("924-025056-400",B:AB,21+8,0),0)</f>
        <v>0</v>
      </c>
      <c r="AE719">
        <f>IFERROR(VLOOKUP("924-025056-400",B:AB,22+8,0),0)</f>
        <v>0</v>
      </c>
      <c r="AF719">
        <f>IFERROR(VLOOKUP("924-025056-400",B:AB,23+8,0),0)</f>
        <v>0</v>
      </c>
      <c r="AG719">
        <f>IFERROR(VLOOKUP("924-025056-400",B:AB,24+8,0),0)</f>
        <v>0</v>
      </c>
      <c r="AH719">
        <f>IFERROR(VLOOKUP("924-025056-400",B:AB,25+8,0),0)</f>
        <v>0</v>
      </c>
      <c r="AI719">
        <f>IFERROR(VLOOKUP("924-025056-400",B:AB,26+8,0),0)</f>
        <v>0</v>
      </c>
      <c r="AJ719">
        <f>IFERROR(VLOOKUP("924-025056-400",B:AB,27+8,0),0)</f>
        <v>0</v>
      </c>
      <c r="AK719">
        <f>IFERROR(VLOOKUP("924-025056-400",B:AB,28+8,0),0)</f>
        <v>0</v>
      </c>
      <c r="AL719">
        <f>IFERROR(VLOOKUP("924-025056-400",B:AB,29+8,0),0)</f>
        <v>0</v>
      </c>
      <c r="AM719">
        <f>IFERROR(VLOOKUP("924-025056-400",B:AB,30+8,0),0)</f>
        <v>0</v>
      </c>
      <c r="AN719">
        <f>IFERROR(VLOOKUP("924-025056-400",B:AB,31+8,0),0)</f>
        <v>0</v>
      </c>
      <c r="AO719">
        <f>SUN(INDIRECT(ADDRESS(718,8)):INDIRECT(ADDRESS(718,39)))</f>
        <v>0</v>
      </c>
    </row>
    <row r="720" spans="1:41">
      <c r="H720" t="s">
        <v>179</v>
      </c>
      <c r="J720">
        <f>INDIRECT(ADDRESS(720,9))+INDIRECT(ADDRESS(718,10))-INDIRECT(ADDRESS(719,10))</f>
        <v>0</v>
      </c>
      <c r="K720">
        <f>INDIRECT(ADDRESS(720,10))+INDIRECT(ADDRESS(718,11))-INDIRECT(ADDRESS(719,11))</f>
        <v>0</v>
      </c>
      <c r="L720">
        <f>INDIRECT(ADDRESS(720,11))+INDIRECT(ADDRESS(718,12))-INDIRECT(ADDRESS(719,12))</f>
        <v>0</v>
      </c>
      <c r="M720">
        <f>INDIRECT(ADDRESS(720,12))+INDIRECT(ADDRESS(718,13))-INDIRECT(ADDRESS(719,13))</f>
        <v>0</v>
      </c>
      <c r="N720">
        <f>INDIRECT(ADDRESS(720,13))+INDIRECT(ADDRESS(718,14))-INDIRECT(ADDRESS(719,14))</f>
        <v>0</v>
      </c>
      <c r="O720">
        <f>INDIRECT(ADDRESS(720,14))+INDIRECT(ADDRESS(718,15))-INDIRECT(ADDRESS(719,15))</f>
        <v>0</v>
      </c>
      <c r="P720">
        <f>INDIRECT(ADDRESS(720,15))+INDIRECT(ADDRESS(718,16))-INDIRECT(ADDRESS(719,16))</f>
        <v>0</v>
      </c>
      <c r="Q720">
        <f>INDIRECT(ADDRESS(720,16))+INDIRECT(ADDRESS(718,17))-INDIRECT(ADDRESS(719,17))</f>
        <v>0</v>
      </c>
      <c r="R720">
        <f>INDIRECT(ADDRESS(720,17))+INDIRECT(ADDRESS(718,18))-INDIRECT(ADDRESS(719,18))</f>
        <v>0</v>
      </c>
      <c r="S720">
        <f>INDIRECT(ADDRESS(720,18))+INDIRECT(ADDRESS(718,19))-INDIRECT(ADDRESS(719,19))</f>
        <v>0</v>
      </c>
      <c r="T720">
        <f>INDIRECT(ADDRESS(720,19))+INDIRECT(ADDRESS(718,20))-INDIRECT(ADDRESS(719,20))</f>
        <v>0</v>
      </c>
      <c r="U720">
        <f>INDIRECT(ADDRESS(720,20))+INDIRECT(ADDRESS(718,21))-INDIRECT(ADDRESS(719,21))</f>
        <v>0</v>
      </c>
      <c r="V720">
        <f>INDIRECT(ADDRESS(720,21))+INDIRECT(ADDRESS(718,22))-INDIRECT(ADDRESS(719,22))</f>
        <v>0</v>
      </c>
      <c r="W720">
        <f>INDIRECT(ADDRESS(720,22))+INDIRECT(ADDRESS(718,23))-INDIRECT(ADDRESS(719,23))</f>
        <v>0</v>
      </c>
      <c r="X720">
        <f>INDIRECT(ADDRESS(720,23))+INDIRECT(ADDRESS(718,24))-INDIRECT(ADDRESS(719,24))</f>
        <v>0</v>
      </c>
      <c r="Y720">
        <f>INDIRECT(ADDRESS(720,24))+INDIRECT(ADDRESS(718,25))-INDIRECT(ADDRESS(719,25))</f>
        <v>0</v>
      </c>
      <c r="Z720">
        <f>INDIRECT(ADDRESS(720,25))+INDIRECT(ADDRESS(718,26))-INDIRECT(ADDRESS(719,26))</f>
        <v>0</v>
      </c>
      <c r="AA720">
        <f>INDIRECT(ADDRESS(720,26))+INDIRECT(ADDRESS(718,27))-INDIRECT(ADDRESS(719,27))</f>
        <v>0</v>
      </c>
      <c r="AB720">
        <f>INDIRECT(ADDRESS(720,27))+INDIRECT(ADDRESS(718,28))-INDIRECT(ADDRESS(719,28))</f>
        <v>0</v>
      </c>
      <c r="AC720">
        <f>INDIRECT(ADDRESS(720,28))+INDIRECT(ADDRESS(718,29))-INDIRECT(ADDRESS(719,29))</f>
        <v>0</v>
      </c>
      <c r="AD720">
        <f>INDIRECT(ADDRESS(720,29))+INDIRECT(ADDRESS(718,30))-INDIRECT(ADDRESS(719,30))</f>
        <v>0</v>
      </c>
      <c r="AE720">
        <f>INDIRECT(ADDRESS(720,30))+INDIRECT(ADDRESS(718,31))-INDIRECT(ADDRESS(719,31))</f>
        <v>0</v>
      </c>
      <c r="AF720">
        <f>INDIRECT(ADDRESS(720,31))+INDIRECT(ADDRESS(718,32))-INDIRECT(ADDRESS(719,32))</f>
        <v>0</v>
      </c>
      <c r="AG720">
        <f>INDIRECT(ADDRESS(720,32))+INDIRECT(ADDRESS(718,33))-INDIRECT(ADDRESS(719,33))</f>
        <v>0</v>
      </c>
      <c r="AH720">
        <f>INDIRECT(ADDRESS(720,33))+INDIRECT(ADDRESS(718,34))-INDIRECT(ADDRESS(719,34))</f>
        <v>0</v>
      </c>
      <c r="AI720">
        <f>INDIRECT(ADDRESS(720,34))+INDIRECT(ADDRESS(718,35))-INDIRECT(ADDRESS(719,35))</f>
        <v>0</v>
      </c>
      <c r="AJ720">
        <f>INDIRECT(ADDRESS(720,35))+INDIRECT(ADDRESS(718,36))-INDIRECT(ADDRESS(719,36))</f>
        <v>0</v>
      </c>
      <c r="AK720">
        <f>INDIRECT(ADDRESS(720,36))+INDIRECT(ADDRESS(718,37))-INDIRECT(ADDRESS(719,37))</f>
        <v>0</v>
      </c>
      <c r="AL720">
        <f>INDIRECT(ADDRESS(720,37))+INDIRECT(ADDRESS(718,38))-INDIRECT(ADDRESS(719,38))</f>
        <v>0</v>
      </c>
      <c r="AM720">
        <f>INDIRECT(ADDRESS(720,38))+INDIRECT(ADDRESS(718,39))-INDIRECT(ADDRESS(719,39))</f>
        <v>0</v>
      </c>
      <c r="AN720">
        <f>INDIRECT(ADDRESS(720,39))+INDIRECT(ADDRESS(718,40))-INDIRECT(ADDRESS(719,40))</f>
        <v>0</v>
      </c>
      <c r="AO720">
        <f>SUM(INDIRECT(ADDRESS(719,8)):INDIRECT(ADDRESS(719,39)))</f>
        <v>0</v>
      </c>
    </row>
    <row r="721" spans="1:41">
      <c r="A721" t="s">
        <v>185</v>
      </c>
      <c r="B721" t="s">
        <v>58</v>
      </c>
      <c r="C721" t="s">
        <v>424</v>
      </c>
      <c r="E721">
        <v>1</v>
      </c>
      <c r="I721" t="s">
        <v>177</v>
      </c>
    </row>
    <row r="722" spans="1:41">
      <c r="I722" t="s">
        <v>178</v>
      </c>
      <c r="J722">
        <f>IFERROR(VLOOKUP("924-025056-400",B:AB,1+8,0),0)</f>
        <v>0</v>
      </c>
      <c r="K722">
        <f>IFERROR(VLOOKUP("924-025056-400",B:AB,2+8,0),0)</f>
        <v>0</v>
      </c>
      <c r="L722">
        <f>IFERROR(VLOOKUP("924-025056-400",B:AB,3+8,0),0)</f>
        <v>0</v>
      </c>
      <c r="M722">
        <f>IFERROR(VLOOKUP("924-025056-400",B:AB,4+8,0),0)</f>
        <v>0</v>
      </c>
      <c r="N722">
        <f>IFERROR(VLOOKUP("924-025056-400",B:AB,5+8,0),0)</f>
        <v>0</v>
      </c>
      <c r="O722">
        <f>IFERROR(VLOOKUP("924-025056-400",B:AB,6+8,0),0)</f>
        <v>0</v>
      </c>
      <c r="P722">
        <f>IFERROR(VLOOKUP("924-025056-400",B:AB,7+8,0),0)</f>
        <v>0</v>
      </c>
      <c r="Q722">
        <f>IFERROR(VLOOKUP("924-025056-400",B:AB,8+8,0),0)</f>
        <v>0</v>
      </c>
      <c r="R722">
        <f>IFERROR(VLOOKUP("924-025056-400",B:AB,9+8,0),0)</f>
        <v>0</v>
      </c>
      <c r="S722">
        <f>IFERROR(VLOOKUP("924-025056-400",B:AB,10+8,0),0)</f>
        <v>0</v>
      </c>
      <c r="T722">
        <f>IFERROR(VLOOKUP("924-025056-400",B:AB,11+8,0),0)</f>
        <v>0</v>
      </c>
      <c r="U722">
        <f>IFERROR(VLOOKUP("924-025056-400",B:AB,12+8,0),0)</f>
        <v>0</v>
      </c>
      <c r="V722">
        <f>IFERROR(VLOOKUP("924-025056-400",B:AB,13+8,0),0)</f>
        <v>0</v>
      </c>
      <c r="W722">
        <f>IFERROR(VLOOKUP("924-025056-400",B:AB,14+8,0),0)</f>
        <v>0</v>
      </c>
      <c r="X722">
        <f>IFERROR(VLOOKUP("924-025056-400",B:AB,15+8,0),0)</f>
        <v>0</v>
      </c>
      <c r="Y722">
        <f>IFERROR(VLOOKUP("924-025056-400",B:AB,16+8,0),0)</f>
        <v>0</v>
      </c>
      <c r="Z722">
        <f>IFERROR(VLOOKUP("924-025056-400",B:AB,17+8,0),0)</f>
        <v>0</v>
      </c>
      <c r="AA722">
        <f>IFERROR(VLOOKUP("924-025056-400",B:AB,18+8,0),0)</f>
        <v>0</v>
      </c>
      <c r="AB722">
        <f>IFERROR(VLOOKUP("924-025056-400",B:AB,19+8,0),0)</f>
        <v>0</v>
      </c>
      <c r="AC722">
        <f>IFERROR(VLOOKUP("924-025056-400",B:AB,20+8,0),0)</f>
        <v>0</v>
      </c>
      <c r="AD722">
        <f>IFERROR(VLOOKUP("924-025056-400",B:AB,21+8,0),0)</f>
        <v>0</v>
      </c>
      <c r="AE722">
        <f>IFERROR(VLOOKUP("924-025056-400",B:AB,22+8,0),0)</f>
        <v>0</v>
      </c>
      <c r="AF722">
        <f>IFERROR(VLOOKUP("924-025056-400",B:AB,23+8,0),0)</f>
        <v>0</v>
      </c>
      <c r="AG722">
        <f>IFERROR(VLOOKUP("924-025056-400",B:AB,24+8,0),0)</f>
        <v>0</v>
      </c>
      <c r="AH722">
        <f>IFERROR(VLOOKUP("924-025056-400",B:AB,25+8,0),0)</f>
        <v>0</v>
      </c>
      <c r="AI722">
        <f>IFERROR(VLOOKUP("924-025056-400",B:AB,26+8,0),0)</f>
        <v>0</v>
      </c>
      <c r="AJ722">
        <f>IFERROR(VLOOKUP("924-025056-400",B:AB,27+8,0),0)</f>
        <v>0</v>
      </c>
      <c r="AK722">
        <f>IFERROR(VLOOKUP("924-025056-400",B:AB,28+8,0),0)</f>
        <v>0</v>
      </c>
      <c r="AL722">
        <f>IFERROR(VLOOKUP("924-025056-400",B:AB,29+8,0),0)</f>
        <v>0</v>
      </c>
      <c r="AM722">
        <f>IFERROR(VLOOKUP("924-025056-400",B:AB,30+8,0),0)</f>
        <v>0</v>
      </c>
      <c r="AN722">
        <f>IFERROR(VLOOKUP("924-025056-400",B:AB,31+8,0),0)</f>
        <v>0</v>
      </c>
      <c r="AO722">
        <f>SUN(INDIRECT(ADDRESS(721,8)):INDIRECT(ADDRESS(721,39)))</f>
        <v>0</v>
      </c>
    </row>
    <row r="723" spans="1:41">
      <c r="H723" t="s">
        <v>179</v>
      </c>
      <c r="J723">
        <f>INDIRECT(ADDRESS(723,9))+INDIRECT(ADDRESS(721,10))-INDIRECT(ADDRESS(722,10))</f>
        <v>0</v>
      </c>
      <c r="K723">
        <f>INDIRECT(ADDRESS(723,10))+INDIRECT(ADDRESS(721,11))-INDIRECT(ADDRESS(722,11))</f>
        <v>0</v>
      </c>
      <c r="L723">
        <f>INDIRECT(ADDRESS(723,11))+INDIRECT(ADDRESS(721,12))-INDIRECT(ADDRESS(722,12))</f>
        <v>0</v>
      </c>
      <c r="M723">
        <f>INDIRECT(ADDRESS(723,12))+INDIRECT(ADDRESS(721,13))-INDIRECT(ADDRESS(722,13))</f>
        <v>0</v>
      </c>
      <c r="N723">
        <f>INDIRECT(ADDRESS(723,13))+INDIRECT(ADDRESS(721,14))-INDIRECT(ADDRESS(722,14))</f>
        <v>0</v>
      </c>
      <c r="O723">
        <f>INDIRECT(ADDRESS(723,14))+INDIRECT(ADDRESS(721,15))-INDIRECT(ADDRESS(722,15))</f>
        <v>0</v>
      </c>
      <c r="P723">
        <f>INDIRECT(ADDRESS(723,15))+INDIRECT(ADDRESS(721,16))-INDIRECT(ADDRESS(722,16))</f>
        <v>0</v>
      </c>
      <c r="Q723">
        <f>INDIRECT(ADDRESS(723,16))+INDIRECT(ADDRESS(721,17))-INDIRECT(ADDRESS(722,17))</f>
        <v>0</v>
      </c>
      <c r="R723">
        <f>INDIRECT(ADDRESS(723,17))+INDIRECT(ADDRESS(721,18))-INDIRECT(ADDRESS(722,18))</f>
        <v>0</v>
      </c>
      <c r="S723">
        <f>INDIRECT(ADDRESS(723,18))+INDIRECT(ADDRESS(721,19))-INDIRECT(ADDRESS(722,19))</f>
        <v>0</v>
      </c>
      <c r="T723">
        <f>INDIRECT(ADDRESS(723,19))+INDIRECT(ADDRESS(721,20))-INDIRECT(ADDRESS(722,20))</f>
        <v>0</v>
      </c>
      <c r="U723">
        <f>INDIRECT(ADDRESS(723,20))+INDIRECT(ADDRESS(721,21))-INDIRECT(ADDRESS(722,21))</f>
        <v>0</v>
      </c>
      <c r="V723">
        <f>INDIRECT(ADDRESS(723,21))+INDIRECT(ADDRESS(721,22))-INDIRECT(ADDRESS(722,22))</f>
        <v>0</v>
      </c>
      <c r="W723">
        <f>INDIRECT(ADDRESS(723,22))+INDIRECT(ADDRESS(721,23))-INDIRECT(ADDRESS(722,23))</f>
        <v>0</v>
      </c>
      <c r="X723">
        <f>INDIRECT(ADDRESS(723,23))+INDIRECT(ADDRESS(721,24))-INDIRECT(ADDRESS(722,24))</f>
        <v>0</v>
      </c>
      <c r="Y723">
        <f>INDIRECT(ADDRESS(723,24))+INDIRECT(ADDRESS(721,25))-INDIRECT(ADDRESS(722,25))</f>
        <v>0</v>
      </c>
      <c r="Z723">
        <f>INDIRECT(ADDRESS(723,25))+INDIRECT(ADDRESS(721,26))-INDIRECT(ADDRESS(722,26))</f>
        <v>0</v>
      </c>
      <c r="AA723">
        <f>INDIRECT(ADDRESS(723,26))+INDIRECT(ADDRESS(721,27))-INDIRECT(ADDRESS(722,27))</f>
        <v>0</v>
      </c>
      <c r="AB723">
        <f>INDIRECT(ADDRESS(723,27))+INDIRECT(ADDRESS(721,28))-INDIRECT(ADDRESS(722,28))</f>
        <v>0</v>
      </c>
      <c r="AC723">
        <f>INDIRECT(ADDRESS(723,28))+INDIRECT(ADDRESS(721,29))-INDIRECT(ADDRESS(722,29))</f>
        <v>0</v>
      </c>
      <c r="AD723">
        <f>INDIRECT(ADDRESS(723,29))+INDIRECT(ADDRESS(721,30))-INDIRECT(ADDRESS(722,30))</f>
        <v>0</v>
      </c>
      <c r="AE723">
        <f>INDIRECT(ADDRESS(723,30))+INDIRECT(ADDRESS(721,31))-INDIRECT(ADDRESS(722,31))</f>
        <v>0</v>
      </c>
      <c r="AF723">
        <f>INDIRECT(ADDRESS(723,31))+INDIRECT(ADDRESS(721,32))-INDIRECT(ADDRESS(722,32))</f>
        <v>0</v>
      </c>
      <c r="AG723">
        <f>INDIRECT(ADDRESS(723,32))+INDIRECT(ADDRESS(721,33))-INDIRECT(ADDRESS(722,33))</f>
        <v>0</v>
      </c>
      <c r="AH723">
        <f>INDIRECT(ADDRESS(723,33))+INDIRECT(ADDRESS(721,34))-INDIRECT(ADDRESS(722,34))</f>
        <v>0</v>
      </c>
      <c r="AI723">
        <f>INDIRECT(ADDRESS(723,34))+INDIRECT(ADDRESS(721,35))-INDIRECT(ADDRESS(722,35))</f>
        <v>0</v>
      </c>
      <c r="AJ723">
        <f>INDIRECT(ADDRESS(723,35))+INDIRECT(ADDRESS(721,36))-INDIRECT(ADDRESS(722,36))</f>
        <v>0</v>
      </c>
      <c r="AK723">
        <f>INDIRECT(ADDRESS(723,36))+INDIRECT(ADDRESS(721,37))-INDIRECT(ADDRESS(722,37))</f>
        <v>0</v>
      </c>
      <c r="AL723">
        <f>INDIRECT(ADDRESS(723,37))+INDIRECT(ADDRESS(721,38))-INDIRECT(ADDRESS(722,38))</f>
        <v>0</v>
      </c>
      <c r="AM723">
        <f>INDIRECT(ADDRESS(723,38))+INDIRECT(ADDRESS(721,39))-INDIRECT(ADDRESS(722,39))</f>
        <v>0</v>
      </c>
      <c r="AN723">
        <f>INDIRECT(ADDRESS(723,39))+INDIRECT(ADDRESS(721,40))-INDIRECT(ADDRESS(722,40))</f>
        <v>0</v>
      </c>
      <c r="AO723">
        <f>SUM(INDIRECT(ADDRESS(722,8)):INDIRECT(ADDRESS(722,39)))</f>
        <v>0</v>
      </c>
    </row>
    <row r="724" spans="1:41">
      <c r="A724" t="s">
        <v>185</v>
      </c>
      <c r="B724" t="s">
        <v>58</v>
      </c>
      <c r="C724" t="s">
        <v>425</v>
      </c>
      <c r="E724">
        <v>1</v>
      </c>
      <c r="I724" t="s">
        <v>177</v>
      </c>
    </row>
    <row r="725" spans="1:41">
      <c r="I725" t="s">
        <v>178</v>
      </c>
      <c r="J725">
        <f>IFERROR(VLOOKUP("924-025056-400",B:AB,1+8,0),0)</f>
        <v>0</v>
      </c>
      <c r="K725">
        <f>IFERROR(VLOOKUP("924-025056-400",B:AB,2+8,0),0)</f>
        <v>0</v>
      </c>
      <c r="L725">
        <f>IFERROR(VLOOKUP("924-025056-400",B:AB,3+8,0),0)</f>
        <v>0</v>
      </c>
      <c r="M725">
        <f>IFERROR(VLOOKUP("924-025056-400",B:AB,4+8,0),0)</f>
        <v>0</v>
      </c>
      <c r="N725">
        <f>IFERROR(VLOOKUP("924-025056-400",B:AB,5+8,0),0)</f>
        <v>0</v>
      </c>
      <c r="O725">
        <f>IFERROR(VLOOKUP("924-025056-400",B:AB,6+8,0),0)</f>
        <v>0</v>
      </c>
      <c r="P725">
        <f>IFERROR(VLOOKUP("924-025056-400",B:AB,7+8,0),0)</f>
        <v>0</v>
      </c>
      <c r="Q725">
        <f>IFERROR(VLOOKUP("924-025056-400",B:AB,8+8,0),0)</f>
        <v>0</v>
      </c>
      <c r="R725">
        <f>IFERROR(VLOOKUP("924-025056-400",B:AB,9+8,0),0)</f>
        <v>0</v>
      </c>
      <c r="S725">
        <f>IFERROR(VLOOKUP("924-025056-400",B:AB,10+8,0),0)</f>
        <v>0</v>
      </c>
      <c r="T725">
        <f>IFERROR(VLOOKUP("924-025056-400",B:AB,11+8,0),0)</f>
        <v>0</v>
      </c>
      <c r="U725">
        <f>IFERROR(VLOOKUP("924-025056-400",B:AB,12+8,0),0)</f>
        <v>0</v>
      </c>
      <c r="V725">
        <f>IFERROR(VLOOKUP("924-025056-400",B:AB,13+8,0),0)</f>
        <v>0</v>
      </c>
      <c r="W725">
        <f>IFERROR(VLOOKUP("924-025056-400",B:AB,14+8,0),0)</f>
        <v>0</v>
      </c>
      <c r="X725">
        <f>IFERROR(VLOOKUP("924-025056-400",B:AB,15+8,0),0)</f>
        <v>0</v>
      </c>
      <c r="Y725">
        <f>IFERROR(VLOOKUP("924-025056-400",B:AB,16+8,0),0)</f>
        <v>0</v>
      </c>
      <c r="Z725">
        <f>IFERROR(VLOOKUP("924-025056-400",B:AB,17+8,0),0)</f>
        <v>0</v>
      </c>
      <c r="AA725">
        <f>IFERROR(VLOOKUP("924-025056-400",B:AB,18+8,0),0)</f>
        <v>0</v>
      </c>
      <c r="AB725">
        <f>IFERROR(VLOOKUP("924-025056-400",B:AB,19+8,0),0)</f>
        <v>0</v>
      </c>
      <c r="AC725">
        <f>IFERROR(VLOOKUP("924-025056-400",B:AB,20+8,0),0)</f>
        <v>0</v>
      </c>
      <c r="AD725">
        <f>IFERROR(VLOOKUP("924-025056-400",B:AB,21+8,0),0)</f>
        <v>0</v>
      </c>
      <c r="AE725">
        <f>IFERROR(VLOOKUP("924-025056-400",B:AB,22+8,0),0)</f>
        <v>0</v>
      </c>
      <c r="AF725">
        <f>IFERROR(VLOOKUP("924-025056-400",B:AB,23+8,0),0)</f>
        <v>0</v>
      </c>
      <c r="AG725">
        <f>IFERROR(VLOOKUP("924-025056-400",B:AB,24+8,0),0)</f>
        <v>0</v>
      </c>
      <c r="AH725">
        <f>IFERROR(VLOOKUP("924-025056-400",B:AB,25+8,0),0)</f>
        <v>0</v>
      </c>
      <c r="AI725">
        <f>IFERROR(VLOOKUP("924-025056-400",B:AB,26+8,0),0)</f>
        <v>0</v>
      </c>
      <c r="AJ725">
        <f>IFERROR(VLOOKUP("924-025056-400",B:AB,27+8,0),0)</f>
        <v>0</v>
      </c>
      <c r="AK725">
        <f>IFERROR(VLOOKUP("924-025056-400",B:AB,28+8,0),0)</f>
        <v>0</v>
      </c>
      <c r="AL725">
        <f>IFERROR(VLOOKUP("924-025056-400",B:AB,29+8,0),0)</f>
        <v>0</v>
      </c>
      <c r="AM725">
        <f>IFERROR(VLOOKUP("924-025056-400",B:AB,30+8,0),0)</f>
        <v>0</v>
      </c>
      <c r="AN725">
        <f>IFERROR(VLOOKUP("924-025056-400",B:AB,31+8,0),0)</f>
        <v>0</v>
      </c>
      <c r="AO725">
        <f>SUN(INDIRECT(ADDRESS(724,8)):INDIRECT(ADDRESS(724,39)))</f>
        <v>0</v>
      </c>
    </row>
    <row r="726" spans="1:41">
      <c r="H726" t="s">
        <v>179</v>
      </c>
      <c r="J726">
        <f>INDIRECT(ADDRESS(726,9))+INDIRECT(ADDRESS(724,10))-INDIRECT(ADDRESS(725,10))</f>
        <v>0</v>
      </c>
      <c r="K726">
        <f>INDIRECT(ADDRESS(726,10))+INDIRECT(ADDRESS(724,11))-INDIRECT(ADDRESS(725,11))</f>
        <v>0</v>
      </c>
      <c r="L726">
        <f>INDIRECT(ADDRESS(726,11))+INDIRECT(ADDRESS(724,12))-INDIRECT(ADDRESS(725,12))</f>
        <v>0</v>
      </c>
      <c r="M726">
        <f>INDIRECT(ADDRESS(726,12))+INDIRECT(ADDRESS(724,13))-INDIRECT(ADDRESS(725,13))</f>
        <v>0</v>
      </c>
      <c r="N726">
        <f>INDIRECT(ADDRESS(726,13))+INDIRECT(ADDRESS(724,14))-INDIRECT(ADDRESS(725,14))</f>
        <v>0</v>
      </c>
      <c r="O726">
        <f>INDIRECT(ADDRESS(726,14))+INDIRECT(ADDRESS(724,15))-INDIRECT(ADDRESS(725,15))</f>
        <v>0</v>
      </c>
      <c r="P726">
        <f>INDIRECT(ADDRESS(726,15))+INDIRECT(ADDRESS(724,16))-INDIRECT(ADDRESS(725,16))</f>
        <v>0</v>
      </c>
      <c r="Q726">
        <f>INDIRECT(ADDRESS(726,16))+INDIRECT(ADDRESS(724,17))-INDIRECT(ADDRESS(725,17))</f>
        <v>0</v>
      </c>
      <c r="R726">
        <f>INDIRECT(ADDRESS(726,17))+INDIRECT(ADDRESS(724,18))-INDIRECT(ADDRESS(725,18))</f>
        <v>0</v>
      </c>
      <c r="S726">
        <f>INDIRECT(ADDRESS(726,18))+INDIRECT(ADDRESS(724,19))-INDIRECT(ADDRESS(725,19))</f>
        <v>0</v>
      </c>
      <c r="T726">
        <f>INDIRECT(ADDRESS(726,19))+INDIRECT(ADDRESS(724,20))-INDIRECT(ADDRESS(725,20))</f>
        <v>0</v>
      </c>
      <c r="U726">
        <f>INDIRECT(ADDRESS(726,20))+INDIRECT(ADDRESS(724,21))-INDIRECT(ADDRESS(725,21))</f>
        <v>0</v>
      </c>
      <c r="V726">
        <f>INDIRECT(ADDRESS(726,21))+INDIRECT(ADDRESS(724,22))-INDIRECT(ADDRESS(725,22))</f>
        <v>0</v>
      </c>
      <c r="W726">
        <f>INDIRECT(ADDRESS(726,22))+INDIRECT(ADDRESS(724,23))-INDIRECT(ADDRESS(725,23))</f>
        <v>0</v>
      </c>
      <c r="X726">
        <f>INDIRECT(ADDRESS(726,23))+INDIRECT(ADDRESS(724,24))-INDIRECT(ADDRESS(725,24))</f>
        <v>0</v>
      </c>
      <c r="Y726">
        <f>INDIRECT(ADDRESS(726,24))+INDIRECT(ADDRESS(724,25))-INDIRECT(ADDRESS(725,25))</f>
        <v>0</v>
      </c>
      <c r="Z726">
        <f>INDIRECT(ADDRESS(726,25))+INDIRECT(ADDRESS(724,26))-INDIRECT(ADDRESS(725,26))</f>
        <v>0</v>
      </c>
      <c r="AA726">
        <f>INDIRECT(ADDRESS(726,26))+INDIRECT(ADDRESS(724,27))-INDIRECT(ADDRESS(725,27))</f>
        <v>0</v>
      </c>
      <c r="AB726">
        <f>INDIRECT(ADDRESS(726,27))+INDIRECT(ADDRESS(724,28))-INDIRECT(ADDRESS(725,28))</f>
        <v>0</v>
      </c>
      <c r="AC726">
        <f>INDIRECT(ADDRESS(726,28))+INDIRECT(ADDRESS(724,29))-INDIRECT(ADDRESS(725,29))</f>
        <v>0</v>
      </c>
      <c r="AD726">
        <f>INDIRECT(ADDRESS(726,29))+INDIRECT(ADDRESS(724,30))-INDIRECT(ADDRESS(725,30))</f>
        <v>0</v>
      </c>
      <c r="AE726">
        <f>INDIRECT(ADDRESS(726,30))+INDIRECT(ADDRESS(724,31))-INDIRECT(ADDRESS(725,31))</f>
        <v>0</v>
      </c>
      <c r="AF726">
        <f>INDIRECT(ADDRESS(726,31))+INDIRECT(ADDRESS(724,32))-INDIRECT(ADDRESS(725,32))</f>
        <v>0</v>
      </c>
      <c r="AG726">
        <f>INDIRECT(ADDRESS(726,32))+INDIRECT(ADDRESS(724,33))-INDIRECT(ADDRESS(725,33))</f>
        <v>0</v>
      </c>
      <c r="AH726">
        <f>INDIRECT(ADDRESS(726,33))+INDIRECT(ADDRESS(724,34))-INDIRECT(ADDRESS(725,34))</f>
        <v>0</v>
      </c>
      <c r="AI726">
        <f>INDIRECT(ADDRESS(726,34))+INDIRECT(ADDRESS(724,35))-INDIRECT(ADDRESS(725,35))</f>
        <v>0</v>
      </c>
      <c r="AJ726">
        <f>INDIRECT(ADDRESS(726,35))+INDIRECT(ADDRESS(724,36))-INDIRECT(ADDRESS(725,36))</f>
        <v>0</v>
      </c>
      <c r="AK726">
        <f>INDIRECT(ADDRESS(726,36))+INDIRECT(ADDRESS(724,37))-INDIRECT(ADDRESS(725,37))</f>
        <v>0</v>
      </c>
      <c r="AL726">
        <f>INDIRECT(ADDRESS(726,37))+INDIRECT(ADDRESS(724,38))-INDIRECT(ADDRESS(725,38))</f>
        <v>0</v>
      </c>
      <c r="AM726">
        <f>INDIRECT(ADDRESS(726,38))+INDIRECT(ADDRESS(724,39))-INDIRECT(ADDRESS(725,39))</f>
        <v>0</v>
      </c>
      <c r="AN726">
        <f>INDIRECT(ADDRESS(726,39))+INDIRECT(ADDRESS(724,40))-INDIRECT(ADDRESS(725,40))</f>
        <v>0</v>
      </c>
      <c r="AO726">
        <f>SUM(INDIRECT(ADDRESS(725,8)):INDIRECT(ADDRESS(725,39)))</f>
        <v>0</v>
      </c>
    </row>
    <row r="727" spans="1:41">
      <c r="A727" t="s">
        <v>238</v>
      </c>
      <c r="B727" t="s">
        <v>58</v>
      </c>
      <c r="C727" t="s">
        <v>420</v>
      </c>
      <c r="E727">
        <v>0.05</v>
      </c>
      <c r="I727" t="s">
        <v>177</v>
      </c>
    </row>
    <row r="728" spans="1:41">
      <c r="I728" t="s">
        <v>178</v>
      </c>
      <c r="J728">
        <f>IFERROR(VLOOKUP("924-025056-400",B:AB,1+8,0),0)</f>
        <v>0</v>
      </c>
      <c r="K728">
        <f>IFERROR(VLOOKUP("924-025056-400",B:AB,2+8,0),0)</f>
        <v>0</v>
      </c>
      <c r="L728">
        <f>IFERROR(VLOOKUP("924-025056-400",B:AB,3+8,0),0)</f>
        <v>0</v>
      </c>
      <c r="M728">
        <f>IFERROR(VLOOKUP("924-025056-400",B:AB,4+8,0),0)</f>
        <v>0</v>
      </c>
      <c r="N728">
        <f>IFERROR(VLOOKUP("924-025056-400",B:AB,5+8,0),0)</f>
        <v>0</v>
      </c>
      <c r="O728">
        <f>IFERROR(VLOOKUP("924-025056-400",B:AB,6+8,0),0)</f>
        <v>0</v>
      </c>
      <c r="P728">
        <f>IFERROR(VLOOKUP("924-025056-400",B:AB,7+8,0),0)</f>
        <v>0</v>
      </c>
      <c r="Q728">
        <f>IFERROR(VLOOKUP("924-025056-400",B:AB,8+8,0),0)</f>
        <v>0</v>
      </c>
      <c r="R728">
        <f>IFERROR(VLOOKUP("924-025056-400",B:AB,9+8,0),0)</f>
        <v>0</v>
      </c>
      <c r="S728">
        <f>IFERROR(VLOOKUP("924-025056-400",B:AB,10+8,0),0)</f>
        <v>0</v>
      </c>
      <c r="T728">
        <f>IFERROR(VLOOKUP("924-025056-400",B:AB,11+8,0),0)</f>
        <v>0</v>
      </c>
      <c r="U728">
        <f>IFERROR(VLOOKUP("924-025056-400",B:AB,12+8,0),0)</f>
        <v>0</v>
      </c>
      <c r="V728">
        <f>IFERROR(VLOOKUP("924-025056-400",B:AB,13+8,0),0)</f>
        <v>0</v>
      </c>
      <c r="W728">
        <f>IFERROR(VLOOKUP("924-025056-400",B:AB,14+8,0),0)</f>
        <v>0</v>
      </c>
      <c r="X728">
        <f>IFERROR(VLOOKUP("924-025056-400",B:AB,15+8,0),0)</f>
        <v>0</v>
      </c>
      <c r="Y728">
        <f>IFERROR(VLOOKUP("924-025056-400",B:AB,16+8,0),0)</f>
        <v>0</v>
      </c>
      <c r="Z728">
        <f>IFERROR(VLOOKUP("924-025056-400",B:AB,17+8,0),0)</f>
        <v>0</v>
      </c>
      <c r="AA728">
        <f>IFERROR(VLOOKUP("924-025056-400",B:AB,18+8,0),0)</f>
        <v>0</v>
      </c>
      <c r="AB728">
        <f>IFERROR(VLOOKUP("924-025056-400",B:AB,19+8,0),0)</f>
        <v>0</v>
      </c>
      <c r="AC728">
        <f>IFERROR(VLOOKUP("924-025056-400",B:AB,20+8,0),0)</f>
        <v>0</v>
      </c>
      <c r="AD728">
        <f>IFERROR(VLOOKUP("924-025056-400",B:AB,21+8,0),0)</f>
        <v>0</v>
      </c>
      <c r="AE728">
        <f>IFERROR(VLOOKUP("924-025056-400",B:AB,22+8,0),0)</f>
        <v>0</v>
      </c>
      <c r="AF728">
        <f>IFERROR(VLOOKUP("924-025056-400",B:AB,23+8,0),0)</f>
        <v>0</v>
      </c>
      <c r="AG728">
        <f>IFERROR(VLOOKUP("924-025056-400",B:AB,24+8,0),0)</f>
        <v>0</v>
      </c>
      <c r="AH728">
        <f>IFERROR(VLOOKUP("924-025056-400",B:AB,25+8,0),0)</f>
        <v>0</v>
      </c>
      <c r="AI728">
        <f>IFERROR(VLOOKUP("924-025056-400",B:AB,26+8,0),0)</f>
        <v>0</v>
      </c>
      <c r="AJ728">
        <f>IFERROR(VLOOKUP("924-025056-400",B:AB,27+8,0),0)</f>
        <v>0</v>
      </c>
      <c r="AK728">
        <f>IFERROR(VLOOKUP("924-025056-400",B:AB,28+8,0),0)</f>
        <v>0</v>
      </c>
      <c r="AL728">
        <f>IFERROR(VLOOKUP("924-025056-400",B:AB,29+8,0),0)</f>
        <v>0</v>
      </c>
      <c r="AM728">
        <f>IFERROR(VLOOKUP("924-025056-400",B:AB,30+8,0),0)</f>
        <v>0</v>
      </c>
      <c r="AN728">
        <f>IFERROR(VLOOKUP("924-025056-400",B:AB,31+8,0),0)</f>
        <v>0</v>
      </c>
      <c r="AO728">
        <f>SUN(INDIRECT(ADDRESS(727,8)):INDIRECT(ADDRESS(727,39)))</f>
        <v>0</v>
      </c>
    </row>
    <row r="729" spans="1:41">
      <c r="H729" t="s">
        <v>179</v>
      </c>
      <c r="J729">
        <f>INDIRECT(ADDRESS(729,9))+INDIRECT(ADDRESS(727,10))-INDIRECT(ADDRESS(728,10))</f>
        <v>0</v>
      </c>
      <c r="K729">
        <f>INDIRECT(ADDRESS(729,10))+INDIRECT(ADDRESS(727,11))-INDIRECT(ADDRESS(728,11))</f>
        <v>0</v>
      </c>
      <c r="L729">
        <f>INDIRECT(ADDRESS(729,11))+INDIRECT(ADDRESS(727,12))-INDIRECT(ADDRESS(728,12))</f>
        <v>0</v>
      </c>
      <c r="M729">
        <f>INDIRECT(ADDRESS(729,12))+INDIRECT(ADDRESS(727,13))-INDIRECT(ADDRESS(728,13))</f>
        <v>0</v>
      </c>
      <c r="N729">
        <f>INDIRECT(ADDRESS(729,13))+INDIRECT(ADDRESS(727,14))-INDIRECT(ADDRESS(728,14))</f>
        <v>0</v>
      </c>
      <c r="O729">
        <f>INDIRECT(ADDRESS(729,14))+INDIRECT(ADDRESS(727,15))-INDIRECT(ADDRESS(728,15))</f>
        <v>0</v>
      </c>
      <c r="P729">
        <f>INDIRECT(ADDRESS(729,15))+INDIRECT(ADDRESS(727,16))-INDIRECT(ADDRESS(728,16))</f>
        <v>0</v>
      </c>
      <c r="Q729">
        <f>INDIRECT(ADDRESS(729,16))+INDIRECT(ADDRESS(727,17))-INDIRECT(ADDRESS(728,17))</f>
        <v>0</v>
      </c>
      <c r="R729">
        <f>INDIRECT(ADDRESS(729,17))+INDIRECT(ADDRESS(727,18))-INDIRECT(ADDRESS(728,18))</f>
        <v>0</v>
      </c>
      <c r="S729">
        <f>INDIRECT(ADDRESS(729,18))+INDIRECT(ADDRESS(727,19))-INDIRECT(ADDRESS(728,19))</f>
        <v>0</v>
      </c>
      <c r="T729">
        <f>INDIRECT(ADDRESS(729,19))+INDIRECT(ADDRESS(727,20))-INDIRECT(ADDRESS(728,20))</f>
        <v>0</v>
      </c>
      <c r="U729">
        <f>INDIRECT(ADDRESS(729,20))+INDIRECT(ADDRESS(727,21))-INDIRECT(ADDRESS(728,21))</f>
        <v>0</v>
      </c>
      <c r="V729">
        <f>INDIRECT(ADDRESS(729,21))+INDIRECT(ADDRESS(727,22))-INDIRECT(ADDRESS(728,22))</f>
        <v>0</v>
      </c>
      <c r="W729">
        <f>INDIRECT(ADDRESS(729,22))+INDIRECT(ADDRESS(727,23))-INDIRECT(ADDRESS(728,23))</f>
        <v>0</v>
      </c>
      <c r="X729">
        <f>INDIRECT(ADDRESS(729,23))+INDIRECT(ADDRESS(727,24))-INDIRECT(ADDRESS(728,24))</f>
        <v>0</v>
      </c>
      <c r="Y729">
        <f>INDIRECT(ADDRESS(729,24))+INDIRECT(ADDRESS(727,25))-INDIRECT(ADDRESS(728,25))</f>
        <v>0</v>
      </c>
      <c r="Z729">
        <f>INDIRECT(ADDRESS(729,25))+INDIRECT(ADDRESS(727,26))-INDIRECT(ADDRESS(728,26))</f>
        <v>0</v>
      </c>
      <c r="AA729">
        <f>INDIRECT(ADDRESS(729,26))+INDIRECT(ADDRESS(727,27))-INDIRECT(ADDRESS(728,27))</f>
        <v>0</v>
      </c>
      <c r="AB729">
        <f>INDIRECT(ADDRESS(729,27))+INDIRECT(ADDRESS(727,28))-INDIRECT(ADDRESS(728,28))</f>
        <v>0</v>
      </c>
      <c r="AC729">
        <f>INDIRECT(ADDRESS(729,28))+INDIRECT(ADDRESS(727,29))-INDIRECT(ADDRESS(728,29))</f>
        <v>0</v>
      </c>
      <c r="AD729">
        <f>INDIRECT(ADDRESS(729,29))+INDIRECT(ADDRESS(727,30))-INDIRECT(ADDRESS(728,30))</f>
        <v>0</v>
      </c>
      <c r="AE729">
        <f>INDIRECT(ADDRESS(729,30))+INDIRECT(ADDRESS(727,31))-INDIRECT(ADDRESS(728,31))</f>
        <v>0</v>
      </c>
      <c r="AF729">
        <f>INDIRECT(ADDRESS(729,31))+INDIRECT(ADDRESS(727,32))-INDIRECT(ADDRESS(728,32))</f>
        <v>0</v>
      </c>
      <c r="AG729">
        <f>INDIRECT(ADDRESS(729,32))+INDIRECT(ADDRESS(727,33))-INDIRECT(ADDRESS(728,33))</f>
        <v>0</v>
      </c>
      <c r="AH729">
        <f>INDIRECT(ADDRESS(729,33))+INDIRECT(ADDRESS(727,34))-INDIRECT(ADDRESS(728,34))</f>
        <v>0</v>
      </c>
      <c r="AI729">
        <f>INDIRECT(ADDRESS(729,34))+INDIRECT(ADDRESS(727,35))-INDIRECT(ADDRESS(728,35))</f>
        <v>0</v>
      </c>
      <c r="AJ729">
        <f>INDIRECT(ADDRESS(729,35))+INDIRECT(ADDRESS(727,36))-INDIRECT(ADDRESS(728,36))</f>
        <v>0</v>
      </c>
      <c r="AK729">
        <f>INDIRECT(ADDRESS(729,36))+INDIRECT(ADDRESS(727,37))-INDIRECT(ADDRESS(728,37))</f>
        <v>0</v>
      </c>
      <c r="AL729">
        <f>INDIRECT(ADDRESS(729,37))+INDIRECT(ADDRESS(727,38))-INDIRECT(ADDRESS(728,38))</f>
        <v>0</v>
      </c>
      <c r="AM729">
        <f>INDIRECT(ADDRESS(729,38))+INDIRECT(ADDRESS(727,39))-INDIRECT(ADDRESS(728,39))</f>
        <v>0</v>
      </c>
      <c r="AN729">
        <f>INDIRECT(ADDRESS(729,39))+INDIRECT(ADDRESS(727,40))-INDIRECT(ADDRESS(728,40))</f>
        <v>0</v>
      </c>
      <c r="AO729">
        <f>SUM(INDIRECT(ADDRESS(728,8)):INDIRECT(ADDRESS(728,39)))</f>
        <v>0</v>
      </c>
    </row>
    <row r="730" spans="1:41">
      <c r="A730" t="s">
        <v>206</v>
      </c>
      <c r="B730" t="s">
        <v>58</v>
      </c>
      <c r="C730" t="s">
        <v>428</v>
      </c>
      <c r="E730">
        <v>0.05</v>
      </c>
      <c r="I730" t="s">
        <v>177</v>
      </c>
    </row>
    <row r="731" spans="1:41">
      <c r="I731" t="s">
        <v>178</v>
      </c>
      <c r="J731">
        <f>IFERROR(VLOOKUP("924-025056-400",B:AB,1+8,0),0)</f>
        <v>0</v>
      </c>
      <c r="K731">
        <f>IFERROR(VLOOKUP("924-025056-400",B:AB,2+8,0),0)</f>
        <v>0</v>
      </c>
      <c r="L731">
        <f>IFERROR(VLOOKUP("924-025056-400",B:AB,3+8,0),0)</f>
        <v>0</v>
      </c>
      <c r="M731">
        <f>IFERROR(VLOOKUP("924-025056-400",B:AB,4+8,0),0)</f>
        <v>0</v>
      </c>
      <c r="N731">
        <f>IFERROR(VLOOKUP("924-025056-400",B:AB,5+8,0),0)</f>
        <v>0</v>
      </c>
      <c r="O731">
        <f>IFERROR(VLOOKUP("924-025056-400",B:AB,6+8,0),0)</f>
        <v>0</v>
      </c>
      <c r="P731">
        <f>IFERROR(VLOOKUP("924-025056-400",B:AB,7+8,0),0)</f>
        <v>0</v>
      </c>
      <c r="Q731">
        <f>IFERROR(VLOOKUP("924-025056-400",B:AB,8+8,0),0)</f>
        <v>0</v>
      </c>
      <c r="R731">
        <f>IFERROR(VLOOKUP("924-025056-400",B:AB,9+8,0),0)</f>
        <v>0</v>
      </c>
      <c r="S731">
        <f>IFERROR(VLOOKUP("924-025056-400",B:AB,10+8,0),0)</f>
        <v>0</v>
      </c>
      <c r="T731">
        <f>IFERROR(VLOOKUP("924-025056-400",B:AB,11+8,0),0)</f>
        <v>0</v>
      </c>
      <c r="U731">
        <f>IFERROR(VLOOKUP("924-025056-400",B:AB,12+8,0),0)</f>
        <v>0</v>
      </c>
      <c r="V731">
        <f>IFERROR(VLOOKUP("924-025056-400",B:AB,13+8,0),0)</f>
        <v>0</v>
      </c>
      <c r="W731">
        <f>IFERROR(VLOOKUP("924-025056-400",B:AB,14+8,0),0)</f>
        <v>0</v>
      </c>
      <c r="X731">
        <f>IFERROR(VLOOKUP("924-025056-400",B:AB,15+8,0),0)</f>
        <v>0</v>
      </c>
      <c r="Y731">
        <f>IFERROR(VLOOKUP("924-025056-400",B:AB,16+8,0),0)</f>
        <v>0</v>
      </c>
      <c r="Z731">
        <f>IFERROR(VLOOKUP("924-025056-400",B:AB,17+8,0),0)</f>
        <v>0</v>
      </c>
      <c r="AA731">
        <f>IFERROR(VLOOKUP("924-025056-400",B:AB,18+8,0),0)</f>
        <v>0</v>
      </c>
      <c r="AB731">
        <f>IFERROR(VLOOKUP("924-025056-400",B:AB,19+8,0),0)</f>
        <v>0</v>
      </c>
      <c r="AC731">
        <f>IFERROR(VLOOKUP("924-025056-400",B:AB,20+8,0),0)</f>
        <v>0</v>
      </c>
      <c r="AD731">
        <f>IFERROR(VLOOKUP("924-025056-400",B:AB,21+8,0),0)</f>
        <v>0</v>
      </c>
      <c r="AE731">
        <f>IFERROR(VLOOKUP("924-025056-400",B:AB,22+8,0),0)</f>
        <v>0</v>
      </c>
      <c r="AF731">
        <f>IFERROR(VLOOKUP("924-025056-400",B:AB,23+8,0),0)</f>
        <v>0</v>
      </c>
      <c r="AG731">
        <f>IFERROR(VLOOKUP("924-025056-400",B:AB,24+8,0),0)</f>
        <v>0</v>
      </c>
      <c r="AH731">
        <f>IFERROR(VLOOKUP("924-025056-400",B:AB,25+8,0),0)</f>
        <v>0</v>
      </c>
      <c r="AI731">
        <f>IFERROR(VLOOKUP("924-025056-400",B:AB,26+8,0),0)</f>
        <v>0</v>
      </c>
      <c r="AJ731">
        <f>IFERROR(VLOOKUP("924-025056-400",B:AB,27+8,0),0)</f>
        <v>0</v>
      </c>
      <c r="AK731">
        <f>IFERROR(VLOOKUP("924-025056-400",B:AB,28+8,0),0)</f>
        <v>0</v>
      </c>
      <c r="AL731">
        <f>IFERROR(VLOOKUP("924-025056-400",B:AB,29+8,0),0)</f>
        <v>0</v>
      </c>
      <c r="AM731">
        <f>IFERROR(VLOOKUP("924-025056-400",B:AB,30+8,0),0)</f>
        <v>0</v>
      </c>
      <c r="AN731">
        <f>IFERROR(VLOOKUP("924-025056-400",B:AB,31+8,0),0)</f>
        <v>0</v>
      </c>
      <c r="AO731">
        <f>SUN(INDIRECT(ADDRESS(730,8)):INDIRECT(ADDRESS(730,39)))</f>
        <v>0</v>
      </c>
    </row>
    <row r="732" spans="1:41">
      <c r="H732" t="s">
        <v>179</v>
      </c>
      <c r="J732">
        <f>INDIRECT(ADDRESS(732,9))+INDIRECT(ADDRESS(730,10))-INDIRECT(ADDRESS(731,10))</f>
        <v>0</v>
      </c>
      <c r="K732">
        <f>INDIRECT(ADDRESS(732,10))+INDIRECT(ADDRESS(730,11))-INDIRECT(ADDRESS(731,11))</f>
        <v>0</v>
      </c>
      <c r="L732">
        <f>INDIRECT(ADDRESS(732,11))+INDIRECT(ADDRESS(730,12))-INDIRECT(ADDRESS(731,12))</f>
        <v>0</v>
      </c>
      <c r="M732">
        <f>INDIRECT(ADDRESS(732,12))+INDIRECT(ADDRESS(730,13))-INDIRECT(ADDRESS(731,13))</f>
        <v>0</v>
      </c>
      <c r="N732">
        <f>INDIRECT(ADDRESS(732,13))+INDIRECT(ADDRESS(730,14))-INDIRECT(ADDRESS(731,14))</f>
        <v>0</v>
      </c>
      <c r="O732">
        <f>INDIRECT(ADDRESS(732,14))+INDIRECT(ADDRESS(730,15))-INDIRECT(ADDRESS(731,15))</f>
        <v>0</v>
      </c>
      <c r="P732">
        <f>INDIRECT(ADDRESS(732,15))+INDIRECT(ADDRESS(730,16))-INDIRECT(ADDRESS(731,16))</f>
        <v>0</v>
      </c>
      <c r="Q732">
        <f>INDIRECT(ADDRESS(732,16))+INDIRECT(ADDRESS(730,17))-INDIRECT(ADDRESS(731,17))</f>
        <v>0</v>
      </c>
      <c r="R732">
        <f>INDIRECT(ADDRESS(732,17))+INDIRECT(ADDRESS(730,18))-INDIRECT(ADDRESS(731,18))</f>
        <v>0</v>
      </c>
      <c r="S732">
        <f>INDIRECT(ADDRESS(732,18))+INDIRECT(ADDRESS(730,19))-INDIRECT(ADDRESS(731,19))</f>
        <v>0</v>
      </c>
      <c r="T732">
        <f>INDIRECT(ADDRESS(732,19))+INDIRECT(ADDRESS(730,20))-INDIRECT(ADDRESS(731,20))</f>
        <v>0</v>
      </c>
      <c r="U732">
        <f>INDIRECT(ADDRESS(732,20))+INDIRECT(ADDRESS(730,21))-INDIRECT(ADDRESS(731,21))</f>
        <v>0</v>
      </c>
      <c r="V732">
        <f>INDIRECT(ADDRESS(732,21))+INDIRECT(ADDRESS(730,22))-INDIRECT(ADDRESS(731,22))</f>
        <v>0</v>
      </c>
      <c r="W732">
        <f>INDIRECT(ADDRESS(732,22))+INDIRECT(ADDRESS(730,23))-INDIRECT(ADDRESS(731,23))</f>
        <v>0</v>
      </c>
      <c r="X732">
        <f>INDIRECT(ADDRESS(732,23))+INDIRECT(ADDRESS(730,24))-INDIRECT(ADDRESS(731,24))</f>
        <v>0</v>
      </c>
      <c r="Y732">
        <f>INDIRECT(ADDRESS(732,24))+INDIRECT(ADDRESS(730,25))-INDIRECT(ADDRESS(731,25))</f>
        <v>0</v>
      </c>
      <c r="Z732">
        <f>INDIRECT(ADDRESS(732,25))+INDIRECT(ADDRESS(730,26))-INDIRECT(ADDRESS(731,26))</f>
        <v>0</v>
      </c>
      <c r="AA732">
        <f>INDIRECT(ADDRESS(732,26))+INDIRECT(ADDRESS(730,27))-INDIRECT(ADDRESS(731,27))</f>
        <v>0</v>
      </c>
      <c r="AB732">
        <f>INDIRECT(ADDRESS(732,27))+INDIRECT(ADDRESS(730,28))-INDIRECT(ADDRESS(731,28))</f>
        <v>0</v>
      </c>
      <c r="AC732">
        <f>INDIRECT(ADDRESS(732,28))+INDIRECT(ADDRESS(730,29))-INDIRECT(ADDRESS(731,29))</f>
        <v>0</v>
      </c>
      <c r="AD732">
        <f>INDIRECT(ADDRESS(732,29))+INDIRECT(ADDRESS(730,30))-INDIRECT(ADDRESS(731,30))</f>
        <v>0</v>
      </c>
      <c r="AE732">
        <f>INDIRECT(ADDRESS(732,30))+INDIRECT(ADDRESS(730,31))-INDIRECT(ADDRESS(731,31))</f>
        <v>0</v>
      </c>
      <c r="AF732">
        <f>INDIRECT(ADDRESS(732,31))+INDIRECT(ADDRESS(730,32))-INDIRECT(ADDRESS(731,32))</f>
        <v>0</v>
      </c>
      <c r="AG732">
        <f>INDIRECT(ADDRESS(732,32))+INDIRECT(ADDRESS(730,33))-INDIRECT(ADDRESS(731,33))</f>
        <v>0</v>
      </c>
      <c r="AH732">
        <f>INDIRECT(ADDRESS(732,33))+INDIRECT(ADDRESS(730,34))-INDIRECT(ADDRESS(731,34))</f>
        <v>0</v>
      </c>
      <c r="AI732">
        <f>INDIRECT(ADDRESS(732,34))+INDIRECT(ADDRESS(730,35))-INDIRECT(ADDRESS(731,35))</f>
        <v>0</v>
      </c>
      <c r="AJ732">
        <f>INDIRECT(ADDRESS(732,35))+INDIRECT(ADDRESS(730,36))-INDIRECT(ADDRESS(731,36))</f>
        <v>0</v>
      </c>
      <c r="AK732">
        <f>INDIRECT(ADDRESS(732,36))+INDIRECT(ADDRESS(730,37))-INDIRECT(ADDRESS(731,37))</f>
        <v>0</v>
      </c>
      <c r="AL732">
        <f>INDIRECT(ADDRESS(732,37))+INDIRECT(ADDRESS(730,38))-INDIRECT(ADDRESS(731,38))</f>
        <v>0</v>
      </c>
      <c r="AM732">
        <f>INDIRECT(ADDRESS(732,38))+INDIRECT(ADDRESS(730,39))-INDIRECT(ADDRESS(731,39))</f>
        <v>0</v>
      </c>
      <c r="AN732">
        <f>INDIRECT(ADDRESS(732,39))+INDIRECT(ADDRESS(730,40))-INDIRECT(ADDRESS(731,40))</f>
        <v>0</v>
      </c>
      <c r="AO732">
        <f>SUM(INDIRECT(ADDRESS(731,8)):INDIRECT(ADDRESS(731,39)))</f>
        <v>0</v>
      </c>
    </row>
    <row r="733" spans="1:41">
      <c r="A733" t="s">
        <v>8</v>
      </c>
      <c r="B733" t="s">
        <v>59</v>
      </c>
      <c r="C733" t="s">
        <v>60</v>
      </c>
      <c r="E733">
        <v>1</v>
      </c>
      <c r="I733" t="s">
        <v>177</v>
      </c>
    </row>
    <row r="734" spans="1:41">
      <c r="I734" t="s">
        <v>178</v>
      </c>
      <c r="J734">
        <f>IFERROR(VLOOKUP("261-000000-083",Out!B:AB,1+8,0),0)</f>
        <v>0</v>
      </c>
      <c r="K734">
        <f>IFERROR(VLOOKUP("261-000000-083",Out!B:AB,2+8,0),0)</f>
        <v>0</v>
      </c>
      <c r="L734">
        <f>IFERROR(VLOOKUP("261-000000-083",Out!B:AB,3+8,0),0)</f>
        <v>0</v>
      </c>
      <c r="M734">
        <f>IFERROR(VLOOKUP("261-000000-083",Out!B:AB,4+8,0),0)</f>
        <v>0</v>
      </c>
      <c r="N734">
        <f>IFERROR(VLOOKUP("261-000000-083",Out!B:AB,5+8,0),0)</f>
        <v>0</v>
      </c>
      <c r="O734">
        <f>IFERROR(VLOOKUP("261-000000-083",Out!B:AB,6+8,0),0)</f>
        <v>0</v>
      </c>
      <c r="P734">
        <f>IFERROR(VLOOKUP("261-000000-083",Out!B:AB,7+8,0),0)</f>
        <v>0</v>
      </c>
      <c r="Q734">
        <f>IFERROR(VLOOKUP("261-000000-083",Out!B:AB,8+8,0),0)</f>
        <v>0</v>
      </c>
      <c r="R734">
        <f>IFERROR(VLOOKUP("261-000000-083",Out!B:AB,9+8,0),0)</f>
        <v>0</v>
      </c>
      <c r="S734">
        <f>IFERROR(VLOOKUP("261-000000-083",Out!B:AB,10+8,0),0)</f>
        <v>0</v>
      </c>
      <c r="T734">
        <f>IFERROR(VLOOKUP("261-000000-083",Out!B:AB,11+8,0),0)</f>
        <v>0</v>
      </c>
      <c r="U734">
        <f>IFERROR(VLOOKUP("261-000000-083",Out!B:AB,12+8,0),0)</f>
        <v>0</v>
      </c>
      <c r="V734">
        <f>IFERROR(VLOOKUP("261-000000-083",Out!B:AB,13+8,0),0)</f>
        <v>0</v>
      </c>
      <c r="W734">
        <f>IFERROR(VLOOKUP("261-000000-083",Out!B:AB,14+8,0),0)</f>
        <v>0</v>
      </c>
      <c r="X734">
        <f>IFERROR(VLOOKUP("261-000000-083",Out!B:AB,15+8,0),0)</f>
        <v>0</v>
      </c>
      <c r="Y734">
        <f>IFERROR(VLOOKUP("261-000000-083",Out!B:AB,16+8,0),0)</f>
        <v>0</v>
      </c>
      <c r="Z734">
        <f>IFERROR(VLOOKUP("261-000000-083",Out!B:AB,17+8,0),0)</f>
        <v>0</v>
      </c>
      <c r="AA734">
        <f>IFERROR(VLOOKUP("261-000000-083",Out!B:AB,18+8,0),0)</f>
        <v>0</v>
      </c>
      <c r="AB734">
        <f>IFERROR(VLOOKUP("261-000000-083",Out!B:AB,19+8,0),0)</f>
        <v>0</v>
      </c>
      <c r="AC734">
        <f>IFERROR(VLOOKUP("261-000000-083",Out!B:AB,20+8,0),0)</f>
        <v>0</v>
      </c>
      <c r="AD734">
        <f>IFERROR(VLOOKUP("261-000000-083",Out!B:AB,21+8,0),0)</f>
        <v>0</v>
      </c>
      <c r="AE734">
        <f>IFERROR(VLOOKUP("261-000000-083",Out!B:AB,22+8,0),0)</f>
        <v>0</v>
      </c>
      <c r="AF734">
        <f>IFERROR(VLOOKUP("261-000000-083",Out!B:AB,23+8,0),0)</f>
        <v>0</v>
      </c>
      <c r="AG734">
        <f>IFERROR(VLOOKUP("261-000000-083",Out!B:AB,24+8,0),0)</f>
        <v>0</v>
      </c>
      <c r="AH734">
        <f>IFERROR(VLOOKUP("261-000000-083",Out!B:AB,25+8,0),0)</f>
        <v>0</v>
      </c>
      <c r="AI734">
        <f>IFERROR(VLOOKUP("261-000000-083",Out!B:AB,26+8,0),0)</f>
        <v>0</v>
      </c>
      <c r="AJ734">
        <f>IFERROR(VLOOKUP("261-000000-083",Out!B:AB,27+8,0),0)</f>
        <v>0</v>
      </c>
      <c r="AK734">
        <f>IFERROR(VLOOKUP("261-000000-083",Out!B:AB,28+8,0),0)</f>
        <v>0</v>
      </c>
      <c r="AL734">
        <f>IFERROR(VLOOKUP("261-000000-083",Out!B:AB,29+8,0),0)</f>
        <v>0</v>
      </c>
      <c r="AM734">
        <f>IFERROR(VLOOKUP("261-000000-083",Out!B:AB,30+8,0),0)</f>
        <v>0</v>
      </c>
      <c r="AN734">
        <f>IFERROR(VLOOKUP("261-000000-083",Out!B:AB,31+8,0),0)</f>
        <v>0</v>
      </c>
      <c r="AO734">
        <f>SUN(INDIRECT(ADDRESS(733,8)):INDIRECT(ADDRESS(733,39)))</f>
        <v>0</v>
      </c>
    </row>
    <row r="735" spans="1:41">
      <c r="H735" t="s">
        <v>179</v>
      </c>
      <c r="J735">
        <f>INDIRECT(ADDRESS(735,9))+INDIRECT(ADDRESS(733,10))-INDIRECT(ADDRESS(734,10))</f>
        <v>0</v>
      </c>
      <c r="K735">
        <f>INDIRECT(ADDRESS(735,10))+INDIRECT(ADDRESS(733,11))-INDIRECT(ADDRESS(734,11))</f>
        <v>0</v>
      </c>
      <c r="L735">
        <f>INDIRECT(ADDRESS(735,11))+INDIRECT(ADDRESS(733,12))-INDIRECT(ADDRESS(734,12))</f>
        <v>0</v>
      </c>
      <c r="M735">
        <f>INDIRECT(ADDRESS(735,12))+INDIRECT(ADDRESS(733,13))-INDIRECT(ADDRESS(734,13))</f>
        <v>0</v>
      </c>
      <c r="N735">
        <f>INDIRECT(ADDRESS(735,13))+INDIRECT(ADDRESS(733,14))-INDIRECT(ADDRESS(734,14))</f>
        <v>0</v>
      </c>
      <c r="O735">
        <f>INDIRECT(ADDRESS(735,14))+INDIRECT(ADDRESS(733,15))-INDIRECT(ADDRESS(734,15))</f>
        <v>0</v>
      </c>
      <c r="P735">
        <f>INDIRECT(ADDRESS(735,15))+INDIRECT(ADDRESS(733,16))-INDIRECT(ADDRESS(734,16))</f>
        <v>0</v>
      </c>
      <c r="Q735">
        <f>INDIRECT(ADDRESS(735,16))+INDIRECT(ADDRESS(733,17))-INDIRECT(ADDRESS(734,17))</f>
        <v>0</v>
      </c>
      <c r="R735">
        <f>INDIRECT(ADDRESS(735,17))+INDIRECT(ADDRESS(733,18))-INDIRECT(ADDRESS(734,18))</f>
        <v>0</v>
      </c>
      <c r="S735">
        <f>INDIRECT(ADDRESS(735,18))+INDIRECT(ADDRESS(733,19))-INDIRECT(ADDRESS(734,19))</f>
        <v>0</v>
      </c>
      <c r="T735">
        <f>INDIRECT(ADDRESS(735,19))+INDIRECT(ADDRESS(733,20))-INDIRECT(ADDRESS(734,20))</f>
        <v>0</v>
      </c>
      <c r="U735">
        <f>INDIRECT(ADDRESS(735,20))+INDIRECT(ADDRESS(733,21))-INDIRECT(ADDRESS(734,21))</f>
        <v>0</v>
      </c>
      <c r="V735">
        <f>INDIRECT(ADDRESS(735,21))+INDIRECT(ADDRESS(733,22))-INDIRECT(ADDRESS(734,22))</f>
        <v>0</v>
      </c>
      <c r="W735">
        <f>INDIRECT(ADDRESS(735,22))+INDIRECT(ADDRESS(733,23))-INDIRECT(ADDRESS(734,23))</f>
        <v>0</v>
      </c>
      <c r="X735">
        <f>INDIRECT(ADDRESS(735,23))+INDIRECT(ADDRESS(733,24))-INDIRECT(ADDRESS(734,24))</f>
        <v>0</v>
      </c>
      <c r="Y735">
        <f>INDIRECT(ADDRESS(735,24))+INDIRECT(ADDRESS(733,25))-INDIRECT(ADDRESS(734,25))</f>
        <v>0</v>
      </c>
      <c r="Z735">
        <f>INDIRECT(ADDRESS(735,25))+INDIRECT(ADDRESS(733,26))-INDIRECT(ADDRESS(734,26))</f>
        <v>0</v>
      </c>
      <c r="AA735">
        <f>INDIRECT(ADDRESS(735,26))+INDIRECT(ADDRESS(733,27))-INDIRECT(ADDRESS(734,27))</f>
        <v>0</v>
      </c>
      <c r="AB735">
        <f>INDIRECT(ADDRESS(735,27))+INDIRECT(ADDRESS(733,28))-INDIRECT(ADDRESS(734,28))</f>
        <v>0</v>
      </c>
      <c r="AC735">
        <f>INDIRECT(ADDRESS(735,28))+INDIRECT(ADDRESS(733,29))-INDIRECT(ADDRESS(734,29))</f>
        <v>0</v>
      </c>
      <c r="AD735">
        <f>INDIRECT(ADDRESS(735,29))+INDIRECT(ADDRESS(733,30))-INDIRECT(ADDRESS(734,30))</f>
        <v>0</v>
      </c>
      <c r="AE735">
        <f>INDIRECT(ADDRESS(735,30))+INDIRECT(ADDRESS(733,31))-INDIRECT(ADDRESS(734,31))</f>
        <v>0</v>
      </c>
      <c r="AF735">
        <f>INDIRECT(ADDRESS(735,31))+INDIRECT(ADDRESS(733,32))-INDIRECT(ADDRESS(734,32))</f>
        <v>0</v>
      </c>
      <c r="AG735">
        <f>INDIRECT(ADDRESS(735,32))+INDIRECT(ADDRESS(733,33))-INDIRECT(ADDRESS(734,33))</f>
        <v>0</v>
      </c>
      <c r="AH735">
        <f>INDIRECT(ADDRESS(735,33))+INDIRECT(ADDRESS(733,34))-INDIRECT(ADDRESS(734,34))</f>
        <v>0</v>
      </c>
      <c r="AI735">
        <f>INDIRECT(ADDRESS(735,34))+INDIRECT(ADDRESS(733,35))-INDIRECT(ADDRESS(734,35))</f>
        <v>0</v>
      </c>
      <c r="AJ735">
        <f>INDIRECT(ADDRESS(735,35))+INDIRECT(ADDRESS(733,36))-INDIRECT(ADDRESS(734,36))</f>
        <v>0</v>
      </c>
      <c r="AK735">
        <f>INDIRECT(ADDRESS(735,36))+INDIRECT(ADDRESS(733,37))-INDIRECT(ADDRESS(734,37))</f>
        <v>0</v>
      </c>
      <c r="AL735">
        <f>INDIRECT(ADDRESS(735,37))+INDIRECT(ADDRESS(733,38))-INDIRECT(ADDRESS(734,38))</f>
        <v>0</v>
      </c>
      <c r="AM735">
        <f>INDIRECT(ADDRESS(735,38))+INDIRECT(ADDRESS(733,39))-INDIRECT(ADDRESS(734,39))</f>
        <v>0</v>
      </c>
      <c r="AN735">
        <f>INDIRECT(ADDRESS(735,39))+INDIRECT(ADDRESS(733,40))-INDIRECT(ADDRESS(734,40))</f>
        <v>0</v>
      </c>
      <c r="AO735">
        <f>SUM(INDIRECT(ADDRESS(734,8)):INDIRECT(ADDRESS(734,39)))</f>
        <v>0</v>
      </c>
    </row>
    <row r="736" spans="1:41">
      <c r="A736" t="s">
        <v>8</v>
      </c>
      <c r="B736" t="s">
        <v>61</v>
      </c>
      <c r="C736" t="s">
        <v>62</v>
      </c>
      <c r="E736">
        <v>1</v>
      </c>
      <c r="I736" t="s">
        <v>177</v>
      </c>
    </row>
    <row r="737" spans="1:41">
      <c r="I737" t="s">
        <v>178</v>
      </c>
      <c r="J737">
        <f>IFERROR(VLOOKUP("934-024000-200",Out!B:AB,1+8,0),0)</f>
        <v>0</v>
      </c>
      <c r="K737">
        <f>IFERROR(VLOOKUP("934-024000-200",Out!B:AB,2+8,0),0)</f>
        <v>0</v>
      </c>
      <c r="L737">
        <f>IFERROR(VLOOKUP("934-024000-200",Out!B:AB,3+8,0),0)</f>
        <v>0</v>
      </c>
      <c r="M737">
        <f>IFERROR(VLOOKUP("934-024000-200",Out!B:AB,4+8,0),0)</f>
        <v>0</v>
      </c>
      <c r="N737">
        <f>IFERROR(VLOOKUP("934-024000-200",Out!B:AB,5+8,0),0)</f>
        <v>0</v>
      </c>
      <c r="O737">
        <f>IFERROR(VLOOKUP("934-024000-200",Out!B:AB,6+8,0),0)</f>
        <v>0</v>
      </c>
      <c r="P737">
        <f>IFERROR(VLOOKUP("934-024000-200",Out!B:AB,7+8,0),0)</f>
        <v>0</v>
      </c>
      <c r="Q737">
        <f>IFERROR(VLOOKUP("934-024000-200",Out!B:AB,8+8,0),0)</f>
        <v>0</v>
      </c>
      <c r="R737">
        <f>IFERROR(VLOOKUP("934-024000-200",Out!B:AB,9+8,0),0)</f>
        <v>0</v>
      </c>
      <c r="S737">
        <f>IFERROR(VLOOKUP("934-024000-200",Out!B:AB,10+8,0),0)</f>
        <v>0</v>
      </c>
      <c r="T737">
        <f>IFERROR(VLOOKUP("934-024000-200",Out!B:AB,11+8,0),0)</f>
        <v>0</v>
      </c>
      <c r="U737">
        <f>IFERROR(VLOOKUP("934-024000-200",Out!B:AB,12+8,0),0)</f>
        <v>0</v>
      </c>
      <c r="V737">
        <f>IFERROR(VLOOKUP("934-024000-200",Out!B:AB,13+8,0),0)</f>
        <v>0</v>
      </c>
      <c r="W737">
        <f>IFERROR(VLOOKUP("934-024000-200",Out!B:AB,14+8,0),0)</f>
        <v>0</v>
      </c>
      <c r="X737">
        <f>IFERROR(VLOOKUP("934-024000-200",Out!B:AB,15+8,0),0)</f>
        <v>0</v>
      </c>
      <c r="Y737">
        <f>IFERROR(VLOOKUP("934-024000-200",Out!B:AB,16+8,0),0)</f>
        <v>0</v>
      </c>
      <c r="Z737">
        <f>IFERROR(VLOOKUP("934-024000-200",Out!B:AB,17+8,0),0)</f>
        <v>0</v>
      </c>
      <c r="AA737">
        <f>IFERROR(VLOOKUP("934-024000-200",Out!B:AB,18+8,0),0)</f>
        <v>0</v>
      </c>
      <c r="AB737">
        <f>IFERROR(VLOOKUP("934-024000-200",Out!B:AB,19+8,0),0)</f>
        <v>0</v>
      </c>
      <c r="AC737">
        <f>IFERROR(VLOOKUP("934-024000-200",Out!B:AB,20+8,0),0)</f>
        <v>0</v>
      </c>
      <c r="AD737">
        <f>IFERROR(VLOOKUP("934-024000-200",Out!B:AB,21+8,0),0)</f>
        <v>0</v>
      </c>
      <c r="AE737">
        <f>IFERROR(VLOOKUP("934-024000-200",Out!B:AB,22+8,0),0)</f>
        <v>0</v>
      </c>
      <c r="AF737">
        <f>IFERROR(VLOOKUP("934-024000-200",Out!B:AB,23+8,0),0)</f>
        <v>0</v>
      </c>
      <c r="AG737">
        <f>IFERROR(VLOOKUP("934-024000-200",Out!B:AB,24+8,0),0)</f>
        <v>0</v>
      </c>
      <c r="AH737">
        <f>IFERROR(VLOOKUP("934-024000-200",Out!B:AB,25+8,0),0)</f>
        <v>0</v>
      </c>
      <c r="AI737">
        <f>IFERROR(VLOOKUP("934-024000-200",Out!B:AB,26+8,0),0)</f>
        <v>0</v>
      </c>
      <c r="AJ737">
        <f>IFERROR(VLOOKUP("934-024000-200",Out!B:AB,27+8,0),0)</f>
        <v>0</v>
      </c>
      <c r="AK737">
        <f>IFERROR(VLOOKUP("934-024000-200",Out!B:AB,28+8,0),0)</f>
        <v>0</v>
      </c>
      <c r="AL737">
        <f>IFERROR(VLOOKUP("934-024000-200",Out!B:AB,29+8,0),0)</f>
        <v>0</v>
      </c>
      <c r="AM737">
        <f>IFERROR(VLOOKUP("934-024000-200",Out!B:AB,30+8,0),0)</f>
        <v>0</v>
      </c>
      <c r="AN737">
        <f>IFERROR(VLOOKUP("934-024000-200",Out!B:AB,31+8,0),0)</f>
        <v>0</v>
      </c>
      <c r="AO737">
        <f>SUN(INDIRECT(ADDRESS(736,8)):INDIRECT(ADDRESS(736,39)))</f>
        <v>0</v>
      </c>
    </row>
    <row r="738" spans="1:41">
      <c r="H738" t="s">
        <v>179</v>
      </c>
      <c r="J738">
        <f>INDIRECT(ADDRESS(738,9))+INDIRECT(ADDRESS(736,10))-INDIRECT(ADDRESS(737,10))</f>
        <v>0</v>
      </c>
      <c r="K738">
        <f>INDIRECT(ADDRESS(738,10))+INDIRECT(ADDRESS(736,11))-INDIRECT(ADDRESS(737,11))</f>
        <v>0</v>
      </c>
      <c r="L738">
        <f>INDIRECT(ADDRESS(738,11))+INDIRECT(ADDRESS(736,12))-INDIRECT(ADDRESS(737,12))</f>
        <v>0</v>
      </c>
      <c r="M738">
        <f>INDIRECT(ADDRESS(738,12))+INDIRECT(ADDRESS(736,13))-INDIRECT(ADDRESS(737,13))</f>
        <v>0</v>
      </c>
      <c r="N738">
        <f>INDIRECT(ADDRESS(738,13))+INDIRECT(ADDRESS(736,14))-INDIRECT(ADDRESS(737,14))</f>
        <v>0</v>
      </c>
      <c r="O738">
        <f>INDIRECT(ADDRESS(738,14))+INDIRECT(ADDRESS(736,15))-INDIRECT(ADDRESS(737,15))</f>
        <v>0</v>
      </c>
      <c r="P738">
        <f>INDIRECT(ADDRESS(738,15))+INDIRECT(ADDRESS(736,16))-INDIRECT(ADDRESS(737,16))</f>
        <v>0</v>
      </c>
      <c r="Q738">
        <f>INDIRECT(ADDRESS(738,16))+INDIRECT(ADDRESS(736,17))-INDIRECT(ADDRESS(737,17))</f>
        <v>0</v>
      </c>
      <c r="R738">
        <f>INDIRECT(ADDRESS(738,17))+INDIRECT(ADDRESS(736,18))-INDIRECT(ADDRESS(737,18))</f>
        <v>0</v>
      </c>
      <c r="S738">
        <f>INDIRECT(ADDRESS(738,18))+INDIRECT(ADDRESS(736,19))-INDIRECT(ADDRESS(737,19))</f>
        <v>0</v>
      </c>
      <c r="T738">
        <f>INDIRECT(ADDRESS(738,19))+INDIRECT(ADDRESS(736,20))-INDIRECT(ADDRESS(737,20))</f>
        <v>0</v>
      </c>
      <c r="U738">
        <f>INDIRECT(ADDRESS(738,20))+INDIRECT(ADDRESS(736,21))-INDIRECT(ADDRESS(737,21))</f>
        <v>0</v>
      </c>
      <c r="V738">
        <f>INDIRECT(ADDRESS(738,21))+INDIRECT(ADDRESS(736,22))-INDIRECT(ADDRESS(737,22))</f>
        <v>0</v>
      </c>
      <c r="W738">
        <f>INDIRECT(ADDRESS(738,22))+INDIRECT(ADDRESS(736,23))-INDIRECT(ADDRESS(737,23))</f>
        <v>0</v>
      </c>
      <c r="X738">
        <f>INDIRECT(ADDRESS(738,23))+INDIRECT(ADDRESS(736,24))-INDIRECT(ADDRESS(737,24))</f>
        <v>0</v>
      </c>
      <c r="Y738">
        <f>INDIRECT(ADDRESS(738,24))+INDIRECT(ADDRESS(736,25))-INDIRECT(ADDRESS(737,25))</f>
        <v>0</v>
      </c>
      <c r="Z738">
        <f>INDIRECT(ADDRESS(738,25))+INDIRECT(ADDRESS(736,26))-INDIRECT(ADDRESS(737,26))</f>
        <v>0</v>
      </c>
      <c r="AA738">
        <f>INDIRECT(ADDRESS(738,26))+INDIRECT(ADDRESS(736,27))-INDIRECT(ADDRESS(737,27))</f>
        <v>0</v>
      </c>
      <c r="AB738">
        <f>INDIRECT(ADDRESS(738,27))+INDIRECT(ADDRESS(736,28))-INDIRECT(ADDRESS(737,28))</f>
        <v>0</v>
      </c>
      <c r="AC738">
        <f>INDIRECT(ADDRESS(738,28))+INDIRECT(ADDRESS(736,29))-INDIRECT(ADDRESS(737,29))</f>
        <v>0</v>
      </c>
      <c r="AD738">
        <f>INDIRECT(ADDRESS(738,29))+INDIRECT(ADDRESS(736,30))-INDIRECT(ADDRESS(737,30))</f>
        <v>0</v>
      </c>
      <c r="AE738">
        <f>INDIRECT(ADDRESS(738,30))+INDIRECT(ADDRESS(736,31))-INDIRECT(ADDRESS(737,31))</f>
        <v>0</v>
      </c>
      <c r="AF738">
        <f>INDIRECT(ADDRESS(738,31))+INDIRECT(ADDRESS(736,32))-INDIRECT(ADDRESS(737,32))</f>
        <v>0</v>
      </c>
      <c r="AG738">
        <f>INDIRECT(ADDRESS(738,32))+INDIRECT(ADDRESS(736,33))-INDIRECT(ADDRESS(737,33))</f>
        <v>0</v>
      </c>
      <c r="AH738">
        <f>INDIRECT(ADDRESS(738,33))+INDIRECT(ADDRESS(736,34))-INDIRECT(ADDRESS(737,34))</f>
        <v>0</v>
      </c>
      <c r="AI738">
        <f>INDIRECT(ADDRESS(738,34))+INDIRECT(ADDRESS(736,35))-INDIRECT(ADDRESS(737,35))</f>
        <v>0</v>
      </c>
      <c r="AJ738">
        <f>INDIRECT(ADDRESS(738,35))+INDIRECT(ADDRESS(736,36))-INDIRECT(ADDRESS(737,36))</f>
        <v>0</v>
      </c>
      <c r="AK738">
        <f>INDIRECT(ADDRESS(738,36))+INDIRECT(ADDRESS(736,37))-INDIRECT(ADDRESS(737,37))</f>
        <v>0</v>
      </c>
      <c r="AL738">
        <f>INDIRECT(ADDRESS(738,37))+INDIRECT(ADDRESS(736,38))-INDIRECT(ADDRESS(737,38))</f>
        <v>0</v>
      </c>
      <c r="AM738">
        <f>INDIRECT(ADDRESS(738,38))+INDIRECT(ADDRESS(736,39))-INDIRECT(ADDRESS(737,39))</f>
        <v>0</v>
      </c>
      <c r="AN738">
        <f>INDIRECT(ADDRESS(738,39))+INDIRECT(ADDRESS(736,40))-INDIRECT(ADDRESS(737,40))</f>
        <v>0</v>
      </c>
      <c r="AO738">
        <f>SUM(INDIRECT(ADDRESS(737,8)):INDIRECT(ADDRESS(737,39)))</f>
        <v>0</v>
      </c>
    </row>
    <row r="739" spans="1:41">
      <c r="A739" t="s">
        <v>8</v>
      </c>
      <c r="B739" t="s">
        <v>63</v>
      </c>
      <c r="C739" t="s">
        <v>62</v>
      </c>
      <c r="E739">
        <v>1</v>
      </c>
      <c r="I739" t="s">
        <v>177</v>
      </c>
    </row>
    <row r="740" spans="1:41">
      <c r="I740" t="s">
        <v>178</v>
      </c>
      <c r="J740">
        <f>IFERROR(VLOOKUP("934-024000-100",Out!B:AB,1+8,0),0)</f>
        <v>0</v>
      </c>
      <c r="K740">
        <f>IFERROR(VLOOKUP("934-024000-100",Out!B:AB,2+8,0),0)</f>
        <v>0</v>
      </c>
      <c r="L740">
        <f>IFERROR(VLOOKUP("934-024000-100",Out!B:AB,3+8,0),0)</f>
        <v>0</v>
      </c>
      <c r="M740">
        <f>IFERROR(VLOOKUP("934-024000-100",Out!B:AB,4+8,0),0)</f>
        <v>0</v>
      </c>
      <c r="N740">
        <f>IFERROR(VLOOKUP("934-024000-100",Out!B:AB,5+8,0),0)</f>
        <v>0</v>
      </c>
      <c r="O740">
        <f>IFERROR(VLOOKUP("934-024000-100",Out!B:AB,6+8,0),0)</f>
        <v>0</v>
      </c>
      <c r="P740">
        <f>IFERROR(VLOOKUP("934-024000-100",Out!B:AB,7+8,0),0)</f>
        <v>0</v>
      </c>
      <c r="Q740">
        <f>IFERROR(VLOOKUP("934-024000-100",Out!B:AB,8+8,0),0)</f>
        <v>0</v>
      </c>
      <c r="R740">
        <f>IFERROR(VLOOKUP("934-024000-100",Out!B:AB,9+8,0),0)</f>
        <v>0</v>
      </c>
      <c r="S740">
        <f>IFERROR(VLOOKUP("934-024000-100",Out!B:AB,10+8,0),0)</f>
        <v>0</v>
      </c>
      <c r="T740">
        <f>IFERROR(VLOOKUP("934-024000-100",Out!B:AB,11+8,0),0)</f>
        <v>0</v>
      </c>
      <c r="U740">
        <f>IFERROR(VLOOKUP("934-024000-100",Out!B:AB,12+8,0),0)</f>
        <v>0</v>
      </c>
      <c r="V740">
        <f>IFERROR(VLOOKUP("934-024000-100",Out!B:AB,13+8,0),0)</f>
        <v>0</v>
      </c>
      <c r="W740">
        <f>IFERROR(VLOOKUP("934-024000-100",Out!B:AB,14+8,0),0)</f>
        <v>0</v>
      </c>
      <c r="X740">
        <f>IFERROR(VLOOKUP("934-024000-100",Out!B:AB,15+8,0),0)</f>
        <v>0</v>
      </c>
      <c r="Y740">
        <f>IFERROR(VLOOKUP("934-024000-100",Out!B:AB,16+8,0),0)</f>
        <v>0</v>
      </c>
      <c r="Z740">
        <f>IFERROR(VLOOKUP("934-024000-100",Out!B:AB,17+8,0),0)</f>
        <v>0</v>
      </c>
      <c r="AA740">
        <f>IFERROR(VLOOKUP("934-024000-100",Out!B:AB,18+8,0),0)</f>
        <v>0</v>
      </c>
      <c r="AB740">
        <f>IFERROR(VLOOKUP("934-024000-100",Out!B:AB,19+8,0),0)</f>
        <v>0</v>
      </c>
      <c r="AC740">
        <f>IFERROR(VLOOKUP("934-024000-100",Out!B:AB,20+8,0),0)</f>
        <v>0</v>
      </c>
      <c r="AD740">
        <f>IFERROR(VLOOKUP("934-024000-100",Out!B:AB,21+8,0),0)</f>
        <v>0</v>
      </c>
      <c r="AE740">
        <f>IFERROR(VLOOKUP("934-024000-100",Out!B:AB,22+8,0),0)</f>
        <v>0</v>
      </c>
      <c r="AF740">
        <f>IFERROR(VLOOKUP("934-024000-100",Out!B:AB,23+8,0),0)</f>
        <v>0</v>
      </c>
      <c r="AG740">
        <f>IFERROR(VLOOKUP("934-024000-100",Out!B:AB,24+8,0),0)</f>
        <v>0</v>
      </c>
      <c r="AH740">
        <f>IFERROR(VLOOKUP("934-024000-100",Out!B:AB,25+8,0),0)</f>
        <v>0</v>
      </c>
      <c r="AI740">
        <f>IFERROR(VLOOKUP("934-024000-100",Out!B:AB,26+8,0),0)</f>
        <v>0</v>
      </c>
      <c r="AJ740">
        <f>IFERROR(VLOOKUP("934-024000-100",Out!B:AB,27+8,0),0)</f>
        <v>0</v>
      </c>
      <c r="AK740">
        <f>IFERROR(VLOOKUP("934-024000-100",Out!B:AB,28+8,0),0)</f>
        <v>0</v>
      </c>
      <c r="AL740">
        <f>IFERROR(VLOOKUP("934-024000-100",Out!B:AB,29+8,0),0)</f>
        <v>0</v>
      </c>
      <c r="AM740">
        <f>IFERROR(VLOOKUP("934-024000-100",Out!B:AB,30+8,0),0)</f>
        <v>0</v>
      </c>
      <c r="AN740">
        <f>IFERROR(VLOOKUP("934-024000-100",Out!B:AB,31+8,0),0)</f>
        <v>0</v>
      </c>
      <c r="AO740">
        <f>SUN(INDIRECT(ADDRESS(739,8)):INDIRECT(ADDRESS(739,39)))</f>
        <v>0</v>
      </c>
    </row>
    <row r="741" spans="1:41">
      <c r="H741" t="s">
        <v>179</v>
      </c>
      <c r="J741">
        <f>INDIRECT(ADDRESS(741,9))+INDIRECT(ADDRESS(739,10))-INDIRECT(ADDRESS(740,10))</f>
        <v>0</v>
      </c>
      <c r="K741">
        <f>INDIRECT(ADDRESS(741,10))+INDIRECT(ADDRESS(739,11))-INDIRECT(ADDRESS(740,11))</f>
        <v>0</v>
      </c>
      <c r="L741">
        <f>INDIRECT(ADDRESS(741,11))+INDIRECT(ADDRESS(739,12))-INDIRECT(ADDRESS(740,12))</f>
        <v>0</v>
      </c>
      <c r="M741">
        <f>INDIRECT(ADDRESS(741,12))+INDIRECT(ADDRESS(739,13))-INDIRECT(ADDRESS(740,13))</f>
        <v>0</v>
      </c>
      <c r="N741">
        <f>INDIRECT(ADDRESS(741,13))+INDIRECT(ADDRESS(739,14))-INDIRECT(ADDRESS(740,14))</f>
        <v>0</v>
      </c>
      <c r="O741">
        <f>INDIRECT(ADDRESS(741,14))+INDIRECT(ADDRESS(739,15))-INDIRECT(ADDRESS(740,15))</f>
        <v>0</v>
      </c>
      <c r="P741">
        <f>INDIRECT(ADDRESS(741,15))+INDIRECT(ADDRESS(739,16))-INDIRECT(ADDRESS(740,16))</f>
        <v>0</v>
      </c>
      <c r="Q741">
        <f>INDIRECT(ADDRESS(741,16))+INDIRECT(ADDRESS(739,17))-INDIRECT(ADDRESS(740,17))</f>
        <v>0</v>
      </c>
      <c r="R741">
        <f>INDIRECT(ADDRESS(741,17))+INDIRECT(ADDRESS(739,18))-INDIRECT(ADDRESS(740,18))</f>
        <v>0</v>
      </c>
      <c r="S741">
        <f>INDIRECT(ADDRESS(741,18))+INDIRECT(ADDRESS(739,19))-INDIRECT(ADDRESS(740,19))</f>
        <v>0</v>
      </c>
      <c r="T741">
        <f>INDIRECT(ADDRESS(741,19))+INDIRECT(ADDRESS(739,20))-INDIRECT(ADDRESS(740,20))</f>
        <v>0</v>
      </c>
      <c r="U741">
        <f>INDIRECT(ADDRESS(741,20))+INDIRECT(ADDRESS(739,21))-INDIRECT(ADDRESS(740,21))</f>
        <v>0</v>
      </c>
      <c r="V741">
        <f>INDIRECT(ADDRESS(741,21))+INDIRECT(ADDRESS(739,22))-INDIRECT(ADDRESS(740,22))</f>
        <v>0</v>
      </c>
      <c r="W741">
        <f>INDIRECT(ADDRESS(741,22))+INDIRECT(ADDRESS(739,23))-INDIRECT(ADDRESS(740,23))</f>
        <v>0</v>
      </c>
      <c r="X741">
        <f>INDIRECT(ADDRESS(741,23))+INDIRECT(ADDRESS(739,24))-INDIRECT(ADDRESS(740,24))</f>
        <v>0</v>
      </c>
      <c r="Y741">
        <f>INDIRECT(ADDRESS(741,24))+INDIRECT(ADDRESS(739,25))-INDIRECT(ADDRESS(740,25))</f>
        <v>0</v>
      </c>
      <c r="Z741">
        <f>INDIRECT(ADDRESS(741,25))+INDIRECT(ADDRESS(739,26))-INDIRECT(ADDRESS(740,26))</f>
        <v>0</v>
      </c>
      <c r="AA741">
        <f>INDIRECT(ADDRESS(741,26))+INDIRECT(ADDRESS(739,27))-INDIRECT(ADDRESS(740,27))</f>
        <v>0</v>
      </c>
      <c r="AB741">
        <f>INDIRECT(ADDRESS(741,27))+INDIRECT(ADDRESS(739,28))-INDIRECT(ADDRESS(740,28))</f>
        <v>0</v>
      </c>
      <c r="AC741">
        <f>INDIRECT(ADDRESS(741,28))+INDIRECT(ADDRESS(739,29))-INDIRECT(ADDRESS(740,29))</f>
        <v>0</v>
      </c>
      <c r="AD741">
        <f>INDIRECT(ADDRESS(741,29))+INDIRECT(ADDRESS(739,30))-INDIRECT(ADDRESS(740,30))</f>
        <v>0</v>
      </c>
      <c r="AE741">
        <f>INDIRECT(ADDRESS(741,30))+INDIRECT(ADDRESS(739,31))-INDIRECT(ADDRESS(740,31))</f>
        <v>0</v>
      </c>
      <c r="AF741">
        <f>INDIRECT(ADDRESS(741,31))+INDIRECT(ADDRESS(739,32))-INDIRECT(ADDRESS(740,32))</f>
        <v>0</v>
      </c>
      <c r="AG741">
        <f>INDIRECT(ADDRESS(741,32))+INDIRECT(ADDRESS(739,33))-INDIRECT(ADDRESS(740,33))</f>
        <v>0</v>
      </c>
      <c r="AH741">
        <f>INDIRECT(ADDRESS(741,33))+INDIRECT(ADDRESS(739,34))-INDIRECT(ADDRESS(740,34))</f>
        <v>0</v>
      </c>
      <c r="AI741">
        <f>INDIRECT(ADDRESS(741,34))+INDIRECT(ADDRESS(739,35))-INDIRECT(ADDRESS(740,35))</f>
        <v>0</v>
      </c>
      <c r="AJ741">
        <f>INDIRECT(ADDRESS(741,35))+INDIRECT(ADDRESS(739,36))-INDIRECT(ADDRESS(740,36))</f>
        <v>0</v>
      </c>
      <c r="AK741">
        <f>INDIRECT(ADDRESS(741,36))+INDIRECT(ADDRESS(739,37))-INDIRECT(ADDRESS(740,37))</f>
        <v>0</v>
      </c>
      <c r="AL741">
        <f>INDIRECT(ADDRESS(741,37))+INDIRECT(ADDRESS(739,38))-INDIRECT(ADDRESS(740,38))</f>
        <v>0</v>
      </c>
      <c r="AM741">
        <f>INDIRECT(ADDRESS(741,38))+INDIRECT(ADDRESS(739,39))-INDIRECT(ADDRESS(740,39))</f>
        <v>0</v>
      </c>
      <c r="AN741">
        <f>INDIRECT(ADDRESS(741,39))+INDIRECT(ADDRESS(739,40))-INDIRECT(ADDRESS(740,40))</f>
        <v>0</v>
      </c>
      <c r="AO741">
        <f>SUM(INDIRECT(ADDRESS(740,8)):INDIRECT(ADDRESS(740,39)))</f>
        <v>0</v>
      </c>
    </row>
    <row r="742" spans="1:41">
      <c r="A742" t="s">
        <v>8</v>
      </c>
      <c r="B742" t="s">
        <v>64</v>
      </c>
      <c r="C742" t="s">
        <v>65</v>
      </c>
      <c r="E742">
        <v>1</v>
      </c>
      <c r="I742" t="s">
        <v>177</v>
      </c>
    </row>
    <row r="743" spans="1:41">
      <c r="I743" t="s">
        <v>178</v>
      </c>
      <c r="J743">
        <f>IFERROR(VLOOKUP("934-012000-200",Out!B:AB,1+8,0),0)</f>
        <v>0</v>
      </c>
      <c r="K743">
        <f>IFERROR(VLOOKUP("934-012000-200",Out!B:AB,2+8,0),0)</f>
        <v>0</v>
      </c>
      <c r="L743">
        <f>IFERROR(VLOOKUP("934-012000-200",Out!B:AB,3+8,0),0)</f>
        <v>0</v>
      </c>
      <c r="M743">
        <f>IFERROR(VLOOKUP("934-012000-200",Out!B:AB,4+8,0),0)</f>
        <v>0</v>
      </c>
      <c r="N743">
        <f>IFERROR(VLOOKUP("934-012000-200",Out!B:AB,5+8,0),0)</f>
        <v>0</v>
      </c>
      <c r="O743">
        <f>IFERROR(VLOOKUP("934-012000-200",Out!B:AB,6+8,0),0)</f>
        <v>0</v>
      </c>
      <c r="P743">
        <f>IFERROR(VLOOKUP("934-012000-200",Out!B:AB,7+8,0),0)</f>
        <v>0</v>
      </c>
      <c r="Q743">
        <f>IFERROR(VLOOKUP("934-012000-200",Out!B:AB,8+8,0),0)</f>
        <v>0</v>
      </c>
      <c r="R743">
        <f>IFERROR(VLOOKUP("934-012000-200",Out!B:AB,9+8,0),0)</f>
        <v>0</v>
      </c>
      <c r="S743">
        <f>IFERROR(VLOOKUP("934-012000-200",Out!B:AB,10+8,0),0)</f>
        <v>0</v>
      </c>
      <c r="T743">
        <f>IFERROR(VLOOKUP("934-012000-200",Out!B:AB,11+8,0),0)</f>
        <v>0</v>
      </c>
      <c r="U743">
        <f>IFERROR(VLOOKUP("934-012000-200",Out!B:AB,12+8,0),0)</f>
        <v>0</v>
      </c>
      <c r="V743">
        <f>IFERROR(VLOOKUP("934-012000-200",Out!B:AB,13+8,0),0)</f>
        <v>0</v>
      </c>
      <c r="W743">
        <f>IFERROR(VLOOKUP("934-012000-200",Out!B:AB,14+8,0),0)</f>
        <v>0</v>
      </c>
      <c r="X743">
        <f>IFERROR(VLOOKUP("934-012000-200",Out!B:AB,15+8,0),0)</f>
        <v>0</v>
      </c>
      <c r="Y743">
        <f>IFERROR(VLOOKUP("934-012000-200",Out!B:AB,16+8,0),0)</f>
        <v>0</v>
      </c>
      <c r="Z743">
        <f>IFERROR(VLOOKUP("934-012000-200",Out!B:AB,17+8,0),0)</f>
        <v>0</v>
      </c>
      <c r="AA743">
        <f>IFERROR(VLOOKUP("934-012000-200",Out!B:AB,18+8,0),0)</f>
        <v>0</v>
      </c>
      <c r="AB743">
        <f>IFERROR(VLOOKUP("934-012000-200",Out!B:AB,19+8,0),0)</f>
        <v>0</v>
      </c>
      <c r="AC743">
        <f>IFERROR(VLOOKUP("934-012000-200",Out!B:AB,20+8,0),0)</f>
        <v>0</v>
      </c>
      <c r="AD743">
        <f>IFERROR(VLOOKUP("934-012000-200",Out!B:AB,21+8,0),0)</f>
        <v>0</v>
      </c>
      <c r="AE743">
        <f>IFERROR(VLOOKUP("934-012000-200",Out!B:AB,22+8,0),0)</f>
        <v>0</v>
      </c>
      <c r="AF743">
        <f>IFERROR(VLOOKUP("934-012000-200",Out!B:AB,23+8,0),0)</f>
        <v>0</v>
      </c>
      <c r="AG743">
        <f>IFERROR(VLOOKUP("934-012000-200",Out!B:AB,24+8,0),0)</f>
        <v>0</v>
      </c>
      <c r="AH743">
        <f>IFERROR(VLOOKUP("934-012000-200",Out!B:AB,25+8,0),0)</f>
        <v>0</v>
      </c>
      <c r="AI743">
        <f>IFERROR(VLOOKUP("934-012000-200",Out!B:AB,26+8,0),0)</f>
        <v>0</v>
      </c>
      <c r="AJ743">
        <f>IFERROR(VLOOKUP("934-012000-200",Out!B:AB,27+8,0),0)</f>
        <v>0</v>
      </c>
      <c r="AK743">
        <f>IFERROR(VLOOKUP("934-012000-200",Out!B:AB,28+8,0),0)</f>
        <v>0</v>
      </c>
      <c r="AL743">
        <f>IFERROR(VLOOKUP("934-012000-200",Out!B:AB,29+8,0),0)</f>
        <v>0</v>
      </c>
      <c r="AM743">
        <f>IFERROR(VLOOKUP("934-012000-200",Out!B:AB,30+8,0),0)</f>
        <v>0</v>
      </c>
      <c r="AN743">
        <f>IFERROR(VLOOKUP("934-012000-200",Out!B:AB,31+8,0),0)</f>
        <v>0</v>
      </c>
      <c r="AO743">
        <f>SUN(INDIRECT(ADDRESS(742,8)):INDIRECT(ADDRESS(742,39)))</f>
        <v>0</v>
      </c>
    </row>
    <row r="744" spans="1:41">
      <c r="H744" t="s">
        <v>179</v>
      </c>
      <c r="J744">
        <f>INDIRECT(ADDRESS(744,9))+INDIRECT(ADDRESS(742,10))-INDIRECT(ADDRESS(743,10))</f>
        <v>0</v>
      </c>
      <c r="K744">
        <f>INDIRECT(ADDRESS(744,10))+INDIRECT(ADDRESS(742,11))-INDIRECT(ADDRESS(743,11))</f>
        <v>0</v>
      </c>
      <c r="L744">
        <f>INDIRECT(ADDRESS(744,11))+INDIRECT(ADDRESS(742,12))-INDIRECT(ADDRESS(743,12))</f>
        <v>0</v>
      </c>
      <c r="M744">
        <f>INDIRECT(ADDRESS(744,12))+INDIRECT(ADDRESS(742,13))-INDIRECT(ADDRESS(743,13))</f>
        <v>0</v>
      </c>
      <c r="N744">
        <f>INDIRECT(ADDRESS(744,13))+INDIRECT(ADDRESS(742,14))-INDIRECT(ADDRESS(743,14))</f>
        <v>0</v>
      </c>
      <c r="O744">
        <f>INDIRECT(ADDRESS(744,14))+INDIRECT(ADDRESS(742,15))-INDIRECT(ADDRESS(743,15))</f>
        <v>0</v>
      </c>
      <c r="P744">
        <f>INDIRECT(ADDRESS(744,15))+INDIRECT(ADDRESS(742,16))-INDIRECT(ADDRESS(743,16))</f>
        <v>0</v>
      </c>
      <c r="Q744">
        <f>INDIRECT(ADDRESS(744,16))+INDIRECT(ADDRESS(742,17))-INDIRECT(ADDRESS(743,17))</f>
        <v>0</v>
      </c>
      <c r="R744">
        <f>INDIRECT(ADDRESS(744,17))+INDIRECT(ADDRESS(742,18))-INDIRECT(ADDRESS(743,18))</f>
        <v>0</v>
      </c>
      <c r="S744">
        <f>INDIRECT(ADDRESS(744,18))+INDIRECT(ADDRESS(742,19))-INDIRECT(ADDRESS(743,19))</f>
        <v>0</v>
      </c>
      <c r="T744">
        <f>INDIRECT(ADDRESS(744,19))+INDIRECT(ADDRESS(742,20))-INDIRECT(ADDRESS(743,20))</f>
        <v>0</v>
      </c>
      <c r="U744">
        <f>INDIRECT(ADDRESS(744,20))+INDIRECT(ADDRESS(742,21))-INDIRECT(ADDRESS(743,21))</f>
        <v>0</v>
      </c>
      <c r="V744">
        <f>INDIRECT(ADDRESS(744,21))+INDIRECT(ADDRESS(742,22))-INDIRECT(ADDRESS(743,22))</f>
        <v>0</v>
      </c>
      <c r="W744">
        <f>INDIRECT(ADDRESS(744,22))+INDIRECT(ADDRESS(742,23))-INDIRECT(ADDRESS(743,23))</f>
        <v>0</v>
      </c>
      <c r="X744">
        <f>INDIRECT(ADDRESS(744,23))+INDIRECT(ADDRESS(742,24))-INDIRECT(ADDRESS(743,24))</f>
        <v>0</v>
      </c>
      <c r="Y744">
        <f>INDIRECT(ADDRESS(744,24))+INDIRECT(ADDRESS(742,25))-INDIRECT(ADDRESS(743,25))</f>
        <v>0</v>
      </c>
      <c r="Z744">
        <f>INDIRECT(ADDRESS(744,25))+INDIRECT(ADDRESS(742,26))-INDIRECT(ADDRESS(743,26))</f>
        <v>0</v>
      </c>
      <c r="AA744">
        <f>INDIRECT(ADDRESS(744,26))+INDIRECT(ADDRESS(742,27))-INDIRECT(ADDRESS(743,27))</f>
        <v>0</v>
      </c>
      <c r="AB744">
        <f>INDIRECT(ADDRESS(744,27))+INDIRECT(ADDRESS(742,28))-INDIRECT(ADDRESS(743,28))</f>
        <v>0</v>
      </c>
      <c r="AC744">
        <f>INDIRECT(ADDRESS(744,28))+INDIRECT(ADDRESS(742,29))-INDIRECT(ADDRESS(743,29))</f>
        <v>0</v>
      </c>
      <c r="AD744">
        <f>INDIRECT(ADDRESS(744,29))+INDIRECT(ADDRESS(742,30))-INDIRECT(ADDRESS(743,30))</f>
        <v>0</v>
      </c>
      <c r="AE744">
        <f>INDIRECT(ADDRESS(744,30))+INDIRECT(ADDRESS(742,31))-INDIRECT(ADDRESS(743,31))</f>
        <v>0</v>
      </c>
      <c r="AF744">
        <f>INDIRECT(ADDRESS(744,31))+INDIRECT(ADDRESS(742,32))-INDIRECT(ADDRESS(743,32))</f>
        <v>0</v>
      </c>
      <c r="AG744">
        <f>INDIRECT(ADDRESS(744,32))+INDIRECT(ADDRESS(742,33))-INDIRECT(ADDRESS(743,33))</f>
        <v>0</v>
      </c>
      <c r="AH744">
        <f>INDIRECT(ADDRESS(744,33))+INDIRECT(ADDRESS(742,34))-INDIRECT(ADDRESS(743,34))</f>
        <v>0</v>
      </c>
      <c r="AI744">
        <f>INDIRECT(ADDRESS(744,34))+INDIRECT(ADDRESS(742,35))-INDIRECT(ADDRESS(743,35))</f>
        <v>0</v>
      </c>
      <c r="AJ744">
        <f>INDIRECT(ADDRESS(744,35))+INDIRECT(ADDRESS(742,36))-INDIRECT(ADDRESS(743,36))</f>
        <v>0</v>
      </c>
      <c r="AK744">
        <f>INDIRECT(ADDRESS(744,36))+INDIRECT(ADDRESS(742,37))-INDIRECT(ADDRESS(743,37))</f>
        <v>0</v>
      </c>
      <c r="AL744">
        <f>INDIRECT(ADDRESS(744,37))+INDIRECT(ADDRESS(742,38))-INDIRECT(ADDRESS(743,38))</f>
        <v>0</v>
      </c>
      <c r="AM744">
        <f>INDIRECT(ADDRESS(744,38))+INDIRECT(ADDRESS(742,39))-INDIRECT(ADDRESS(743,39))</f>
        <v>0</v>
      </c>
      <c r="AN744">
        <f>INDIRECT(ADDRESS(744,39))+INDIRECT(ADDRESS(742,40))-INDIRECT(ADDRESS(743,40))</f>
        <v>0</v>
      </c>
      <c r="AO744">
        <f>SUM(INDIRECT(ADDRESS(743,8)):INDIRECT(ADDRESS(743,39)))</f>
        <v>0</v>
      </c>
    </row>
    <row r="745" spans="1:41">
      <c r="A745" t="s">
        <v>180</v>
      </c>
      <c r="B745" t="s">
        <v>429</v>
      </c>
      <c r="C745" t="s">
        <v>430</v>
      </c>
      <c r="E745">
        <v>1</v>
      </c>
      <c r="I745" t="s">
        <v>177</v>
      </c>
    </row>
    <row r="746" spans="1:41">
      <c r="I746" t="s">
        <v>178</v>
      </c>
      <c r="J746">
        <f>IFERROR(VLOOKUP("934-012000-200",B:AB,1+8,0),0)</f>
        <v>0</v>
      </c>
      <c r="K746">
        <f>IFERROR(VLOOKUP("934-012000-200",B:AB,2+8,0),0)</f>
        <v>0</v>
      </c>
      <c r="L746">
        <f>IFERROR(VLOOKUP("934-012000-200",B:AB,3+8,0),0)</f>
        <v>0</v>
      </c>
      <c r="M746">
        <f>IFERROR(VLOOKUP("934-012000-200",B:AB,4+8,0),0)</f>
        <v>0</v>
      </c>
      <c r="N746">
        <f>IFERROR(VLOOKUP("934-012000-200",B:AB,5+8,0),0)</f>
        <v>0</v>
      </c>
      <c r="O746">
        <f>IFERROR(VLOOKUP("934-012000-200",B:AB,6+8,0),0)</f>
        <v>0</v>
      </c>
      <c r="P746">
        <f>IFERROR(VLOOKUP("934-012000-200",B:AB,7+8,0),0)</f>
        <v>0</v>
      </c>
      <c r="Q746">
        <f>IFERROR(VLOOKUP("934-012000-200",B:AB,8+8,0),0)</f>
        <v>0</v>
      </c>
      <c r="R746">
        <f>IFERROR(VLOOKUP("934-012000-200",B:AB,9+8,0),0)</f>
        <v>0</v>
      </c>
      <c r="S746">
        <f>IFERROR(VLOOKUP("934-012000-200",B:AB,10+8,0),0)</f>
        <v>0</v>
      </c>
      <c r="T746">
        <f>IFERROR(VLOOKUP("934-012000-200",B:AB,11+8,0),0)</f>
        <v>0</v>
      </c>
      <c r="U746">
        <f>IFERROR(VLOOKUP("934-012000-200",B:AB,12+8,0),0)</f>
        <v>0</v>
      </c>
      <c r="V746">
        <f>IFERROR(VLOOKUP("934-012000-200",B:AB,13+8,0),0)</f>
        <v>0</v>
      </c>
      <c r="W746">
        <f>IFERROR(VLOOKUP("934-012000-200",B:AB,14+8,0),0)</f>
        <v>0</v>
      </c>
      <c r="X746">
        <f>IFERROR(VLOOKUP("934-012000-200",B:AB,15+8,0),0)</f>
        <v>0</v>
      </c>
      <c r="Y746">
        <f>IFERROR(VLOOKUP("934-012000-200",B:AB,16+8,0),0)</f>
        <v>0</v>
      </c>
      <c r="Z746">
        <f>IFERROR(VLOOKUP("934-012000-200",B:AB,17+8,0),0)</f>
        <v>0</v>
      </c>
      <c r="AA746">
        <f>IFERROR(VLOOKUP("934-012000-200",B:AB,18+8,0),0)</f>
        <v>0</v>
      </c>
      <c r="AB746">
        <f>IFERROR(VLOOKUP("934-012000-200",B:AB,19+8,0),0)</f>
        <v>0</v>
      </c>
      <c r="AC746">
        <f>IFERROR(VLOOKUP("934-012000-200",B:AB,20+8,0),0)</f>
        <v>0</v>
      </c>
      <c r="AD746">
        <f>IFERROR(VLOOKUP("934-012000-200",B:AB,21+8,0),0)</f>
        <v>0</v>
      </c>
      <c r="AE746">
        <f>IFERROR(VLOOKUP("934-012000-200",B:AB,22+8,0),0)</f>
        <v>0</v>
      </c>
      <c r="AF746">
        <f>IFERROR(VLOOKUP("934-012000-200",B:AB,23+8,0),0)</f>
        <v>0</v>
      </c>
      <c r="AG746">
        <f>IFERROR(VLOOKUP("934-012000-200",B:AB,24+8,0),0)</f>
        <v>0</v>
      </c>
      <c r="AH746">
        <f>IFERROR(VLOOKUP("934-012000-200",B:AB,25+8,0),0)</f>
        <v>0</v>
      </c>
      <c r="AI746">
        <f>IFERROR(VLOOKUP("934-012000-200",B:AB,26+8,0),0)</f>
        <v>0</v>
      </c>
      <c r="AJ746">
        <f>IFERROR(VLOOKUP("934-012000-200",B:AB,27+8,0),0)</f>
        <v>0</v>
      </c>
      <c r="AK746">
        <f>IFERROR(VLOOKUP("934-012000-200",B:AB,28+8,0),0)</f>
        <v>0</v>
      </c>
      <c r="AL746">
        <f>IFERROR(VLOOKUP("934-012000-200",B:AB,29+8,0),0)</f>
        <v>0</v>
      </c>
      <c r="AM746">
        <f>IFERROR(VLOOKUP("934-012000-200",B:AB,30+8,0),0)</f>
        <v>0</v>
      </c>
      <c r="AN746">
        <f>IFERROR(VLOOKUP("934-012000-200",B:AB,31+8,0),0)</f>
        <v>0</v>
      </c>
      <c r="AO746">
        <f>SUN(INDIRECT(ADDRESS(745,8)):INDIRECT(ADDRESS(745,39)))</f>
        <v>0</v>
      </c>
    </row>
    <row r="747" spans="1:41">
      <c r="H747" t="s">
        <v>179</v>
      </c>
      <c r="J747">
        <f>INDIRECT(ADDRESS(747,9))+INDIRECT(ADDRESS(745,10))-INDIRECT(ADDRESS(746,10))</f>
        <v>0</v>
      </c>
      <c r="K747">
        <f>INDIRECT(ADDRESS(747,10))+INDIRECT(ADDRESS(745,11))-INDIRECT(ADDRESS(746,11))</f>
        <v>0</v>
      </c>
      <c r="L747">
        <f>INDIRECT(ADDRESS(747,11))+INDIRECT(ADDRESS(745,12))-INDIRECT(ADDRESS(746,12))</f>
        <v>0</v>
      </c>
      <c r="M747">
        <f>INDIRECT(ADDRESS(747,12))+INDIRECT(ADDRESS(745,13))-INDIRECT(ADDRESS(746,13))</f>
        <v>0</v>
      </c>
      <c r="N747">
        <f>INDIRECT(ADDRESS(747,13))+INDIRECT(ADDRESS(745,14))-INDIRECT(ADDRESS(746,14))</f>
        <v>0</v>
      </c>
      <c r="O747">
        <f>INDIRECT(ADDRESS(747,14))+INDIRECT(ADDRESS(745,15))-INDIRECT(ADDRESS(746,15))</f>
        <v>0</v>
      </c>
      <c r="P747">
        <f>INDIRECT(ADDRESS(747,15))+INDIRECT(ADDRESS(745,16))-INDIRECT(ADDRESS(746,16))</f>
        <v>0</v>
      </c>
      <c r="Q747">
        <f>INDIRECT(ADDRESS(747,16))+INDIRECT(ADDRESS(745,17))-INDIRECT(ADDRESS(746,17))</f>
        <v>0</v>
      </c>
      <c r="R747">
        <f>INDIRECT(ADDRESS(747,17))+INDIRECT(ADDRESS(745,18))-INDIRECT(ADDRESS(746,18))</f>
        <v>0</v>
      </c>
      <c r="S747">
        <f>INDIRECT(ADDRESS(747,18))+INDIRECT(ADDRESS(745,19))-INDIRECT(ADDRESS(746,19))</f>
        <v>0</v>
      </c>
      <c r="T747">
        <f>INDIRECT(ADDRESS(747,19))+INDIRECT(ADDRESS(745,20))-INDIRECT(ADDRESS(746,20))</f>
        <v>0</v>
      </c>
      <c r="U747">
        <f>INDIRECT(ADDRESS(747,20))+INDIRECT(ADDRESS(745,21))-INDIRECT(ADDRESS(746,21))</f>
        <v>0</v>
      </c>
      <c r="V747">
        <f>INDIRECT(ADDRESS(747,21))+INDIRECT(ADDRESS(745,22))-INDIRECT(ADDRESS(746,22))</f>
        <v>0</v>
      </c>
      <c r="W747">
        <f>INDIRECT(ADDRESS(747,22))+INDIRECT(ADDRESS(745,23))-INDIRECT(ADDRESS(746,23))</f>
        <v>0</v>
      </c>
      <c r="X747">
        <f>INDIRECT(ADDRESS(747,23))+INDIRECT(ADDRESS(745,24))-INDIRECT(ADDRESS(746,24))</f>
        <v>0</v>
      </c>
      <c r="Y747">
        <f>INDIRECT(ADDRESS(747,24))+INDIRECT(ADDRESS(745,25))-INDIRECT(ADDRESS(746,25))</f>
        <v>0</v>
      </c>
      <c r="Z747">
        <f>INDIRECT(ADDRESS(747,25))+INDIRECT(ADDRESS(745,26))-INDIRECT(ADDRESS(746,26))</f>
        <v>0</v>
      </c>
      <c r="AA747">
        <f>INDIRECT(ADDRESS(747,26))+INDIRECT(ADDRESS(745,27))-INDIRECT(ADDRESS(746,27))</f>
        <v>0</v>
      </c>
      <c r="AB747">
        <f>INDIRECT(ADDRESS(747,27))+INDIRECT(ADDRESS(745,28))-INDIRECT(ADDRESS(746,28))</f>
        <v>0</v>
      </c>
      <c r="AC747">
        <f>INDIRECT(ADDRESS(747,28))+INDIRECT(ADDRESS(745,29))-INDIRECT(ADDRESS(746,29))</f>
        <v>0</v>
      </c>
      <c r="AD747">
        <f>INDIRECT(ADDRESS(747,29))+INDIRECT(ADDRESS(745,30))-INDIRECT(ADDRESS(746,30))</f>
        <v>0</v>
      </c>
      <c r="AE747">
        <f>INDIRECT(ADDRESS(747,30))+INDIRECT(ADDRESS(745,31))-INDIRECT(ADDRESS(746,31))</f>
        <v>0</v>
      </c>
      <c r="AF747">
        <f>INDIRECT(ADDRESS(747,31))+INDIRECT(ADDRESS(745,32))-INDIRECT(ADDRESS(746,32))</f>
        <v>0</v>
      </c>
      <c r="AG747">
        <f>INDIRECT(ADDRESS(747,32))+INDIRECT(ADDRESS(745,33))-INDIRECT(ADDRESS(746,33))</f>
        <v>0</v>
      </c>
      <c r="AH747">
        <f>INDIRECT(ADDRESS(747,33))+INDIRECT(ADDRESS(745,34))-INDIRECT(ADDRESS(746,34))</f>
        <v>0</v>
      </c>
      <c r="AI747">
        <f>INDIRECT(ADDRESS(747,34))+INDIRECT(ADDRESS(745,35))-INDIRECT(ADDRESS(746,35))</f>
        <v>0</v>
      </c>
      <c r="AJ747">
        <f>INDIRECT(ADDRESS(747,35))+INDIRECT(ADDRESS(745,36))-INDIRECT(ADDRESS(746,36))</f>
        <v>0</v>
      </c>
      <c r="AK747">
        <f>INDIRECT(ADDRESS(747,36))+INDIRECT(ADDRESS(745,37))-INDIRECT(ADDRESS(746,37))</f>
        <v>0</v>
      </c>
      <c r="AL747">
        <f>INDIRECT(ADDRESS(747,37))+INDIRECT(ADDRESS(745,38))-INDIRECT(ADDRESS(746,38))</f>
        <v>0</v>
      </c>
      <c r="AM747">
        <f>INDIRECT(ADDRESS(747,38))+INDIRECT(ADDRESS(745,39))-INDIRECT(ADDRESS(746,39))</f>
        <v>0</v>
      </c>
      <c r="AN747">
        <f>INDIRECT(ADDRESS(747,39))+INDIRECT(ADDRESS(745,40))-INDIRECT(ADDRESS(746,40))</f>
        <v>0</v>
      </c>
      <c r="AO747">
        <f>SUM(INDIRECT(ADDRESS(746,8)):INDIRECT(ADDRESS(746,39)))</f>
        <v>0</v>
      </c>
    </row>
    <row r="748" spans="1:41">
      <c r="A748" t="s">
        <v>180</v>
      </c>
      <c r="B748" t="s">
        <v>431</v>
      </c>
      <c r="C748" t="s">
        <v>432</v>
      </c>
      <c r="E748">
        <v>1</v>
      </c>
      <c r="I748" t="s">
        <v>177</v>
      </c>
    </row>
    <row r="749" spans="1:41">
      <c r="I749" t="s">
        <v>178</v>
      </c>
      <c r="J749">
        <f>IFERROR(VLOOKUP("934-012000-200",B:AB,1+8,0),0)</f>
        <v>0</v>
      </c>
      <c r="K749">
        <f>IFERROR(VLOOKUP("934-012000-200",B:AB,2+8,0),0)</f>
        <v>0</v>
      </c>
      <c r="L749">
        <f>IFERROR(VLOOKUP("934-012000-200",B:AB,3+8,0),0)</f>
        <v>0</v>
      </c>
      <c r="M749">
        <f>IFERROR(VLOOKUP("934-012000-200",B:AB,4+8,0),0)</f>
        <v>0</v>
      </c>
      <c r="N749">
        <f>IFERROR(VLOOKUP("934-012000-200",B:AB,5+8,0),0)</f>
        <v>0</v>
      </c>
      <c r="O749">
        <f>IFERROR(VLOOKUP("934-012000-200",B:AB,6+8,0),0)</f>
        <v>0</v>
      </c>
      <c r="P749">
        <f>IFERROR(VLOOKUP("934-012000-200",B:AB,7+8,0),0)</f>
        <v>0</v>
      </c>
      <c r="Q749">
        <f>IFERROR(VLOOKUP("934-012000-200",B:AB,8+8,0),0)</f>
        <v>0</v>
      </c>
      <c r="R749">
        <f>IFERROR(VLOOKUP("934-012000-200",B:AB,9+8,0),0)</f>
        <v>0</v>
      </c>
      <c r="S749">
        <f>IFERROR(VLOOKUP("934-012000-200",B:AB,10+8,0),0)</f>
        <v>0</v>
      </c>
      <c r="T749">
        <f>IFERROR(VLOOKUP("934-012000-200",B:AB,11+8,0),0)</f>
        <v>0</v>
      </c>
      <c r="U749">
        <f>IFERROR(VLOOKUP("934-012000-200",B:AB,12+8,0),0)</f>
        <v>0</v>
      </c>
      <c r="V749">
        <f>IFERROR(VLOOKUP("934-012000-200",B:AB,13+8,0),0)</f>
        <v>0</v>
      </c>
      <c r="W749">
        <f>IFERROR(VLOOKUP("934-012000-200",B:AB,14+8,0),0)</f>
        <v>0</v>
      </c>
      <c r="X749">
        <f>IFERROR(VLOOKUP("934-012000-200",B:AB,15+8,0),0)</f>
        <v>0</v>
      </c>
      <c r="Y749">
        <f>IFERROR(VLOOKUP("934-012000-200",B:AB,16+8,0),0)</f>
        <v>0</v>
      </c>
      <c r="Z749">
        <f>IFERROR(VLOOKUP("934-012000-200",B:AB,17+8,0),0)</f>
        <v>0</v>
      </c>
      <c r="AA749">
        <f>IFERROR(VLOOKUP("934-012000-200",B:AB,18+8,0),0)</f>
        <v>0</v>
      </c>
      <c r="AB749">
        <f>IFERROR(VLOOKUP("934-012000-200",B:AB,19+8,0),0)</f>
        <v>0</v>
      </c>
      <c r="AC749">
        <f>IFERROR(VLOOKUP("934-012000-200",B:AB,20+8,0),0)</f>
        <v>0</v>
      </c>
      <c r="AD749">
        <f>IFERROR(VLOOKUP("934-012000-200",B:AB,21+8,0),0)</f>
        <v>0</v>
      </c>
      <c r="AE749">
        <f>IFERROR(VLOOKUP("934-012000-200",B:AB,22+8,0),0)</f>
        <v>0</v>
      </c>
      <c r="AF749">
        <f>IFERROR(VLOOKUP("934-012000-200",B:AB,23+8,0),0)</f>
        <v>0</v>
      </c>
      <c r="AG749">
        <f>IFERROR(VLOOKUP("934-012000-200",B:AB,24+8,0),0)</f>
        <v>0</v>
      </c>
      <c r="AH749">
        <f>IFERROR(VLOOKUP("934-012000-200",B:AB,25+8,0),0)</f>
        <v>0</v>
      </c>
      <c r="AI749">
        <f>IFERROR(VLOOKUP("934-012000-200",B:AB,26+8,0),0)</f>
        <v>0</v>
      </c>
      <c r="AJ749">
        <f>IFERROR(VLOOKUP("934-012000-200",B:AB,27+8,0),0)</f>
        <v>0</v>
      </c>
      <c r="AK749">
        <f>IFERROR(VLOOKUP("934-012000-200",B:AB,28+8,0),0)</f>
        <v>0</v>
      </c>
      <c r="AL749">
        <f>IFERROR(VLOOKUP("934-012000-200",B:AB,29+8,0),0)</f>
        <v>0</v>
      </c>
      <c r="AM749">
        <f>IFERROR(VLOOKUP("934-012000-200",B:AB,30+8,0),0)</f>
        <v>0</v>
      </c>
      <c r="AN749">
        <f>IFERROR(VLOOKUP("934-012000-200",B:AB,31+8,0),0)</f>
        <v>0</v>
      </c>
      <c r="AO749">
        <f>SUN(INDIRECT(ADDRESS(748,8)):INDIRECT(ADDRESS(748,39)))</f>
        <v>0</v>
      </c>
    </row>
    <row r="750" spans="1:41">
      <c r="H750" t="s">
        <v>179</v>
      </c>
      <c r="J750">
        <f>INDIRECT(ADDRESS(750,9))+INDIRECT(ADDRESS(748,10))-INDIRECT(ADDRESS(749,10))</f>
        <v>0</v>
      </c>
      <c r="K750">
        <f>INDIRECT(ADDRESS(750,10))+INDIRECT(ADDRESS(748,11))-INDIRECT(ADDRESS(749,11))</f>
        <v>0</v>
      </c>
      <c r="L750">
        <f>INDIRECT(ADDRESS(750,11))+INDIRECT(ADDRESS(748,12))-INDIRECT(ADDRESS(749,12))</f>
        <v>0</v>
      </c>
      <c r="M750">
        <f>INDIRECT(ADDRESS(750,12))+INDIRECT(ADDRESS(748,13))-INDIRECT(ADDRESS(749,13))</f>
        <v>0</v>
      </c>
      <c r="N750">
        <f>INDIRECT(ADDRESS(750,13))+INDIRECT(ADDRESS(748,14))-INDIRECT(ADDRESS(749,14))</f>
        <v>0</v>
      </c>
      <c r="O750">
        <f>INDIRECT(ADDRESS(750,14))+INDIRECT(ADDRESS(748,15))-INDIRECT(ADDRESS(749,15))</f>
        <v>0</v>
      </c>
      <c r="P750">
        <f>INDIRECT(ADDRESS(750,15))+INDIRECT(ADDRESS(748,16))-INDIRECT(ADDRESS(749,16))</f>
        <v>0</v>
      </c>
      <c r="Q750">
        <f>INDIRECT(ADDRESS(750,16))+INDIRECT(ADDRESS(748,17))-INDIRECT(ADDRESS(749,17))</f>
        <v>0</v>
      </c>
      <c r="R750">
        <f>INDIRECT(ADDRESS(750,17))+INDIRECT(ADDRESS(748,18))-INDIRECT(ADDRESS(749,18))</f>
        <v>0</v>
      </c>
      <c r="S750">
        <f>INDIRECT(ADDRESS(750,18))+INDIRECT(ADDRESS(748,19))-INDIRECT(ADDRESS(749,19))</f>
        <v>0</v>
      </c>
      <c r="T750">
        <f>INDIRECT(ADDRESS(750,19))+INDIRECT(ADDRESS(748,20))-INDIRECT(ADDRESS(749,20))</f>
        <v>0</v>
      </c>
      <c r="U750">
        <f>INDIRECT(ADDRESS(750,20))+INDIRECT(ADDRESS(748,21))-INDIRECT(ADDRESS(749,21))</f>
        <v>0</v>
      </c>
      <c r="V750">
        <f>INDIRECT(ADDRESS(750,21))+INDIRECT(ADDRESS(748,22))-INDIRECT(ADDRESS(749,22))</f>
        <v>0</v>
      </c>
      <c r="W750">
        <f>INDIRECT(ADDRESS(750,22))+INDIRECT(ADDRESS(748,23))-INDIRECT(ADDRESS(749,23))</f>
        <v>0</v>
      </c>
      <c r="X750">
        <f>INDIRECT(ADDRESS(750,23))+INDIRECT(ADDRESS(748,24))-INDIRECT(ADDRESS(749,24))</f>
        <v>0</v>
      </c>
      <c r="Y750">
        <f>INDIRECT(ADDRESS(750,24))+INDIRECT(ADDRESS(748,25))-INDIRECT(ADDRESS(749,25))</f>
        <v>0</v>
      </c>
      <c r="Z750">
        <f>INDIRECT(ADDRESS(750,25))+INDIRECT(ADDRESS(748,26))-INDIRECT(ADDRESS(749,26))</f>
        <v>0</v>
      </c>
      <c r="AA750">
        <f>INDIRECT(ADDRESS(750,26))+INDIRECT(ADDRESS(748,27))-INDIRECT(ADDRESS(749,27))</f>
        <v>0</v>
      </c>
      <c r="AB750">
        <f>INDIRECT(ADDRESS(750,27))+INDIRECT(ADDRESS(748,28))-INDIRECT(ADDRESS(749,28))</f>
        <v>0</v>
      </c>
      <c r="AC750">
        <f>INDIRECT(ADDRESS(750,28))+INDIRECT(ADDRESS(748,29))-INDIRECT(ADDRESS(749,29))</f>
        <v>0</v>
      </c>
      <c r="AD750">
        <f>INDIRECT(ADDRESS(750,29))+INDIRECT(ADDRESS(748,30))-INDIRECT(ADDRESS(749,30))</f>
        <v>0</v>
      </c>
      <c r="AE750">
        <f>INDIRECT(ADDRESS(750,30))+INDIRECT(ADDRESS(748,31))-INDIRECT(ADDRESS(749,31))</f>
        <v>0</v>
      </c>
      <c r="AF750">
        <f>INDIRECT(ADDRESS(750,31))+INDIRECT(ADDRESS(748,32))-INDIRECT(ADDRESS(749,32))</f>
        <v>0</v>
      </c>
      <c r="AG750">
        <f>INDIRECT(ADDRESS(750,32))+INDIRECT(ADDRESS(748,33))-INDIRECT(ADDRESS(749,33))</f>
        <v>0</v>
      </c>
      <c r="AH750">
        <f>INDIRECT(ADDRESS(750,33))+INDIRECT(ADDRESS(748,34))-INDIRECT(ADDRESS(749,34))</f>
        <v>0</v>
      </c>
      <c r="AI750">
        <f>INDIRECT(ADDRESS(750,34))+INDIRECT(ADDRESS(748,35))-INDIRECT(ADDRESS(749,35))</f>
        <v>0</v>
      </c>
      <c r="AJ750">
        <f>INDIRECT(ADDRESS(750,35))+INDIRECT(ADDRESS(748,36))-INDIRECT(ADDRESS(749,36))</f>
        <v>0</v>
      </c>
      <c r="AK750">
        <f>INDIRECT(ADDRESS(750,36))+INDIRECT(ADDRESS(748,37))-INDIRECT(ADDRESS(749,37))</f>
        <v>0</v>
      </c>
      <c r="AL750">
        <f>INDIRECT(ADDRESS(750,37))+INDIRECT(ADDRESS(748,38))-INDIRECT(ADDRESS(749,38))</f>
        <v>0</v>
      </c>
      <c r="AM750">
        <f>INDIRECT(ADDRESS(750,38))+INDIRECT(ADDRESS(748,39))-INDIRECT(ADDRESS(749,39))</f>
        <v>0</v>
      </c>
      <c r="AN750">
        <f>INDIRECT(ADDRESS(750,39))+INDIRECT(ADDRESS(748,40))-INDIRECT(ADDRESS(749,40))</f>
        <v>0</v>
      </c>
      <c r="AO750">
        <f>SUM(INDIRECT(ADDRESS(749,8)):INDIRECT(ADDRESS(749,39)))</f>
        <v>0</v>
      </c>
    </row>
    <row r="751" spans="1:41">
      <c r="A751" t="s">
        <v>180</v>
      </c>
      <c r="B751" t="s">
        <v>433</v>
      </c>
      <c r="C751" t="s">
        <v>434</v>
      </c>
      <c r="E751">
        <v>2</v>
      </c>
      <c r="I751" t="s">
        <v>177</v>
      </c>
    </row>
    <row r="752" spans="1:41">
      <c r="I752" t="s">
        <v>178</v>
      </c>
      <c r="J752">
        <f>IFERROR(VLOOKUP("934-012000-200",B:AB,1+8,0),0)</f>
        <v>0</v>
      </c>
      <c r="K752">
        <f>IFERROR(VLOOKUP("934-012000-200",B:AB,2+8,0),0)</f>
        <v>0</v>
      </c>
      <c r="L752">
        <f>IFERROR(VLOOKUP("934-012000-200",B:AB,3+8,0),0)</f>
        <v>0</v>
      </c>
      <c r="M752">
        <f>IFERROR(VLOOKUP("934-012000-200",B:AB,4+8,0),0)</f>
        <v>0</v>
      </c>
      <c r="N752">
        <f>IFERROR(VLOOKUP("934-012000-200",B:AB,5+8,0),0)</f>
        <v>0</v>
      </c>
      <c r="O752">
        <f>IFERROR(VLOOKUP("934-012000-200",B:AB,6+8,0),0)</f>
        <v>0</v>
      </c>
      <c r="P752">
        <f>IFERROR(VLOOKUP("934-012000-200",B:AB,7+8,0),0)</f>
        <v>0</v>
      </c>
      <c r="Q752">
        <f>IFERROR(VLOOKUP("934-012000-200",B:AB,8+8,0),0)</f>
        <v>0</v>
      </c>
      <c r="R752">
        <f>IFERROR(VLOOKUP("934-012000-200",B:AB,9+8,0),0)</f>
        <v>0</v>
      </c>
      <c r="S752">
        <f>IFERROR(VLOOKUP("934-012000-200",B:AB,10+8,0),0)</f>
        <v>0</v>
      </c>
      <c r="T752">
        <f>IFERROR(VLOOKUP("934-012000-200",B:AB,11+8,0),0)</f>
        <v>0</v>
      </c>
      <c r="U752">
        <f>IFERROR(VLOOKUP("934-012000-200",B:AB,12+8,0),0)</f>
        <v>0</v>
      </c>
      <c r="V752">
        <f>IFERROR(VLOOKUP("934-012000-200",B:AB,13+8,0),0)</f>
        <v>0</v>
      </c>
      <c r="W752">
        <f>IFERROR(VLOOKUP("934-012000-200",B:AB,14+8,0),0)</f>
        <v>0</v>
      </c>
      <c r="X752">
        <f>IFERROR(VLOOKUP("934-012000-200",B:AB,15+8,0),0)</f>
        <v>0</v>
      </c>
      <c r="Y752">
        <f>IFERROR(VLOOKUP("934-012000-200",B:AB,16+8,0),0)</f>
        <v>0</v>
      </c>
      <c r="Z752">
        <f>IFERROR(VLOOKUP("934-012000-200",B:AB,17+8,0),0)</f>
        <v>0</v>
      </c>
      <c r="AA752">
        <f>IFERROR(VLOOKUP("934-012000-200",B:AB,18+8,0),0)</f>
        <v>0</v>
      </c>
      <c r="AB752">
        <f>IFERROR(VLOOKUP("934-012000-200",B:AB,19+8,0),0)</f>
        <v>0</v>
      </c>
      <c r="AC752">
        <f>IFERROR(VLOOKUP("934-012000-200",B:AB,20+8,0),0)</f>
        <v>0</v>
      </c>
      <c r="AD752">
        <f>IFERROR(VLOOKUP("934-012000-200",B:AB,21+8,0),0)</f>
        <v>0</v>
      </c>
      <c r="AE752">
        <f>IFERROR(VLOOKUP("934-012000-200",B:AB,22+8,0),0)</f>
        <v>0</v>
      </c>
      <c r="AF752">
        <f>IFERROR(VLOOKUP("934-012000-200",B:AB,23+8,0),0)</f>
        <v>0</v>
      </c>
      <c r="AG752">
        <f>IFERROR(VLOOKUP("934-012000-200",B:AB,24+8,0),0)</f>
        <v>0</v>
      </c>
      <c r="AH752">
        <f>IFERROR(VLOOKUP("934-012000-200",B:AB,25+8,0),0)</f>
        <v>0</v>
      </c>
      <c r="AI752">
        <f>IFERROR(VLOOKUP("934-012000-200",B:AB,26+8,0),0)</f>
        <v>0</v>
      </c>
      <c r="AJ752">
        <f>IFERROR(VLOOKUP("934-012000-200",B:AB,27+8,0),0)</f>
        <v>0</v>
      </c>
      <c r="AK752">
        <f>IFERROR(VLOOKUP("934-012000-200",B:AB,28+8,0),0)</f>
        <v>0</v>
      </c>
      <c r="AL752">
        <f>IFERROR(VLOOKUP("934-012000-200",B:AB,29+8,0),0)</f>
        <v>0</v>
      </c>
      <c r="AM752">
        <f>IFERROR(VLOOKUP("934-012000-200",B:AB,30+8,0),0)</f>
        <v>0</v>
      </c>
      <c r="AN752">
        <f>IFERROR(VLOOKUP("934-012000-200",B:AB,31+8,0),0)</f>
        <v>0</v>
      </c>
      <c r="AO752">
        <f>SUN(INDIRECT(ADDRESS(751,8)):INDIRECT(ADDRESS(751,39)))</f>
        <v>0</v>
      </c>
    </row>
    <row r="753" spans="1:41">
      <c r="H753" t="s">
        <v>179</v>
      </c>
      <c r="J753">
        <f>INDIRECT(ADDRESS(753,9))+INDIRECT(ADDRESS(751,10))-INDIRECT(ADDRESS(752,10))</f>
        <v>0</v>
      </c>
      <c r="K753">
        <f>INDIRECT(ADDRESS(753,10))+INDIRECT(ADDRESS(751,11))-INDIRECT(ADDRESS(752,11))</f>
        <v>0</v>
      </c>
      <c r="L753">
        <f>INDIRECT(ADDRESS(753,11))+INDIRECT(ADDRESS(751,12))-INDIRECT(ADDRESS(752,12))</f>
        <v>0</v>
      </c>
      <c r="M753">
        <f>INDIRECT(ADDRESS(753,12))+INDIRECT(ADDRESS(751,13))-INDIRECT(ADDRESS(752,13))</f>
        <v>0</v>
      </c>
      <c r="N753">
        <f>INDIRECT(ADDRESS(753,13))+INDIRECT(ADDRESS(751,14))-INDIRECT(ADDRESS(752,14))</f>
        <v>0</v>
      </c>
      <c r="O753">
        <f>INDIRECT(ADDRESS(753,14))+INDIRECT(ADDRESS(751,15))-INDIRECT(ADDRESS(752,15))</f>
        <v>0</v>
      </c>
      <c r="P753">
        <f>INDIRECT(ADDRESS(753,15))+INDIRECT(ADDRESS(751,16))-INDIRECT(ADDRESS(752,16))</f>
        <v>0</v>
      </c>
      <c r="Q753">
        <f>INDIRECT(ADDRESS(753,16))+INDIRECT(ADDRESS(751,17))-INDIRECT(ADDRESS(752,17))</f>
        <v>0</v>
      </c>
      <c r="R753">
        <f>INDIRECT(ADDRESS(753,17))+INDIRECT(ADDRESS(751,18))-INDIRECT(ADDRESS(752,18))</f>
        <v>0</v>
      </c>
      <c r="S753">
        <f>INDIRECT(ADDRESS(753,18))+INDIRECT(ADDRESS(751,19))-INDIRECT(ADDRESS(752,19))</f>
        <v>0</v>
      </c>
      <c r="T753">
        <f>INDIRECT(ADDRESS(753,19))+INDIRECT(ADDRESS(751,20))-INDIRECT(ADDRESS(752,20))</f>
        <v>0</v>
      </c>
      <c r="U753">
        <f>INDIRECT(ADDRESS(753,20))+INDIRECT(ADDRESS(751,21))-INDIRECT(ADDRESS(752,21))</f>
        <v>0</v>
      </c>
      <c r="V753">
        <f>INDIRECT(ADDRESS(753,21))+INDIRECT(ADDRESS(751,22))-INDIRECT(ADDRESS(752,22))</f>
        <v>0</v>
      </c>
      <c r="W753">
        <f>INDIRECT(ADDRESS(753,22))+INDIRECT(ADDRESS(751,23))-INDIRECT(ADDRESS(752,23))</f>
        <v>0</v>
      </c>
      <c r="X753">
        <f>INDIRECT(ADDRESS(753,23))+INDIRECT(ADDRESS(751,24))-INDIRECT(ADDRESS(752,24))</f>
        <v>0</v>
      </c>
      <c r="Y753">
        <f>INDIRECT(ADDRESS(753,24))+INDIRECT(ADDRESS(751,25))-INDIRECT(ADDRESS(752,25))</f>
        <v>0</v>
      </c>
      <c r="Z753">
        <f>INDIRECT(ADDRESS(753,25))+INDIRECT(ADDRESS(751,26))-INDIRECT(ADDRESS(752,26))</f>
        <v>0</v>
      </c>
      <c r="AA753">
        <f>INDIRECT(ADDRESS(753,26))+INDIRECT(ADDRESS(751,27))-INDIRECT(ADDRESS(752,27))</f>
        <v>0</v>
      </c>
      <c r="AB753">
        <f>INDIRECT(ADDRESS(753,27))+INDIRECT(ADDRESS(751,28))-INDIRECT(ADDRESS(752,28))</f>
        <v>0</v>
      </c>
      <c r="AC753">
        <f>INDIRECT(ADDRESS(753,28))+INDIRECT(ADDRESS(751,29))-INDIRECT(ADDRESS(752,29))</f>
        <v>0</v>
      </c>
      <c r="AD753">
        <f>INDIRECT(ADDRESS(753,29))+INDIRECT(ADDRESS(751,30))-INDIRECT(ADDRESS(752,30))</f>
        <v>0</v>
      </c>
      <c r="AE753">
        <f>INDIRECT(ADDRESS(753,30))+INDIRECT(ADDRESS(751,31))-INDIRECT(ADDRESS(752,31))</f>
        <v>0</v>
      </c>
      <c r="AF753">
        <f>INDIRECT(ADDRESS(753,31))+INDIRECT(ADDRESS(751,32))-INDIRECT(ADDRESS(752,32))</f>
        <v>0</v>
      </c>
      <c r="AG753">
        <f>INDIRECT(ADDRESS(753,32))+INDIRECT(ADDRESS(751,33))-INDIRECT(ADDRESS(752,33))</f>
        <v>0</v>
      </c>
      <c r="AH753">
        <f>INDIRECT(ADDRESS(753,33))+INDIRECT(ADDRESS(751,34))-INDIRECT(ADDRESS(752,34))</f>
        <v>0</v>
      </c>
      <c r="AI753">
        <f>INDIRECT(ADDRESS(753,34))+INDIRECT(ADDRESS(751,35))-INDIRECT(ADDRESS(752,35))</f>
        <v>0</v>
      </c>
      <c r="AJ753">
        <f>INDIRECT(ADDRESS(753,35))+INDIRECT(ADDRESS(751,36))-INDIRECT(ADDRESS(752,36))</f>
        <v>0</v>
      </c>
      <c r="AK753">
        <f>INDIRECT(ADDRESS(753,36))+INDIRECT(ADDRESS(751,37))-INDIRECT(ADDRESS(752,37))</f>
        <v>0</v>
      </c>
      <c r="AL753">
        <f>INDIRECT(ADDRESS(753,37))+INDIRECT(ADDRESS(751,38))-INDIRECT(ADDRESS(752,38))</f>
        <v>0</v>
      </c>
      <c r="AM753">
        <f>INDIRECT(ADDRESS(753,38))+INDIRECT(ADDRESS(751,39))-INDIRECT(ADDRESS(752,39))</f>
        <v>0</v>
      </c>
      <c r="AN753">
        <f>INDIRECT(ADDRESS(753,39))+INDIRECT(ADDRESS(751,40))-INDIRECT(ADDRESS(752,40))</f>
        <v>0</v>
      </c>
      <c r="AO753">
        <f>SUM(INDIRECT(ADDRESS(752,8)):INDIRECT(ADDRESS(752,39)))</f>
        <v>0</v>
      </c>
    </row>
    <row r="754" spans="1:41">
      <c r="A754" t="s">
        <v>185</v>
      </c>
      <c r="B754" t="s">
        <v>435</v>
      </c>
      <c r="C754" t="s">
        <v>436</v>
      </c>
      <c r="E754">
        <v>1</v>
      </c>
      <c r="I754" t="s">
        <v>177</v>
      </c>
    </row>
    <row r="755" spans="1:41">
      <c r="I755" t="s">
        <v>178</v>
      </c>
      <c r="J755">
        <f>IFERROR(VLOOKUP("934-012000-200",B:AB,1+8,0),0)</f>
        <v>0</v>
      </c>
      <c r="K755">
        <f>IFERROR(VLOOKUP("934-012000-200",B:AB,2+8,0),0)</f>
        <v>0</v>
      </c>
      <c r="L755">
        <f>IFERROR(VLOOKUP("934-012000-200",B:AB,3+8,0),0)</f>
        <v>0</v>
      </c>
      <c r="M755">
        <f>IFERROR(VLOOKUP("934-012000-200",B:AB,4+8,0),0)</f>
        <v>0</v>
      </c>
      <c r="N755">
        <f>IFERROR(VLOOKUP("934-012000-200",B:AB,5+8,0),0)</f>
        <v>0</v>
      </c>
      <c r="O755">
        <f>IFERROR(VLOOKUP("934-012000-200",B:AB,6+8,0),0)</f>
        <v>0</v>
      </c>
      <c r="P755">
        <f>IFERROR(VLOOKUP("934-012000-200",B:AB,7+8,0),0)</f>
        <v>0</v>
      </c>
      <c r="Q755">
        <f>IFERROR(VLOOKUP("934-012000-200",B:AB,8+8,0),0)</f>
        <v>0</v>
      </c>
      <c r="R755">
        <f>IFERROR(VLOOKUP("934-012000-200",B:AB,9+8,0),0)</f>
        <v>0</v>
      </c>
      <c r="S755">
        <f>IFERROR(VLOOKUP("934-012000-200",B:AB,10+8,0),0)</f>
        <v>0</v>
      </c>
      <c r="T755">
        <f>IFERROR(VLOOKUP("934-012000-200",B:AB,11+8,0),0)</f>
        <v>0</v>
      </c>
      <c r="U755">
        <f>IFERROR(VLOOKUP("934-012000-200",B:AB,12+8,0),0)</f>
        <v>0</v>
      </c>
      <c r="V755">
        <f>IFERROR(VLOOKUP("934-012000-200",B:AB,13+8,0),0)</f>
        <v>0</v>
      </c>
      <c r="W755">
        <f>IFERROR(VLOOKUP("934-012000-200",B:AB,14+8,0),0)</f>
        <v>0</v>
      </c>
      <c r="X755">
        <f>IFERROR(VLOOKUP("934-012000-200",B:AB,15+8,0),0)</f>
        <v>0</v>
      </c>
      <c r="Y755">
        <f>IFERROR(VLOOKUP("934-012000-200",B:AB,16+8,0),0)</f>
        <v>0</v>
      </c>
      <c r="Z755">
        <f>IFERROR(VLOOKUP("934-012000-200",B:AB,17+8,0),0)</f>
        <v>0</v>
      </c>
      <c r="AA755">
        <f>IFERROR(VLOOKUP("934-012000-200",B:AB,18+8,0),0)</f>
        <v>0</v>
      </c>
      <c r="AB755">
        <f>IFERROR(VLOOKUP("934-012000-200",B:AB,19+8,0),0)</f>
        <v>0</v>
      </c>
      <c r="AC755">
        <f>IFERROR(VLOOKUP("934-012000-200",B:AB,20+8,0),0)</f>
        <v>0</v>
      </c>
      <c r="AD755">
        <f>IFERROR(VLOOKUP("934-012000-200",B:AB,21+8,0),0)</f>
        <v>0</v>
      </c>
      <c r="AE755">
        <f>IFERROR(VLOOKUP("934-012000-200",B:AB,22+8,0),0)</f>
        <v>0</v>
      </c>
      <c r="AF755">
        <f>IFERROR(VLOOKUP("934-012000-200",B:AB,23+8,0),0)</f>
        <v>0</v>
      </c>
      <c r="AG755">
        <f>IFERROR(VLOOKUP("934-012000-200",B:AB,24+8,0),0)</f>
        <v>0</v>
      </c>
      <c r="AH755">
        <f>IFERROR(VLOOKUP("934-012000-200",B:AB,25+8,0),0)</f>
        <v>0</v>
      </c>
      <c r="AI755">
        <f>IFERROR(VLOOKUP("934-012000-200",B:AB,26+8,0),0)</f>
        <v>0</v>
      </c>
      <c r="AJ755">
        <f>IFERROR(VLOOKUP("934-012000-200",B:AB,27+8,0),0)</f>
        <v>0</v>
      </c>
      <c r="AK755">
        <f>IFERROR(VLOOKUP("934-012000-200",B:AB,28+8,0),0)</f>
        <v>0</v>
      </c>
      <c r="AL755">
        <f>IFERROR(VLOOKUP("934-012000-200",B:AB,29+8,0),0)</f>
        <v>0</v>
      </c>
      <c r="AM755">
        <f>IFERROR(VLOOKUP("934-012000-200",B:AB,30+8,0),0)</f>
        <v>0</v>
      </c>
      <c r="AN755">
        <f>IFERROR(VLOOKUP("934-012000-200",B:AB,31+8,0),0)</f>
        <v>0</v>
      </c>
      <c r="AO755">
        <f>SUN(INDIRECT(ADDRESS(754,8)):INDIRECT(ADDRESS(754,39)))</f>
        <v>0</v>
      </c>
    </row>
    <row r="756" spans="1:41">
      <c r="H756" t="s">
        <v>179</v>
      </c>
      <c r="J756">
        <f>INDIRECT(ADDRESS(756,9))+INDIRECT(ADDRESS(754,10))-INDIRECT(ADDRESS(755,10))</f>
        <v>0</v>
      </c>
      <c r="K756">
        <f>INDIRECT(ADDRESS(756,10))+INDIRECT(ADDRESS(754,11))-INDIRECT(ADDRESS(755,11))</f>
        <v>0</v>
      </c>
      <c r="L756">
        <f>INDIRECT(ADDRESS(756,11))+INDIRECT(ADDRESS(754,12))-INDIRECT(ADDRESS(755,12))</f>
        <v>0</v>
      </c>
      <c r="M756">
        <f>INDIRECT(ADDRESS(756,12))+INDIRECT(ADDRESS(754,13))-INDIRECT(ADDRESS(755,13))</f>
        <v>0</v>
      </c>
      <c r="N756">
        <f>INDIRECT(ADDRESS(756,13))+INDIRECT(ADDRESS(754,14))-INDIRECT(ADDRESS(755,14))</f>
        <v>0</v>
      </c>
      <c r="O756">
        <f>INDIRECT(ADDRESS(756,14))+INDIRECT(ADDRESS(754,15))-INDIRECT(ADDRESS(755,15))</f>
        <v>0</v>
      </c>
      <c r="P756">
        <f>INDIRECT(ADDRESS(756,15))+INDIRECT(ADDRESS(754,16))-INDIRECT(ADDRESS(755,16))</f>
        <v>0</v>
      </c>
      <c r="Q756">
        <f>INDIRECT(ADDRESS(756,16))+INDIRECT(ADDRESS(754,17))-INDIRECT(ADDRESS(755,17))</f>
        <v>0</v>
      </c>
      <c r="R756">
        <f>INDIRECT(ADDRESS(756,17))+INDIRECT(ADDRESS(754,18))-INDIRECT(ADDRESS(755,18))</f>
        <v>0</v>
      </c>
      <c r="S756">
        <f>INDIRECT(ADDRESS(756,18))+INDIRECT(ADDRESS(754,19))-INDIRECT(ADDRESS(755,19))</f>
        <v>0</v>
      </c>
      <c r="T756">
        <f>INDIRECT(ADDRESS(756,19))+INDIRECT(ADDRESS(754,20))-INDIRECT(ADDRESS(755,20))</f>
        <v>0</v>
      </c>
      <c r="U756">
        <f>INDIRECT(ADDRESS(756,20))+INDIRECT(ADDRESS(754,21))-INDIRECT(ADDRESS(755,21))</f>
        <v>0</v>
      </c>
      <c r="V756">
        <f>INDIRECT(ADDRESS(756,21))+INDIRECT(ADDRESS(754,22))-INDIRECT(ADDRESS(755,22))</f>
        <v>0</v>
      </c>
      <c r="W756">
        <f>INDIRECT(ADDRESS(756,22))+INDIRECT(ADDRESS(754,23))-INDIRECT(ADDRESS(755,23))</f>
        <v>0</v>
      </c>
      <c r="X756">
        <f>INDIRECT(ADDRESS(756,23))+INDIRECT(ADDRESS(754,24))-INDIRECT(ADDRESS(755,24))</f>
        <v>0</v>
      </c>
      <c r="Y756">
        <f>INDIRECT(ADDRESS(756,24))+INDIRECT(ADDRESS(754,25))-INDIRECT(ADDRESS(755,25))</f>
        <v>0</v>
      </c>
      <c r="Z756">
        <f>INDIRECT(ADDRESS(756,25))+INDIRECT(ADDRESS(754,26))-INDIRECT(ADDRESS(755,26))</f>
        <v>0</v>
      </c>
      <c r="AA756">
        <f>INDIRECT(ADDRESS(756,26))+INDIRECT(ADDRESS(754,27))-INDIRECT(ADDRESS(755,27))</f>
        <v>0</v>
      </c>
      <c r="AB756">
        <f>INDIRECT(ADDRESS(756,27))+INDIRECT(ADDRESS(754,28))-INDIRECT(ADDRESS(755,28))</f>
        <v>0</v>
      </c>
      <c r="AC756">
        <f>INDIRECT(ADDRESS(756,28))+INDIRECT(ADDRESS(754,29))-INDIRECT(ADDRESS(755,29))</f>
        <v>0</v>
      </c>
      <c r="AD756">
        <f>INDIRECT(ADDRESS(756,29))+INDIRECT(ADDRESS(754,30))-INDIRECT(ADDRESS(755,30))</f>
        <v>0</v>
      </c>
      <c r="AE756">
        <f>INDIRECT(ADDRESS(756,30))+INDIRECT(ADDRESS(754,31))-INDIRECT(ADDRESS(755,31))</f>
        <v>0</v>
      </c>
      <c r="AF756">
        <f>INDIRECT(ADDRESS(756,31))+INDIRECT(ADDRESS(754,32))-INDIRECT(ADDRESS(755,32))</f>
        <v>0</v>
      </c>
      <c r="AG756">
        <f>INDIRECT(ADDRESS(756,32))+INDIRECT(ADDRESS(754,33))-INDIRECT(ADDRESS(755,33))</f>
        <v>0</v>
      </c>
      <c r="AH756">
        <f>INDIRECT(ADDRESS(756,33))+INDIRECT(ADDRESS(754,34))-INDIRECT(ADDRESS(755,34))</f>
        <v>0</v>
      </c>
      <c r="AI756">
        <f>INDIRECT(ADDRESS(756,34))+INDIRECT(ADDRESS(754,35))-INDIRECT(ADDRESS(755,35))</f>
        <v>0</v>
      </c>
      <c r="AJ756">
        <f>INDIRECT(ADDRESS(756,35))+INDIRECT(ADDRESS(754,36))-INDIRECT(ADDRESS(755,36))</f>
        <v>0</v>
      </c>
      <c r="AK756">
        <f>INDIRECT(ADDRESS(756,36))+INDIRECT(ADDRESS(754,37))-INDIRECT(ADDRESS(755,37))</f>
        <v>0</v>
      </c>
      <c r="AL756">
        <f>INDIRECT(ADDRESS(756,37))+INDIRECT(ADDRESS(754,38))-INDIRECT(ADDRESS(755,38))</f>
        <v>0</v>
      </c>
      <c r="AM756">
        <f>INDIRECT(ADDRESS(756,38))+INDIRECT(ADDRESS(754,39))-INDIRECT(ADDRESS(755,39))</f>
        <v>0</v>
      </c>
      <c r="AN756">
        <f>INDIRECT(ADDRESS(756,39))+INDIRECT(ADDRESS(754,40))-INDIRECT(ADDRESS(755,40))</f>
        <v>0</v>
      </c>
      <c r="AO756">
        <f>SUM(INDIRECT(ADDRESS(755,8)):INDIRECT(ADDRESS(755,39)))</f>
        <v>0</v>
      </c>
    </row>
    <row r="757" spans="1:41">
      <c r="A757" t="s">
        <v>185</v>
      </c>
      <c r="B757" t="s">
        <v>437</v>
      </c>
      <c r="C757" t="s">
        <v>438</v>
      </c>
      <c r="E757">
        <v>1</v>
      </c>
      <c r="I757" t="s">
        <v>177</v>
      </c>
    </row>
    <row r="758" spans="1:41">
      <c r="I758" t="s">
        <v>178</v>
      </c>
      <c r="J758">
        <f>IFERROR(VLOOKUP("934-012000-200",B:AB,1+8,0),0)</f>
        <v>0</v>
      </c>
      <c r="K758">
        <f>IFERROR(VLOOKUP("934-012000-200",B:AB,2+8,0),0)</f>
        <v>0</v>
      </c>
      <c r="L758">
        <f>IFERROR(VLOOKUP("934-012000-200",B:AB,3+8,0),0)</f>
        <v>0</v>
      </c>
      <c r="M758">
        <f>IFERROR(VLOOKUP("934-012000-200",B:AB,4+8,0),0)</f>
        <v>0</v>
      </c>
      <c r="N758">
        <f>IFERROR(VLOOKUP("934-012000-200",B:AB,5+8,0),0)</f>
        <v>0</v>
      </c>
      <c r="O758">
        <f>IFERROR(VLOOKUP("934-012000-200",B:AB,6+8,0),0)</f>
        <v>0</v>
      </c>
      <c r="P758">
        <f>IFERROR(VLOOKUP("934-012000-200",B:AB,7+8,0),0)</f>
        <v>0</v>
      </c>
      <c r="Q758">
        <f>IFERROR(VLOOKUP("934-012000-200",B:AB,8+8,0),0)</f>
        <v>0</v>
      </c>
      <c r="R758">
        <f>IFERROR(VLOOKUP("934-012000-200",B:AB,9+8,0),0)</f>
        <v>0</v>
      </c>
      <c r="S758">
        <f>IFERROR(VLOOKUP("934-012000-200",B:AB,10+8,0),0)</f>
        <v>0</v>
      </c>
      <c r="T758">
        <f>IFERROR(VLOOKUP("934-012000-200",B:AB,11+8,0),0)</f>
        <v>0</v>
      </c>
      <c r="U758">
        <f>IFERROR(VLOOKUP("934-012000-200",B:AB,12+8,0),0)</f>
        <v>0</v>
      </c>
      <c r="V758">
        <f>IFERROR(VLOOKUP("934-012000-200",B:AB,13+8,0),0)</f>
        <v>0</v>
      </c>
      <c r="W758">
        <f>IFERROR(VLOOKUP("934-012000-200",B:AB,14+8,0),0)</f>
        <v>0</v>
      </c>
      <c r="X758">
        <f>IFERROR(VLOOKUP("934-012000-200",B:AB,15+8,0),0)</f>
        <v>0</v>
      </c>
      <c r="Y758">
        <f>IFERROR(VLOOKUP("934-012000-200",B:AB,16+8,0),0)</f>
        <v>0</v>
      </c>
      <c r="Z758">
        <f>IFERROR(VLOOKUP("934-012000-200",B:AB,17+8,0),0)</f>
        <v>0</v>
      </c>
      <c r="AA758">
        <f>IFERROR(VLOOKUP("934-012000-200",B:AB,18+8,0),0)</f>
        <v>0</v>
      </c>
      <c r="AB758">
        <f>IFERROR(VLOOKUP("934-012000-200",B:AB,19+8,0),0)</f>
        <v>0</v>
      </c>
      <c r="AC758">
        <f>IFERROR(VLOOKUP("934-012000-200",B:AB,20+8,0),0)</f>
        <v>0</v>
      </c>
      <c r="AD758">
        <f>IFERROR(VLOOKUP("934-012000-200",B:AB,21+8,0),0)</f>
        <v>0</v>
      </c>
      <c r="AE758">
        <f>IFERROR(VLOOKUP("934-012000-200",B:AB,22+8,0),0)</f>
        <v>0</v>
      </c>
      <c r="AF758">
        <f>IFERROR(VLOOKUP("934-012000-200",B:AB,23+8,0),0)</f>
        <v>0</v>
      </c>
      <c r="AG758">
        <f>IFERROR(VLOOKUP("934-012000-200",B:AB,24+8,0),0)</f>
        <v>0</v>
      </c>
      <c r="AH758">
        <f>IFERROR(VLOOKUP("934-012000-200",B:AB,25+8,0),0)</f>
        <v>0</v>
      </c>
      <c r="AI758">
        <f>IFERROR(VLOOKUP("934-012000-200",B:AB,26+8,0),0)</f>
        <v>0</v>
      </c>
      <c r="AJ758">
        <f>IFERROR(VLOOKUP("934-012000-200",B:AB,27+8,0),0)</f>
        <v>0</v>
      </c>
      <c r="AK758">
        <f>IFERROR(VLOOKUP("934-012000-200",B:AB,28+8,0),0)</f>
        <v>0</v>
      </c>
      <c r="AL758">
        <f>IFERROR(VLOOKUP("934-012000-200",B:AB,29+8,0),0)</f>
        <v>0</v>
      </c>
      <c r="AM758">
        <f>IFERROR(VLOOKUP("934-012000-200",B:AB,30+8,0),0)</f>
        <v>0</v>
      </c>
      <c r="AN758">
        <f>IFERROR(VLOOKUP("934-012000-200",B:AB,31+8,0),0)</f>
        <v>0</v>
      </c>
      <c r="AO758">
        <f>SUN(INDIRECT(ADDRESS(757,8)):INDIRECT(ADDRESS(757,39)))</f>
        <v>0</v>
      </c>
    </row>
    <row r="759" spans="1:41">
      <c r="H759" t="s">
        <v>179</v>
      </c>
      <c r="J759">
        <f>INDIRECT(ADDRESS(759,9))+INDIRECT(ADDRESS(757,10))-INDIRECT(ADDRESS(758,10))</f>
        <v>0</v>
      </c>
      <c r="K759">
        <f>INDIRECT(ADDRESS(759,10))+INDIRECT(ADDRESS(757,11))-INDIRECT(ADDRESS(758,11))</f>
        <v>0</v>
      </c>
      <c r="L759">
        <f>INDIRECT(ADDRESS(759,11))+INDIRECT(ADDRESS(757,12))-INDIRECT(ADDRESS(758,12))</f>
        <v>0</v>
      </c>
      <c r="M759">
        <f>INDIRECT(ADDRESS(759,12))+INDIRECT(ADDRESS(757,13))-INDIRECT(ADDRESS(758,13))</f>
        <v>0</v>
      </c>
      <c r="N759">
        <f>INDIRECT(ADDRESS(759,13))+INDIRECT(ADDRESS(757,14))-INDIRECT(ADDRESS(758,14))</f>
        <v>0</v>
      </c>
      <c r="O759">
        <f>INDIRECT(ADDRESS(759,14))+INDIRECT(ADDRESS(757,15))-INDIRECT(ADDRESS(758,15))</f>
        <v>0</v>
      </c>
      <c r="P759">
        <f>INDIRECT(ADDRESS(759,15))+INDIRECT(ADDRESS(757,16))-INDIRECT(ADDRESS(758,16))</f>
        <v>0</v>
      </c>
      <c r="Q759">
        <f>INDIRECT(ADDRESS(759,16))+INDIRECT(ADDRESS(757,17))-INDIRECT(ADDRESS(758,17))</f>
        <v>0</v>
      </c>
      <c r="R759">
        <f>INDIRECT(ADDRESS(759,17))+INDIRECT(ADDRESS(757,18))-INDIRECT(ADDRESS(758,18))</f>
        <v>0</v>
      </c>
      <c r="S759">
        <f>INDIRECT(ADDRESS(759,18))+INDIRECT(ADDRESS(757,19))-INDIRECT(ADDRESS(758,19))</f>
        <v>0</v>
      </c>
      <c r="T759">
        <f>INDIRECT(ADDRESS(759,19))+INDIRECT(ADDRESS(757,20))-INDIRECT(ADDRESS(758,20))</f>
        <v>0</v>
      </c>
      <c r="U759">
        <f>INDIRECT(ADDRESS(759,20))+INDIRECT(ADDRESS(757,21))-INDIRECT(ADDRESS(758,21))</f>
        <v>0</v>
      </c>
      <c r="V759">
        <f>INDIRECT(ADDRESS(759,21))+INDIRECT(ADDRESS(757,22))-INDIRECT(ADDRESS(758,22))</f>
        <v>0</v>
      </c>
      <c r="W759">
        <f>INDIRECT(ADDRESS(759,22))+INDIRECT(ADDRESS(757,23))-INDIRECT(ADDRESS(758,23))</f>
        <v>0</v>
      </c>
      <c r="X759">
        <f>INDIRECT(ADDRESS(759,23))+INDIRECT(ADDRESS(757,24))-INDIRECT(ADDRESS(758,24))</f>
        <v>0</v>
      </c>
      <c r="Y759">
        <f>INDIRECT(ADDRESS(759,24))+INDIRECT(ADDRESS(757,25))-INDIRECT(ADDRESS(758,25))</f>
        <v>0</v>
      </c>
      <c r="Z759">
        <f>INDIRECT(ADDRESS(759,25))+INDIRECT(ADDRESS(757,26))-INDIRECT(ADDRESS(758,26))</f>
        <v>0</v>
      </c>
      <c r="AA759">
        <f>INDIRECT(ADDRESS(759,26))+INDIRECT(ADDRESS(757,27))-INDIRECT(ADDRESS(758,27))</f>
        <v>0</v>
      </c>
      <c r="AB759">
        <f>INDIRECT(ADDRESS(759,27))+INDIRECT(ADDRESS(757,28))-INDIRECT(ADDRESS(758,28))</f>
        <v>0</v>
      </c>
      <c r="AC759">
        <f>INDIRECT(ADDRESS(759,28))+INDIRECT(ADDRESS(757,29))-INDIRECT(ADDRESS(758,29))</f>
        <v>0</v>
      </c>
      <c r="AD759">
        <f>INDIRECT(ADDRESS(759,29))+INDIRECT(ADDRESS(757,30))-INDIRECT(ADDRESS(758,30))</f>
        <v>0</v>
      </c>
      <c r="AE759">
        <f>INDIRECT(ADDRESS(759,30))+INDIRECT(ADDRESS(757,31))-INDIRECT(ADDRESS(758,31))</f>
        <v>0</v>
      </c>
      <c r="AF759">
        <f>INDIRECT(ADDRESS(759,31))+INDIRECT(ADDRESS(757,32))-INDIRECT(ADDRESS(758,32))</f>
        <v>0</v>
      </c>
      <c r="AG759">
        <f>INDIRECT(ADDRESS(759,32))+INDIRECT(ADDRESS(757,33))-INDIRECT(ADDRESS(758,33))</f>
        <v>0</v>
      </c>
      <c r="AH759">
        <f>INDIRECT(ADDRESS(759,33))+INDIRECT(ADDRESS(757,34))-INDIRECT(ADDRESS(758,34))</f>
        <v>0</v>
      </c>
      <c r="AI759">
        <f>INDIRECT(ADDRESS(759,34))+INDIRECT(ADDRESS(757,35))-INDIRECT(ADDRESS(758,35))</f>
        <v>0</v>
      </c>
      <c r="AJ759">
        <f>INDIRECT(ADDRESS(759,35))+INDIRECT(ADDRESS(757,36))-INDIRECT(ADDRESS(758,36))</f>
        <v>0</v>
      </c>
      <c r="AK759">
        <f>INDIRECT(ADDRESS(759,36))+INDIRECT(ADDRESS(757,37))-INDIRECT(ADDRESS(758,37))</f>
        <v>0</v>
      </c>
      <c r="AL759">
        <f>INDIRECT(ADDRESS(759,37))+INDIRECT(ADDRESS(757,38))-INDIRECT(ADDRESS(758,38))</f>
        <v>0</v>
      </c>
      <c r="AM759">
        <f>INDIRECT(ADDRESS(759,38))+INDIRECT(ADDRESS(757,39))-INDIRECT(ADDRESS(758,39))</f>
        <v>0</v>
      </c>
      <c r="AN759">
        <f>INDIRECT(ADDRESS(759,39))+INDIRECT(ADDRESS(757,40))-INDIRECT(ADDRESS(758,40))</f>
        <v>0</v>
      </c>
      <c r="AO759">
        <f>SUM(INDIRECT(ADDRESS(758,8)):INDIRECT(ADDRESS(758,39)))</f>
        <v>0</v>
      </c>
    </row>
    <row r="760" spans="1:41">
      <c r="A760" t="s">
        <v>238</v>
      </c>
      <c r="B760" t="s">
        <v>439</v>
      </c>
      <c r="C760" t="s">
        <v>440</v>
      </c>
      <c r="E760">
        <v>0.02</v>
      </c>
      <c r="I760" t="s">
        <v>177</v>
      </c>
    </row>
    <row r="761" spans="1:41">
      <c r="I761" t="s">
        <v>178</v>
      </c>
      <c r="J761">
        <f>IFERROR(VLOOKUP("934-012000-200",B:AB,1+8,0),0)</f>
        <v>0</v>
      </c>
      <c r="K761">
        <f>IFERROR(VLOOKUP("934-012000-200",B:AB,2+8,0),0)</f>
        <v>0</v>
      </c>
      <c r="L761">
        <f>IFERROR(VLOOKUP("934-012000-200",B:AB,3+8,0),0)</f>
        <v>0</v>
      </c>
      <c r="M761">
        <f>IFERROR(VLOOKUP("934-012000-200",B:AB,4+8,0),0)</f>
        <v>0</v>
      </c>
      <c r="N761">
        <f>IFERROR(VLOOKUP("934-012000-200",B:AB,5+8,0),0)</f>
        <v>0</v>
      </c>
      <c r="O761">
        <f>IFERROR(VLOOKUP("934-012000-200",B:AB,6+8,0),0)</f>
        <v>0</v>
      </c>
      <c r="P761">
        <f>IFERROR(VLOOKUP("934-012000-200",B:AB,7+8,0),0)</f>
        <v>0</v>
      </c>
      <c r="Q761">
        <f>IFERROR(VLOOKUP("934-012000-200",B:AB,8+8,0),0)</f>
        <v>0</v>
      </c>
      <c r="R761">
        <f>IFERROR(VLOOKUP("934-012000-200",B:AB,9+8,0),0)</f>
        <v>0</v>
      </c>
      <c r="S761">
        <f>IFERROR(VLOOKUP("934-012000-200",B:AB,10+8,0),0)</f>
        <v>0</v>
      </c>
      <c r="T761">
        <f>IFERROR(VLOOKUP("934-012000-200",B:AB,11+8,0),0)</f>
        <v>0</v>
      </c>
      <c r="U761">
        <f>IFERROR(VLOOKUP("934-012000-200",B:AB,12+8,0),0)</f>
        <v>0</v>
      </c>
      <c r="V761">
        <f>IFERROR(VLOOKUP("934-012000-200",B:AB,13+8,0),0)</f>
        <v>0</v>
      </c>
      <c r="W761">
        <f>IFERROR(VLOOKUP("934-012000-200",B:AB,14+8,0),0)</f>
        <v>0</v>
      </c>
      <c r="X761">
        <f>IFERROR(VLOOKUP("934-012000-200",B:AB,15+8,0),0)</f>
        <v>0</v>
      </c>
      <c r="Y761">
        <f>IFERROR(VLOOKUP("934-012000-200",B:AB,16+8,0),0)</f>
        <v>0</v>
      </c>
      <c r="Z761">
        <f>IFERROR(VLOOKUP("934-012000-200",B:AB,17+8,0),0)</f>
        <v>0</v>
      </c>
      <c r="AA761">
        <f>IFERROR(VLOOKUP("934-012000-200",B:AB,18+8,0),0)</f>
        <v>0</v>
      </c>
      <c r="AB761">
        <f>IFERROR(VLOOKUP("934-012000-200",B:AB,19+8,0),0)</f>
        <v>0</v>
      </c>
      <c r="AC761">
        <f>IFERROR(VLOOKUP("934-012000-200",B:AB,20+8,0),0)</f>
        <v>0</v>
      </c>
      <c r="AD761">
        <f>IFERROR(VLOOKUP("934-012000-200",B:AB,21+8,0),0)</f>
        <v>0</v>
      </c>
      <c r="AE761">
        <f>IFERROR(VLOOKUP("934-012000-200",B:AB,22+8,0),0)</f>
        <v>0</v>
      </c>
      <c r="AF761">
        <f>IFERROR(VLOOKUP("934-012000-200",B:AB,23+8,0),0)</f>
        <v>0</v>
      </c>
      <c r="AG761">
        <f>IFERROR(VLOOKUP("934-012000-200",B:AB,24+8,0),0)</f>
        <v>0</v>
      </c>
      <c r="AH761">
        <f>IFERROR(VLOOKUP("934-012000-200",B:AB,25+8,0),0)</f>
        <v>0</v>
      </c>
      <c r="AI761">
        <f>IFERROR(VLOOKUP("934-012000-200",B:AB,26+8,0),0)</f>
        <v>0</v>
      </c>
      <c r="AJ761">
        <f>IFERROR(VLOOKUP("934-012000-200",B:AB,27+8,0),0)</f>
        <v>0</v>
      </c>
      <c r="AK761">
        <f>IFERROR(VLOOKUP("934-012000-200",B:AB,28+8,0),0)</f>
        <v>0</v>
      </c>
      <c r="AL761">
        <f>IFERROR(VLOOKUP("934-012000-200",B:AB,29+8,0),0)</f>
        <v>0</v>
      </c>
      <c r="AM761">
        <f>IFERROR(VLOOKUP("934-012000-200",B:AB,30+8,0),0)</f>
        <v>0</v>
      </c>
      <c r="AN761">
        <f>IFERROR(VLOOKUP("934-012000-200",B:AB,31+8,0),0)</f>
        <v>0</v>
      </c>
      <c r="AO761">
        <f>SUN(INDIRECT(ADDRESS(760,8)):INDIRECT(ADDRESS(760,39)))</f>
        <v>0</v>
      </c>
    </row>
    <row r="762" spans="1:41">
      <c r="H762" t="s">
        <v>179</v>
      </c>
      <c r="J762">
        <f>INDIRECT(ADDRESS(762,9))+INDIRECT(ADDRESS(760,10))-INDIRECT(ADDRESS(761,10))</f>
        <v>0</v>
      </c>
      <c r="K762">
        <f>INDIRECT(ADDRESS(762,10))+INDIRECT(ADDRESS(760,11))-INDIRECT(ADDRESS(761,11))</f>
        <v>0</v>
      </c>
      <c r="L762">
        <f>INDIRECT(ADDRESS(762,11))+INDIRECT(ADDRESS(760,12))-INDIRECT(ADDRESS(761,12))</f>
        <v>0</v>
      </c>
      <c r="M762">
        <f>INDIRECT(ADDRESS(762,12))+INDIRECT(ADDRESS(760,13))-INDIRECT(ADDRESS(761,13))</f>
        <v>0</v>
      </c>
      <c r="N762">
        <f>INDIRECT(ADDRESS(762,13))+INDIRECT(ADDRESS(760,14))-INDIRECT(ADDRESS(761,14))</f>
        <v>0</v>
      </c>
      <c r="O762">
        <f>INDIRECT(ADDRESS(762,14))+INDIRECT(ADDRESS(760,15))-INDIRECT(ADDRESS(761,15))</f>
        <v>0</v>
      </c>
      <c r="P762">
        <f>INDIRECT(ADDRESS(762,15))+INDIRECT(ADDRESS(760,16))-INDIRECT(ADDRESS(761,16))</f>
        <v>0</v>
      </c>
      <c r="Q762">
        <f>INDIRECT(ADDRESS(762,16))+INDIRECT(ADDRESS(760,17))-INDIRECT(ADDRESS(761,17))</f>
        <v>0</v>
      </c>
      <c r="R762">
        <f>INDIRECT(ADDRESS(762,17))+INDIRECT(ADDRESS(760,18))-INDIRECT(ADDRESS(761,18))</f>
        <v>0</v>
      </c>
      <c r="S762">
        <f>INDIRECT(ADDRESS(762,18))+INDIRECT(ADDRESS(760,19))-INDIRECT(ADDRESS(761,19))</f>
        <v>0</v>
      </c>
      <c r="T762">
        <f>INDIRECT(ADDRESS(762,19))+INDIRECT(ADDRESS(760,20))-INDIRECT(ADDRESS(761,20))</f>
        <v>0</v>
      </c>
      <c r="U762">
        <f>INDIRECT(ADDRESS(762,20))+INDIRECT(ADDRESS(760,21))-INDIRECT(ADDRESS(761,21))</f>
        <v>0</v>
      </c>
      <c r="V762">
        <f>INDIRECT(ADDRESS(762,21))+INDIRECT(ADDRESS(760,22))-INDIRECT(ADDRESS(761,22))</f>
        <v>0</v>
      </c>
      <c r="W762">
        <f>INDIRECT(ADDRESS(762,22))+INDIRECT(ADDRESS(760,23))-INDIRECT(ADDRESS(761,23))</f>
        <v>0</v>
      </c>
      <c r="X762">
        <f>INDIRECT(ADDRESS(762,23))+INDIRECT(ADDRESS(760,24))-INDIRECT(ADDRESS(761,24))</f>
        <v>0</v>
      </c>
      <c r="Y762">
        <f>INDIRECT(ADDRESS(762,24))+INDIRECT(ADDRESS(760,25))-INDIRECT(ADDRESS(761,25))</f>
        <v>0</v>
      </c>
      <c r="Z762">
        <f>INDIRECT(ADDRESS(762,25))+INDIRECT(ADDRESS(760,26))-INDIRECT(ADDRESS(761,26))</f>
        <v>0</v>
      </c>
      <c r="AA762">
        <f>INDIRECT(ADDRESS(762,26))+INDIRECT(ADDRESS(760,27))-INDIRECT(ADDRESS(761,27))</f>
        <v>0</v>
      </c>
      <c r="AB762">
        <f>INDIRECT(ADDRESS(762,27))+INDIRECT(ADDRESS(760,28))-INDIRECT(ADDRESS(761,28))</f>
        <v>0</v>
      </c>
      <c r="AC762">
        <f>INDIRECT(ADDRESS(762,28))+INDIRECT(ADDRESS(760,29))-INDIRECT(ADDRESS(761,29))</f>
        <v>0</v>
      </c>
      <c r="AD762">
        <f>INDIRECT(ADDRESS(762,29))+INDIRECT(ADDRESS(760,30))-INDIRECT(ADDRESS(761,30))</f>
        <v>0</v>
      </c>
      <c r="AE762">
        <f>INDIRECT(ADDRESS(762,30))+INDIRECT(ADDRESS(760,31))-INDIRECT(ADDRESS(761,31))</f>
        <v>0</v>
      </c>
      <c r="AF762">
        <f>INDIRECT(ADDRESS(762,31))+INDIRECT(ADDRESS(760,32))-INDIRECT(ADDRESS(761,32))</f>
        <v>0</v>
      </c>
      <c r="AG762">
        <f>INDIRECT(ADDRESS(762,32))+INDIRECT(ADDRESS(760,33))-INDIRECT(ADDRESS(761,33))</f>
        <v>0</v>
      </c>
      <c r="AH762">
        <f>INDIRECT(ADDRESS(762,33))+INDIRECT(ADDRESS(760,34))-INDIRECT(ADDRESS(761,34))</f>
        <v>0</v>
      </c>
      <c r="AI762">
        <f>INDIRECT(ADDRESS(762,34))+INDIRECT(ADDRESS(760,35))-INDIRECT(ADDRESS(761,35))</f>
        <v>0</v>
      </c>
      <c r="AJ762">
        <f>INDIRECT(ADDRESS(762,35))+INDIRECT(ADDRESS(760,36))-INDIRECT(ADDRESS(761,36))</f>
        <v>0</v>
      </c>
      <c r="AK762">
        <f>INDIRECT(ADDRESS(762,36))+INDIRECT(ADDRESS(760,37))-INDIRECT(ADDRESS(761,37))</f>
        <v>0</v>
      </c>
      <c r="AL762">
        <f>INDIRECT(ADDRESS(762,37))+INDIRECT(ADDRESS(760,38))-INDIRECT(ADDRESS(761,38))</f>
        <v>0</v>
      </c>
      <c r="AM762">
        <f>INDIRECT(ADDRESS(762,38))+INDIRECT(ADDRESS(760,39))-INDIRECT(ADDRESS(761,39))</f>
        <v>0</v>
      </c>
      <c r="AN762">
        <f>INDIRECT(ADDRESS(762,39))+INDIRECT(ADDRESS(760,40))-INDIRECT(ADDRESS(761,40))</f>
        <v>0</v>
      </c>
      <c r="AO762">
        <f>SUM(INDIRECT(ADDRESS(761,8)):INDIRECT(ADDRESS(761,39)))</f>
        <v>0</v>
      </c>
    </row>
    <row r="763" spans="1:41">
      <c r="A763" t="s">
        <v>206</v>
      </c>
      <c r="B763" t="s">
        <v>441</v>
      </c>
      <c r="C763" t="s">
        <v>442</v>
      </c>
      <c r="E763">
        <v>0.02</v>
      </c>
      <c r="I763" t="s">
        <v>177</v>
      </c>
    </row>
    <row r="764" spans="1:41">
      <c r="I764" t="s">
        <v>178</v>
      </c>
      <c r="J764">
        <f>IFERROR(VLOOKUP("934-012000-200",B:AB,1+8,0),0)</f>
        <v>0</v>
      </c>
      <c r="K764">
        <f>IFERROR(VLOOKUP("934-012000-200",B:AB,2+8,0),0)</f>
        <v>0</v>
      </c>
      <c r="L764">
        <f>IFERROR(VLOOKUP("934-012000-200",B:AB,3+8,0),0)</f>
        <v>0</v>
      </c>
      <c r="M764">
        <f>IFERROR(VLOOKUP("934-012000-200",B:AB,4+8,0),0)</f>
        <v>0</v>
      </c>
      <c r="N764">
        <f>IFERROR(VLOOKUP("934-012000-200",B:AB,5+8,0),0)</f>
        <v>0</v>
      </c>
      <c r="O764">
        <f>IFERROR(VLOOKUP("934-012000-200",B:AB,6+8,0),0)</f>
        <v>0</v>
      </c>
      <c r="P764">
        <f>IFERROR(VLOOKUP("934-012000-200",B:AB,7+8,0),0)</f>
        <v>0</v>
      </c>
      <c r="Q764">
        <f>IFERROR(VLOOKUP("934-012000-200",B:AB,8+8,0),0)</f>
        <v>0</v>
      </c>
      <c r="R764">
        <f>IFERROR(VLOOKUP("934-012000-200",B:AB,9+8,0),0)</f>
        <v>0</v>
      </c>
      <c r="S764">
        <f>IFERROR(VLOOKUP("934-012000-200",B:AB,10+8,0),0)</f>
        <v>0</v>
      </c>
      <c r="T764">
        <f>IFERROR(VLOOKUP("934-012000-200",B:AB,11+8,0),0)</f>
        <v>0</v>
      </c>
      <c r="U764">
        <f>IFERROR(VLOOKUP("934-012000-200",B:AB,12+8,0),0)</f>
        <v>0</v>
      </c>
      <c r="V764">
        <f>IFERROR(VLOOKUP("934-012000-200",B:AB,13+8,0),0)</f>
        <v>0</v>
      </c>
      <c r="W764">
        <f>IFERROR(VLOOKUP("934-012000-200",B:AB,14+8,0),0)</f>
        <v>0</v>
      </c>
      <c r="X764">
        <f>IFERROR(VLOOKUP("934-012000-200",B:AB,15+8,0),0)</f>
        <v>0</v>
      </c>
      <c r="Y764">
        <f>IFERROR(VLOOKUP("934-012000-200",B:AB,16+8,0),0)</f>
        <v>0</v>
      </c>
      <c r="Z764">
        <f>IFERROR(VLOOKUP("934-012000-200",B:AB,17+8,0),0)</f>
        <v>0</v>
      </c>
      <c r="AA764">
        <f>IFERROR(VLOOKUP("934-012000-200",B:AB,18+8,0),0)</f>
        <v>0</v>
      </c>
      <c r="AB764">
        <f>IFERROR(VLOOKUP("934-012000-200",B:AB,19+8,0),0)</f>
        <v>0</v>
      </c>
      <c r="AC764">
        <f>IFERROR(VLOOKUP("934-012000-200",B:AB,20+8,0),0)</f>
        <v>0</v>
      </c>
      <c r="AD764">
        <f>IFERROR(VLOOKUP("934-012000-200",B:AB,21+8,0),0)</f>
        <v>0</v>
      </c>
      <c r="AE764">
        <f>IFERROR(VLOOKUP("934-012000-200",B:AB,22+8,0),0)</f>
        <v>0</v>
      </c>
      <c r="AF764">
        <f>IFERROR(VLOOKUP("934-012000-200",B:AB,23+8,0),0)</f>
        <v>0</v>
      </c>
      <c r="AG764">
        <f>IFERROR(VLOOKUP("934-012000-200",B:AB,24+8,0),0)</f>
        <v>0</v>
      </c>
      <c r="AH764">
        <f>IFERROR(VLOOKUP("934-012000-200",B:AB,25+8,0),0)</f>
        <v>0</v>
      </c>
      <c r="AI764">
        <f>IFERROR(VLOOKUP("934-012000-200",B:AB,26+8,0),0)</f>
        <v>0</v>
      </c>
      <c r="AJ764">
        <f>IFERROR(VLOOKUP("934-012000-200",B:AB,27+8,0),0)</f>
        <v>0</v>
      </c>
      <c r="AK764">
        <f>IFERROR(VLOOKUP("934-012000-200",B:AB,28+8,0),0)</f>
        <v>0</v>
      </c>
      <c r="AL764">
        <f>IFERROR(VLOOKUP("934-012000-200",B:AB,29+8,0),0)</f>
        <v>0</v>
      </c>
      <c r="AM764">
        <f>IFERROR(VLOOKUP("934-012000-200",B:AB,30+8,0),0)</f>
        <v>0</v>
      </c>
      <c r="AN764">
        <f>IFERROR(VLOOKUP("934-012000-200",B:AB,31+8,0),0)</f>
        <v>0</v>
      </c>
      <c r="AO764">
        <f>SUN(INDIRECT(ADDRESS(763,8)):INDIRECT(ADDRESS(763,39)))</f>
        <v>0</v>
      </c>
    </row>
    <row r="765" spans="1:41">
      <c r="H765" t="s">
        <v>179</v>
      </c>
      <c r="J765">
        <f>INDIRECT(ADDRESS(765,9))+INDIRECT(ADDRESS(763,10))-INDIRECT(ADDRESS(764,10))</f>
        <v>0</v>
      </c>
      <c r="K765">
        <f>INDIRECT(ADDRESS(765,10))+INDIRECT(ADDRESS(763,11))-INDIRECT(ADDRESS(764,11))</f>
        <v>0</v>
      </c>
      <c r="L765">
        <f>INDIRECT(ADDRESS(765,11))+INDIRECT(ADDRESS(763,12))-INDIRECT(ADDRESS(764,12))</f>
        <v>0</v>
      </c>
      <c r="M765">
        <f>INDIRECT(ADDRESS(765,12))+INDIRECT(ADDRESS(763,13))-INDIRECT(ADDRESS(764,13))</f>
        <v>0</v>
      </c>
      <c r="N765">
        <f>INDIRECT(ADDRESS(765,13))+INDIRECT(ADDRESS(763,14))-INDIRECT(ADDRESS(764,14))</f>
        <v>0</v>
      </c>
      <c r="O765">
        <f>INDIRECT(ADDRESS(765,14))+INDIRECT(ADDRESS(763,15))-INDIRECT(ADDRESS(764,15))</f>
        <v>0</v>
      </c>
      <c r="P765">
        <f>INDIRECT(ADDRESS(765,15))+INDIRECT(ADDRESS(763,16))-INDIRECT(ADDRESS(764,16))</f>
        <v>0</v>
      </c>
      <c r="Q765">
        <f>INDIRECT(ADDRESS(765,16))+INDIRECT(ADDRESS(763,17))-INDIRECT(ADDRESS(764,17))</f>
        <v>0</v>
      </c>
      <c r="R765">
        <f>INDIRECT(ADDRESS(765,17))+INDIRECT(ADDRESS(763,18))-INDIRECT(ADDRESS(764,18))</f>
        <v>0</v>
      </c>
      <c r="S765">
        <f>INDIRECT(ADDRESS(765,18))+INDIRECT(ADDRESS(763,19))-INDIRECT(ADDRESS(764,19))</f>
        <v>0</v>
      </c>
      <c r="T765">
        <f>INDIRECT(ADDRESS(765,19))+INDIRECT(ADDRESS(763,20))-INDIRECT(ADDRESS(764,20))</f>
        <v>0</v>
      </c>
      <c r="U765">
        <f>INDIRECT(ADDRESS(765,20))+INDIRECT(ADDRESS(763,21))-INDIRECT(ADDRESS(764,21))</f>
        <v>0</v>
      </c>
      <c r="V765">
        <f>INDIRECT(ADDRESS(765,21))+INDIRECT(ADDRESS(763,22))-INDIRECT(ADDRESS(764,22))</f>
        <v>0</v>
      </c>
      <c r="W765">
        <f>INDIRECT(ADDRESS(765,22))+INDIRECT(ADDRESS(763,23))-INDIRECT(ADDRESS(764,23))</f>
        <v>0</v>
      </c>
      <c r="X765">
        <f>INDIRECT(ADDRESS(765,23))+INDIRECT(ADDRESS(763,24))-INDIRECT(ADDRESS(764,24))</f>
        <v>0</v>
      </c>
      <c r="Y765">
        <f>INDIRECT(ADDRESS(765,24))+INDIRECT(ADDRESS(763,25))-INDIRECT(ADDRESS(764,25))</f>
        <v>0</v>
      </c>
      <c r="Z765">
        <f>INDIRECT(ADDRESS(765,25))+INDIRECT(ADDRESS(763,26))-INDIRECT(ADDRESS(764,26))</f>
        <v>0</v>
      </c>
      <c r="AA765">
        <f>INDIRECT(ADDRESS(765,26))+INDIRECT(ADDRESS(763,27))-INDIRECT(ADDRESS(764,27))</f>
        <v>0</v>
      </c>
      <c r="AB765">
        <f>INDIRECT(ADDRESS(765,27))+INDIRECT(ADDRESS(763,28))-INDIRECT(ADDRESS(764,28))</f>
        <v>0</v>
      </c>
      <c r="AC765">
        <f>INDIRECT(ADDRESS(765,28))+INDIRECT(ADDRESS(763,29))-INDIRECT(ADDRESS(764,29))</f>
        <v>0</v>
      </c>
      <c r="AD765">
        <f>INDIRECT(ADDRESS(765,29))+INDIRECT(ADDRESS(763,30))-INDIRECT(ADDRESS(764,30))</f>
        <v>0</v>
      </c>
      <c r="AE765">
        <f>INDIRECT(ADDRESS(765,30))+INDIRECT(ADDRESS(763,31))-INDIRECT(ADDRESS(764,31))</f>
        <v>0</v>
      </c>
      <c r="AF765">
        <f>INDIRECT(ADDRESS(765,31))+INDIRECT(ADDRESS(763,32))-INDIRECT(ADDRESS(764,32))</f>
        <v>0</v>
      </c>
      <c r="AG765">
        <f>INDIRECT(ADDRESS(765,32))+INDIRECT(ADDRESS(763,33))-INDIRECT(ADDRESS(764,33))</f>
        <v>0</v>
      </c>
      <c r="AH765">
        <f>INDIRECT(ADDRESS(765,33))+INDIRECT(ADDRESS(763,34))-INDIRECT(ADDRESS(764,34))</f>
        <v>0</v>
      </c>
      <c r="AI765">
        <f>INDIRECT(ADDRESS(765,34))+INDIRECT(ADDRESS(763,35))-INDIRECT(ADDRESS(764,35))</f>
        <v>0</v>
      </c>
      <c r="AJ765">
        <f>INDIRECT(ADDRESS(765,35))+INDIRECT(ADDRESS(763,36))-INDIRECT(ADDRESS(764,36))</f>
        <v>0</v>
      </c>
      <c r="AK765">
        <f>INDIRECT(ADDRESS(765,36))+INDIRECT(ADDRESS(763,37))-INDIRECT(ADDRESS(764,37))</f>
        <v>0</v>
      </c>
      <c r="AL765">
        <f>INDIRECT(ADDRESS(765,37))+INDIRECT(ADDRESS(763,38))-INDIRECT(ADDRESS(764,38))</f>
        <v>0</v>
      </c>
      <c r="AM765">
        <f>INDIRECT(ADDRESS(765,38))+INDIRECT(ADDRESS(763,39))-INDIRECT(ADDRESS(764,39))</f>
        <v>0</v>
      </c>
      <c r="AN765">
        <f>INDIRECT(ADDRESS(765,39))+INDIRECT(ADDRESS(763,40))-INDIRECT(ADDRESS(764,40))</f>
        <v>0</v>
      </c>
      <c r="AO765">
        <f>SUM(INDIRECT(ADDRESS(764,8)):INDIRECT(ADDRESS(764,39)))</f>
        <v>0</v>
      </c>
    </row>
    <row r="766" spans="1:41">
      <c r="A766" t="s">
        <v>8</v>
      </c>
      <c r="B766" t="s">
        <v>66</v>
      </c>
      <c r="C766" t="s">
        <v>65</v>
      </c>
      <c r="E766">
        <v>1</v>
      </c>
      <c r="I766" t="s">
        <v>177</v>
      </c>
    </row>
    <row r="767" spans="1:41">
      <c r="I767" t="s">
        <v>178</v>
      </c>
      <c r="J767">
        <f>IFERROR(VLOOKUP("934-012000-100",Out!B:AB,1+8,0),0)</f>
        <v>0</v>
      </c>
      <c r="K767">
        <f>IFERROR(VLOOKUP("934-012000-100",Out!B:AB,2+8,0),0)</f>
        <v>0</v>
      </c>
      <c r="L767">
        <f>IFERROR(VLOOKUP("934-012000-100",Out!B:AB,3+8,0),0)</f>
        <v>0</v>
      </c>
      <c r="M767">
        <f>IFERROR(VLOOKUP("934-012000-100",Out!B:AB,4+8,0),0)</f>
        <v>0</v>
      </c>
      <c r="N767">
        <f>IFERROR(VLOOKUP("934-012000-100",Out!B:AB,5+8,0),0)</f>
        <v>0</v>
      </c>
      <c r="O767">
        <f>IFERROR(VLOOKUP("934-012000-100",Out!B:AB,6+8,0),0)</f>
        <v>0</v>
      </c>
      <c r="P767">
        <f>IFERROR(VLOOKUP("934-012000-100",Out!B:AB,7+8,0),0)</f>
        <v>0</v>
      </c>
      <c r="Q767">
        <f>IFERROR(VLOOKUP("934-012000-100",Out!B:AB,8+8,0),0)</f>
        <v>0</v>
      </c>
      <c r="R767">
        <f>IFERROR(VLOOKUP("934-012000-100",Out!B:AB,9+8,0),0)</f>
        <v>0</v>
      </c>
      <c r="S767">
        <f>IFERROR(VLOOKUP("934-012000-100",Out!B:AB,10+8,0),0)</f>
        <v>0</v>
      </c>
      <c r="T767">
        <f>IFERROR(VLOOKUP("934-012000-100",Out!B:AB,11+8,0),0)</f>
        <v>0</v>
      </c>
      <c r="U767">
        <f>IFERROR(VLOOKUP("934-012000-100",Out!B:AB,12+8,0),0)</f>
        <v>0</v>
      </c>
      <c r="V767">
        <f>IFERROR(VLOOKUP("934-012000-100",Out!B:AB,13+8,0),0)</f>
        <v>0</v>
      </c>
      <c r="W767">
        <f>IFERROR(VLOOKUP("934-012000-100",Out!B:AB,14+8,0),0)</f>
        <v>0</v>
      </c>
      <c r="X767">
        <f>IFERROR(VLOOKUP("934-012000-100",Out!B:AB,15+8,0),0)</f>
        <v>0</v>
      </c>
      <c r="Y767">
        <f>IFERROR(VLOOKUP("934-012000-100",Out!B:AB,16+8,0),0)</f>
        <v>0</v>
      </c>
      <c r="Z767">
        <f>IFERROR(VLOOKUP("934-012000-100",Out!B:AB,17+8,0),0)</f>
        <v>0</v>
      </c>
      <c r="AA767">
        <f>IFERROR(VLOOKUP("934-012000-100",Out!B:AB,18+8,0),0)</f>
        <v>0</v>
      </c>
      <c r="AB767">
        <f>IFERROR(VLOOKUP("934-012000-100",Out!B:AB,19+8,0),0)</f>
        <v>0</v>
      </c>
      <c r="AC767">
        <f>IFERROR(VLOOKUP("934-012000-100",Out!B:AB,20+8,0),0)</f>
        <v>0</v>
      </c>
      <c r="AD767">
        <f>IFERROR(VLOOKUP("934-012000-100",Out!B:AB,21+8,0),0)</f>
        <v>0</v>
      </c>
      <c r="AE767">
        <f>IFERROR(VLOOKUP("934-012000-100",Out!B:AB,22+8,0),0)</f>
        <v>0</v>
      </c>
      <c r="AF767">
        <f>IFERROR(VLOOKUP("934-012000-100",Out!B:AB,23+8,0),0)</f>
        <v>0</v>
      </c>
      <c r="AG767">
        <f>IFERROR(VLOOKUP("934-012000-100",Out!B:AB,24+8,0),0)</f>
        <v>0</v>
      </c>
      <c r="AH767">
        <f>IFERROR(VLOOKUP("934-012000-100",Out!B:AB,25+8,0),0)</f>
        <v>0</v>
      </c>
      <c r="AI767">
        <f>IFERROR(VLOOKUP("934-012000-100",Out!B:AB,26+8,0),0)</f>
        <v>0</v>
      </c>
      <c r="AJ767">
        <f>IFERROR(VLOOKUP("934-012000-100",Out!B:AB,27+8,0),0)</f>
        <v>0</v>
      </c>
      <c r="AK767">
        <f>IFERROR(VLOOKUP("934-012000-100",Out!B:AB,28+8,0),0)</f>
        <v>0</v>
      </c>
      <c r="AL767">
        <f>IFERROR(VLOOKUP("934-012000-100",Out!B:AB,29+8,0),0)</f>
        <v>0</v>
      </c>
      <c r="AM767">
        <f>IFERROR(VLOOKUP("934-012000-100",Out!B:AB,30+8,0),0)</f>
        <v>0</v>
      </c>
      <c r="AN767">
        <f>IFERROR(VLOOKUP("934-012000-100",Out!B:AB,31+8,0),0)</f>
        <v>0</v>
      </c>
      <c r="AO767">
        <f>SUN(INDIRECT(ADDRESS(766,8)):INDIRECT(ADDRESS(766,39)))</f>
        <v>0</v>
      </c>
    </row>
    <row r="768" spans="1:41">
      <c r="H768" t="s">
        <v>179</v>
      </c>
      <c r="J768">
        <f>INDIRECT(ADDRESS(768,9))+INDIRECT(ADDRESS(766,10))-INDIRECT(ADDRESS(767,10))</f>
        <v>0</v>
      </c>
      <c r="K768">
        <f>INDIRECT(ADDRESS(768,10))+INDIRECT(ADDRESS(766,11))-INDIRECT(ADDRESS(767,11))</f>
        <v>0</v>
      </c>
      <c r="L768">
        <f>INDIRECT(ADDRESS(768,11))+INDIRECT(ADDRESS(766,12))-INDIRECT(ADDRESS(767,12))</f>
        <v>0</v>
      </c>
      <c r="M768">
        <f>INDIRECT(ADDRESS(768,12))+INDIRECT(ADDRESS(766,13))-INDIRECT(ADDRESS(767,13))</f>
        <v>0</v>
      </c>
      <c r="N768">
        <f>INDIRECT(ADDRESS(768,13))+INDIRECT(ADDRESS(766,14))-INDIRECT(ADDRESS(767,14))</f>
        <v>0</v>
      </c>
      <c r="O768">
        <f>INDIRECT(ADDRESS(768,14))+INDIRECT(ADDRESS(766,15))-INDIRECT(ADDRESS(767,15))</f>
        <v>0</v>
      </c>
      <c r="P768">
        <f>INDIRECT(ADDRESS(768,15))+INDIRECT(ADDRESS(766,16))-INDIRECT(ADDRESS(767,16))</f>
        <v>0</v>
      </c>
      <c r="Q768">
        <f>INDIRECT(ADDRESS(768,16))+INDIRECT(ADDRESS(766,17))-INDIRECT(ADDRESS(767,17))</f>
        <v>0</v>
      </c>
      <c r="R768">
        <f>INDIRECT(ADDRESS(768,17))+INDIRECT(ADDRESS(766,18))-INDIRECT(ADDRESS(767,18))</f>
        <v>0</v>
      </c>
      <c r="S768">
        <f>INDIRECT(ADDRESS(768,18))+INDIRECT(ADDRESS(766,19))-INDIRECT(ADDRESS(767,19))</f>
        <v>0</v>
      </c>
      <c r="T768">
        <f>INDIRECT(ADDRESS(768,19))+INDIRECT(ADDRESS(766,20))-INDIRECT(ADDRESS(767,20))</f>
        <v>0</v>
      </c>
      <c r="U768">
        <f>INDIRECT(ADDRESS(768,20))+INDIRECT(ADDRESS(766,21))-INDIRECT(ADDRESS(767,21))</f>
        <v>0</v>
      </c>
      <c r="V768">
        <f>INDIRECT(ADDRESS(768,21))+INDIRECT(ADDRESS(766,22))-INDIRECT(ADDRESS(767,22))</f>
        <v>0</v>
      </c>
      <c r="W768">
        <f>INDIRECT(ADDRESS(768,22))+INDIRECT(ADDRESS(766,23))-INDIRECT(ADDRESS(767,23))</f>
        <v>0</v>
      </c>
      <c r="X768">
        <f>INDIRECT(ADDRESS(768,23))+INDIRECT(ADDRESS(766,24))-INDIRECT(ADDRESS(767,24))</f>
        <v>0</v>
      </c>
      <c r="Y768">
        <f>INDIRECT(ADDRESS(768,24))+INDIRECT(ADDRESS(766,25))-INDIRECT(ADDRESS(767,25))</f>
        <v>0</v>
      </c>
      <c r="Z768">
        <f>INDIRECT(ADDRESS(768,25))+INDIRECT(ADDRESS(766,26))-INDIRECT(ADDRESS(767,26))</f>
        <v>0</v>
      </c>
      <c r="AA768">
        <f>INDIRECT(ADDRESS(768,26))+INDIRECT(ADDRESS(766,27))-INDIRECT(ADDRESS(767,27))</f>
        <v>0</v>
      </c>
      <c r="AB768">
        <f>INDIRECT(ADDRESS(768,27))+INDIRECT(ADDRESS(766,28))-INDIRECT(ADDRESS(767,28))</f>
        <v>0</v>
      </c>
      <c r="AC768">
        <f>INDIRECT(ADDRESS(768,28))+INDIRECT(ADDRESS(766,29))-INDIRECT(ADDRESS(767,29))</f>
        <v>0</v>
      </c>
      <c r="AD768">
        <f>INDIRECT(ADDRESS(768,29))+INDIRECT(ADDRESS(766,30))-INDIRECT(ADDRESS(767,30))</f>
        <v>0</v>
      </c>
      <c r="AE768">
        <f>INDIRECT(ADDRESS(768,30))+INDIRECT(ADDRESS(766,31))-INDIRECT(ADDRESS(767,31))</f>
        <v>0</v>
      </c>
      <c r="AF768">
        <f>INDIRECT(ADDRESS(768,31))+INDIRECT(ADDRESS(766,32))-INDIRECT(ADDRESS(767,32))</f>
        <v>0</v>
      </c>
      <c r="AG768">
        <f>INDIRECT(ADDRESS(768,32))+INDIRECT(ADDRESS(766,33))-INDIRECT(ADDRESS(767,33))</f>
        <v>0</v>
      </c>
      <c r="AH768">
        <f>INDIRECT(ADDRESS(768,33))+INDIRECT(ADDRESS(766,34))-INDIRECT(ADDRESS(767,34))</f>
        <v>0</v>
      </c>
      <c r="AI768">
        <f>INDIRECT(ADDRESS(768,34))+INDIRECT(ADDRESS(766,35))-INDIRECT(ADDRESS(767,35))</f>
        <v>0</v>
      </c>
      <c r="AJ768">
        <f>INDIRECT(ADDRESS(768,35))+INDIRECT(ADDRESS(766,36))-INDIRECT(ADDRESS(767,36))</f>
        <v>0</v>
      </c>
      <c r="AK768">
        <f>INDIRECT(ADDRESS(768,36))+INDIRECT(ADDRESS(766,37))-INDIRECT(ADDRESS(767,37))</f>
        <v>0</v>
      </c>
      <c r="AL768">
        <f>INDIRECT(ADDRESS(768,37))+INDIRECT(ADDRESS(766,38))-INDIRECT(ADDRESS(767,38))</f>
        <v>0</v>
      </c>
      <c r="AM768">
        <f>INDIRECT(ADDRESS(768,38))+INDIRECT(ADDRESS(766,39))-INDIRECT(ADDRESS(767,39))</f>
        <v>0</v>
      </c>
      <c r="AN768">
        <f>INDIRECT(ADDRESS(768,39))+INDIRECT(ADDRESS(766,40))-INDIRECT(ADDRESS(767,40))</f>
        <v>0</v>
      </c>
      <c r="AO768">
        <f>SUM(INDIRECT(ADDRESS(767,8)):INDIRECT(ADDRESS(767,39)))</f>
        <v>0</v>
      </c>
    </row>
    <row r="769" spans="1:41">
      <c r="A769" t="s">
        <v>180</v>
      </c>
      <c r="B769" t="s">
        <v>443</v>
      </c>
      <c r="C769" t="s">
        <v>444</v>
      </c>
      <c r="E769">
        <v>1</v>
      </c>
      <c r="I769" t="s">
        <v>177</v>
      </c>
    </row>
    <row r="770" spans="1:41">
      <c r="I770" t="s">
        <v>178</v>
      </c>
      <c r="J770">
        <f>IFERROR(VLOOKUP("934-012000-100",B:AB,1+8,0),0)</f>
        <v>0</v>
      </c>
      <c r="K770">
        <f>IFERROR(VLOOKUP("934-012000-100",B:AB,2+8,0),0)</f>
        <v>0</v>
      </c>
      <c r="L770">
        <f>IFERROR(VLOOKUP("934-012000-100",B:AB,3+8,0),0)</f>
        <v>0</v>
      </c>
      <c r="M770">
        <f>IFERROR(VLOOKUP("934-012000-100",B:AB,4+8,0),0)</f>
        <v>0</v>
      </c>
      <c r="N770">
        <f>IFERROR(VLOOKUP("934-012000-100",B:AB,5+8,0),0)</f>
        <v>0</v>
      </c>
      <c r="O770">
        <f>IFERROR(VLOOKUP("934-012000-100",B:AB,6+8,0),0)</f>
        <v>0</v>
      </c>
      <c r="P770">
        <f>IFERROR(VLOOKUP("934-012000-100",B:AB,7+8,0),0)</f>
        <v>0</v>
      </c>
      <c r="Q770">
        <f>IFERROR(VLOOKUP("934-012000-100",B:AB,8+8,0),0)</f>
        <v>0</v>
      </c>
      <c r="R770">
        <f>IFERROR(VLOOKUP("934-012000-100",B:AB,9+8,0),0)</f>
        <v>0</v>
      </c>
      <c r="S770">
        <f>IFERROR(VLOOKUP("934-012000-100",B:AB,10+8,0),0)</f>
        <v>0</v>
      </c>
      <c r="T770">
        <f>IFERROR(VLOOKUP("934-012000-100",B:AB,11+8,0),0)</f>
        <v>0</v>
      </c>
      <c r="U770">
        <f>IFERROR(VLOOKUP("934-012000-100",B:AB,12+8,0),0)</f>
        <v>0</v>
      </c>
      <c r="V770">
        <f>IFERROR(VLOOKUP("934-012000-100",B:AB,13+8,0),0)</f>
        <v>0</v>
      </c>
      <c r="W770">
        <f>IFERROR(VLOOKUP("934-012000-100",B:AB,14+8,0),0)</f>
        <v>0</v>
      </c>
      <c r="X770">
        <f>IFERROR(VLOOKUP("934-012000-100",B:AB,15+8,0),0)</f>
        <v>0</v>
      </c>
      <c r="Y770">
        <f>IFERROR(VLOOKUP("934-012000-100",B:AB,16+8,0),0)</f>
        <v>0</v>
      </c>
      <c r="Z770">
        <f>IFERROR(VLOOKUP("934-012000-100",B:AB,17+8,0),0)</f>
        <v>0</v>
      </c>
      <c r="AA770">
        <f>IFERROR(VLOOKUP("934-012000-100",B:AB,18+8,0),0)</f>
        <v>0</v>
      </c>
      <c r="AB770">
        <f>IFERROR(VLOOKUP("934-012000-100",B:AB,19+8,0),0)</f>
        <v>0</v>
      </c>
      <c r="AC770">
        <f>IFERROR(VLOOKUP("934-012000-100",B:AB,20+8,0),0)</f>
        <v>0</v>
      </c>
      <c r="AD770">
        <f>IFERROR(VLOOKUP("934-012000-100",B:AB,21+8,0),0)</f>
        <v>0</v>
      </c>
      <c r="AE770">
        <f>IFERROR(VLOOKUP("934-012000-100",B:AB,22+8,0),0)</f>
        <v>0</v>
      </c>
      <c r="AF770">
        <f>IFERROR(VLOOKUP("934-012000-100",B:AB,23+8,0),0)</f>
        <v>0</v>
      </c>
      <c r="AG770">
        <f>IFERROR(VLOOKUP("934-012000-100",B:AB,24+8,0),0)</f>
        <v>0</v>
      </c>
      <c r="AH770">
        <f>IFERROR(VLOOKUP("934-012000-100",B:AB,25+8,0),0)</f>
        <v>0</v>
      </c>
      <c r="AI770">
        <f>IFERROR(VLOOKUP("934-012000-100",B:AB,26+8,0),0)</f>
        <v>0</v>
      </c>
      <c r="AJ770">
        <f>IFERROR(VLOOKUP("934-012000-100",B:AB,27+8,0),0)</f>
        <v>0</v>
      </c>
      <c r="AK770">
        <f>IFERROR(VLOOKUP("934-012000-100",B:AB,28+8,0),0)</f>
        <v>0</v>
      </c>
      <c r="AL770">
        <f>IFERROR(VLOOKUP("934-012000-100",B:AB,29+8,0),0)</f>
        <v>0</v>
      </c>
      <c r="AM770">
        <f>IFERROR(VLOOKUP("934-012000-100",B:AB,30+8,0),0)</f>
        <v>0</v>
      </c>
      <c r="AN770">
        <f>IFERROR(VLOOKUP("934-012000-100",B:AB,31+8,0),0)</f>
        <v>0</v>
      </c>
      <c r="AO770">
        <f>SUN(INDIRECT(ADDRESS(769,8)):INDIRECT(ADDRESS(769,39)))</f>
        <v>0</v>
      </c>
    </row>
    <row r="771" spans="1:41">
      <c r="H771" t="s">
        <v>179</v>
      </c>
      <c r="J771">
        <f>INDIRECT(ADDRESS(771,9))+INDIRECT(ADDRESS(769,10))-INDIRECT(ADDRESS(770,10))</f>
        <v>0</v>
      </c>
      <c r="K771">
        <f>INDIRECT(ADDRESS(771,10))+INDIRECT(ADDRESS(769,11))-INDIRECT(ADDRESS(770,11))</f>
        <v>0</v>
      </c>
      <c r="L771">
        <f>INDIRECT(ADDRESS(771,11))+INDIRECT(ADDRESS(769,12))-INDIRECT(ADDRESS(770,12))</f>
        <v>0</v>
      </c>
      <c r="M771">
        <f>INDIRECT(ADDRESS(771,12))+INDIRECT(ADDRESS(769,13))-INDIRECT(ADDRESS(770,13))</f>
        <v>0</v>
      </c>
      <c r="N771">
        <f>INDIRECT(ADDRESS(771,13))+INDIRECT(ADDRESS(769,14))-INDIRECT(ADDRESS(770,14))</f>
        <v>0</v>
      </c>
      <c r="O771">
        <f>INDIRECT(ADDRESS(771,14))+INDIRECT(ADDRESS(769,15))-INDIRECT(ADDRESS(770,15))</f>
        <v>0</v>
      </c>
      <c r="P771">
        <f>INDIRECT(ADDRESS(771,15))+INDIRECT(ADDRESS(769,16))-INDIRECT(ADDRESS(770,16))</f>
        <v>0</v>
      </c>
      <c r="Q771">
        <f>INDIRECT(ADDRESS(771,16))+INDIRECT(ADDRESS(769,17))-INDIRECT(ADDRESS(770,17))</f>
        <v>0</v>
      </c>
      <c r="R771">
        <f>INDIRECT(ADDRESS(771,17))+INDIRECT(ADDRESS(769,18))-INDIRECT(ADDRESS(770,18))</f>
        <v>0</v>
      </c>
      <c r="S771">
        <f>INDIRECT(ADDRESS(771,18))+INDIRECT(ADDRESS(769,19))-INDIRECT(ADDRESS(770,19))</f>
        <v>0</v>
      </c>
      <c r="T771">
        <f>INDIRECT(ADDRESS(771,19))+INDIRECT(ADDRESS(769,20))-INDIRECT(ADDRESS(770,20))</f>
        <v>0</v>
      </c>
      <c r="U771">
        <f>INDIRECT(ADDRESS(771,20))+INDIRECT(ADDRESS(769,21))-INDIRECT(ADDRESS(770,21))</f>
        <v>0</v>
      </c>
      <c r="V771">
        <f>INDIRECT(ADDRESS(771,21))+INDIRECT(ADDRESS(769,22))-INDIRECT(ADDRESS(770,22))</f>
        <v>0</v>
      </c>
      <c r="W771">
        <f>INDIRECT(ADDRESS(771,22))+INDIRECT(ADDRESS(769,23))-INDIRECT(ADDRESS(770,23))</f>
        <v>0</v>
      </c>
      <c r="X771">
        <f>INDIRECT(ADDRESS(771,23))+INDIRECT(ADDRESS(769,24))-INDIRECT(ADDRESS(770,24))</f>
        <v>0</v>
      </c>
      <c r="Y771">
        <f>INDIRECT(ADDRESS(771,24))+INDIRECT(ADDRESS(769,25))-INDIRECT(ADDRESS(770,25))</f>
        <v>0</v>
      </c>
      <c r="Z771">
        <f>INDIRECT(ADDRESS(771,25))+INDIRECT(ADDRESS(769,26))-INDIRECT(ADDRESS(770,26))</f>
        <v>0</v>
      </c>
      <c r="AA771">
        <f>INDIRECT(ADDRESS(771,26))+INDIRECT(ADDRESS(769,27))-INDIRECT(ADDRESS(770,27))</f>
        <v>0</v>
      </c>
      <c r="AB771">
        <f>INDIRECT(ADDRESS(771,27))+INDIRECT(ADDRESS(769,28))-INDIRECT(ADDRESS(770,28))</f>
        <v>0</v>
      </c>
      <c r="AC771">
        <f>INDIRECT(ADDRESS(771,28))+INDIRECT(ADDRESS(769,29))-INDIRECT(ADDRESS(770,29))</f>
        <v>0</v>
      </c>
      <c r="AD771">
        <f>INDIRECT(ADDRESS(771,29))+INDIRECT(ADDRESS(769,30))-INDIRECT(ADDRESS(770,30))</f>
        <v>0</v>
      </c>
      <c r="AE771">
        <f>INDIRECT(ADDRESS(771,30))+INDIRECT(ADDRESS(769,31))-INDIRECT(ADDRESS(770,31))</f>
        <v>0</v>
      </c>
      <c r="AF771">
        <f>INDIRECT(ADDRESS(771,31))+INDIRECT(ADDRESS(769,32))-INDIRECT(ADDRESS(770,32))</f>
        <v>0</v>
      </c>
      <c r="AG771">
        <f>INDIRECT(ADDRESS(771,32))+INDIRECT(ADDRESS(769,33))-INDIRECT(ADDRESS(770,33))</f>
        <v>0</v>
      </c>
      <c r="AH771">
        <f>INDIRECT(ADDRESS(771,33))+INDIRECT(ADDRESS(769,34))-INDIRECT(ADDRESS(770,34))</f>
        <v>0</v>
      </c>
      <c r="AI771">
        <f>INDIRECT(ADDRESS(771,34))+INDIRECT(ADDRESS(769,35))-INDIRECT(ADDRESS(770,35))</f>
        <v>0</v>
      </c>
      <c r="AJ771">
        <f>INDIRECT(ADDRESS(771,35))+INDIRECT(ADDRESS(769,36))-INDIRECT(ADDRESS(770,36))</f>
        <v>0</v>
      </c>
      <c r="AK771">
        <f>INDIRECT(ADDRESS(771,36))+INDIRECT(ADDRESS(769,37))-INDIRECT(ADDRESS(770,37))</f>
        <v>0</v>
      </c>
      <c r="AL771">
        <f>INDIRECT(ADDRESS(771,37))+INDIRECT(ADDRESS(769,38))-INDIRECT(ADDRESS(770,38))</f>
        <v>0</v>
      </c>
      <c r="AM771">
        <f>INDIRECT(ADDRESS(771,38))+INDIRECT(ADDRESS(769,39))-INDIRECT(ADDRESS(770,39))</f>
        <v>0</v>
      </c>
      <c r="AN771">
        <f>INDIRECT(ADDRESS(771,39))+INDIRECT(ADDRESS(769,40))-INDIRECT(ADDRESS(770,40))</f>
        <v>0</v>
      </c>
      <c r="AO771">
        <f>SUM(INDIRECT(ADDRESS(770,8)):INDIRECT(ADDRESS(770,39)))</f>
        <v>0</v>
      </c>
    </row>
    <row r="772" spans="1:41">
      <c r="A772" t="s">
        <v>180</v>
      </c>
      <c r="B772" t="s">
        <v>445</v>
      </c>
      <c r="C772" t="s">
        <v>446</v>
      </c>
      <c r="E772">
        <v>1</v>
      </c>
      <c r="I772" t="s">
        <v>177</v>
      </c>
    </row>
    <row r="773" spans="1:41">
      <c r="I773" t="s">
        <v>178</v>
      </c>
      <c r="J773">
        <f>IFERROR(VLOOKUP("934-012000-100",B:AB,1+8,0),0)</f>
        <v>0</v>
      </c>
      <c r="K773">
        <f>IFERROR(VLOOKUP("934-012000-100",B:AB,2+8,0),0)</f>
        <v>0</v>
      </c>
      <c r="L773">
        <f>IFERROR(VLOOKUP("934-012000-100",B:AB,3+8,0),0)</f>
        <v>0</v>
      </c>
      <c r="M773">
        <f>IFERROR(VLOOKUP("934-012000-100",B:AB,4+8,0),0)</f>
        <v>0</v>
      </c>
      <c r="N773">
        <f>IFERROR(VLOOKUP("934-012000-100",B:AB,5+8,0),0)</f>
        <v>0</v>
      </c>
      <c r="O773">
        <f>IFERROR(VLOOKUP("934-012000-100",B:AB,6+8,0),0)</f>
        <v>0</v>
      </c>
      <c r="P773">
        <f>IFERROR(VLOOKUP("934-012000-100",B:AB,7+8,0),0)</f>
        <v>0</v>
      </c>
      <c r="Q773">
        <f>IFERROR(VLOOKUP("934-012000-100",B:AB,8+8,0),0)</f>
        <v>0</v>
      </c>
      <c r="R773">
        <f>IFERROR(VLOOKUP("934-012000-100",B:AB,9+8,0),0)</f>
        <v>0</v>
      </c>
      <c r="S773">
        <f>IFERROR(VLOOKUP("934-012000-100",B:AB,10+8,0),0)</f>
        <v>0</v>
      </c>
      <c r="T773">
        <f>IFERROR(VLOOKUP("934-012000-100",B:AB,11+8,0),0)</f>
        <v>0</v>
      </c>
      <c r="U773">
        <f>IFERROR(VLOOKUP("934-012000-100",B:AB,12+8,0),0)</f>
        <v>0</v>
      </c>
      <c r="V773">
        <f>IFERROR(VLOOKUP("934-012000-100",B:AB,13+8,0),0)</f>
        <v>0</v>
      </c>
      <c r="W773">
        <f>IFERROR(VLOOKUP("934-012000-100",B:AB,14+8,0),0)</f>
        <v>0</v>
      </c>
      <c r="X773">
        <f>IFERROR(VLOOKUP("934-012000-100",B:AB,15+8,0),0)</f>
        <v>0</v>
      </c>
      <c r="Y773">
        <f>IFERROR(VLOOKUP("934-012000-100",B:AB,16+8,0),0)</f>
        <v>0</v>
      </c>
      <c r="Z773">
        <f>IFERROR(VLOOKUP("934-012000-100",B:AB,17+8,0),0)</f>
        <v>0</v>
      </c>
      <c r="AA773">
        <f>IFERROR(VLOOKUP("934-012000-100",B:AB,18+8,0),0)</f>
        <v>0</v>
      </c>
      <c r="AB773">
        <f>IFERROR(VLOOKUP("934-012000-100",B:AB,19+8,0),0)</f>
        <v>0</v>
      </c>
      <c r="AC773">
        <f>IFERROR(VLOOKUP("934-012000-100",B:AB,20+8,0),0)</f>
        <v>0</v>
      </c>
      <c r="AD773">
        <f>IFERROR(VLOOKUP("934-012000-100",B:AB,21+8,0),0)</f>
        <v>0</v>
      </c>
      <c r="AE773">
        <f>IFERROR(VLOOKUP("934-012000-100",B:AB,22+8,0),0)</f>
        <v>0</v>
      </c>
      <c r="AF773">
        <f>IFERROR(VLOOKUP("934-012000-100",B:AB,23+8,0),0)</f>
        <v>0</v>
      </c>
      <c r="AG773">
        <f>IFERROR(VLOOKUP("934-012000-100",B:AB,24+8,0),0)</f>
        <v>0</v>
      </c>
      <c r="AH773">
        <f>IFERROR(VLOOKUP("934-012000-100",B:AB,25+8,0),0)</f>
        <v>0</v>
      </c>
      <c r="AI773">
        <f>IFERROR(VLOOKUP("934-012000-100",B:AB,26+8,0),0)</f>
        <v>0</v>
      </c>
      <c r="AJ773">
        <f>IFERROR(VLOOKUP("934-012000-100",B:AB,27+8,0),0)</f>
        <v>0</v>
      </c>
      <c r="AK773">
        <f>IFERROR(VLOOKUP("934-012000-100",B:AB,28+8,0),0)</f>
        <v>0</v>
      </c>
      <c r="AL773">
        <f>IFERROR(VLOOKUP("934-012000-100",B:AB,29+8,0),0)</f>
        <v>0</v>
      </c>
      <c r="AM773">
        <f>IFERROR(VLOOKUP("934-012000-100",B:AB,30+8,0),0)</f>
        <v>0</v>
      </c>
      <c r="AN773">
        <f>IFERROR(VLOOKUP("934-012000-100",B:AB,31+8,0),0)</f>
        <v>0</v>
      </c>
      <c r="AO773">
        <f>SUN(INDIRECT(ADDRESS(772,8)):INDIRECT(ADDRESS(772,39)))</f>
        <v>0</v>
      </c>
    </row>
    <row r="774" spans="1:41">
      <c r="H774" t="s">
        <v>179</v>
      </c>
      <c r="J774">
        <f>INDIRECT(ADDRESS(774,9))+INDIRECT(ADDRESS(772,10))-INDIRECT(ADDRESS(773,10))</f>
        <v>0</v>
      </c>
      <c r="K774">
        <f>INDIRECT(ADDRESS(774,10))+INDIRECT(ADDRESS(772,11))-INDIRECT(ADDRESS(773,11))</f>
        <v>0</v>
      </c>
      <c r="L774">
        <f>INDIRECT(ADDRESS(774,11))+INDIRECT(ADDRESS(772,12))-INDIRECT(ADDRESS(773,12))</f>
        <v>0</v>
      </c>
      <c r="M774">
        <f>INDIRECT(ADDRESS(774,12))+INDIRECT(ADDRESS(772,13))-INDIRECT(ADDRESS(773,13))</f>
        <v>0</v>
      </c>
      <c r="N774">
        <f>INDIRECT(ADDRESS(774,13))+INDIRECT(ADDRESS(772,14))-INDIRECT(ADDRESS(773,14))</f>
        <v>0</v>
      </c>
      <c r="O774">
        <f>INDIRECT(ADDRESS(774,14))+INDIRECT(ADDRESS(772,15))-INDIRECT(ADDRESS(773,15))</f>
        <v>0</v>
      </c>
      <c r="P774">
        <f>INDIRECT(ADDRESS(774,15))+INDIRECT(ADDRESS(772,16))-INDIRECT(ADDRESS(773,16))</f>
        <v>0</v>
      </c>
      <c r="Q774">
        <f>INDIRECT(ADDRESS(774,16))+INDIRECT(ADDRESS(772,17))-INDIRECT(ADDRESS(773,17))</f>
        <v>0</v>
      </c>
      <c r="R774">
        <f>INDIRECT(ADDRESS(774,17))+INDIRECT(ADDRESS(772,18))-INDIRECT(ADDRESS(773,18))</f>
        <v>0</v>
      </c>
      <c r="S774">
        <f>INDIRECT(ADDRESS(774,18))+INDIRECT(ADDRESS(772,19))-INDIRECT(ADDRESS(773,19))</f>
        <v>0</v>
      </c>
      <c r="T774">
        <f>INDIRECT(ADDRESS(774,19))+INDIRECT(ADDRESS(772,20))-INDIRECT(ADDRESS(773,20))</f>
        <v>0</v>
      </c>
      <c r="U774">
        <f>INDIRECT(ADDRESS(774,20))+INDIRECT(ADDRESS(772,21))-INDIRECT(ADDRESS(773,21))</f>
        <v>0</v>
      </c>
      <c r="V774">
        <f>INDIRECT(ADDRESS(774,21))+INDIRECT(ADDRESS(772,22))-INDIRECT(ADDRESS(773,22))</f>
        <v>0</v>
      </c>
      <c r="W774">
        <f>INDIRECT(ADDRESS(774,22))+INDIRECT(ADDRESS(772,23))-INDIRECT(ADDRESS(773,23))</f>
        <v>0</v>
      </c>
      <c r="X774">
        <f>INDIRECT(ADDRESS(774,23))+INDIRECT(ADDRESS(772,24))-INDIRECT(ADDRESS(773,24))</f>
        <v>0</v>
      </c>
      <c r="Y774">
        <f>INDIRECT(ADDRESS(774,24))+INDIRECT(ADDRESS(772,25))-INDIRECT(ADDRESS(773,25))</f>
        <v>0</v>
      </c>
      <c r="Z774">
        <f>INDIRECT(ADDRESS(774,25))+INDIRECT(ADDRESS(772,26))-INDIRECT(ADDRESS(773,26))</f>
        <v>0</v>
      </c>
      <c r="AA774">
        <f>INDIRECT(ADDRESS(774,26))+INDIRECT(ADDRESS(772,27))-INDIRECT(ADDRESS(773,27))</f>
        <v>0</v>
      </c>
      <c r="AB774">
        <f>INDIRECT(ADDRESS(774,27))+INDIRECT(ADDRESS(772,28))-INDIRECT(ADDRESS(773,28))</f>
        <v>0</v>
      </c>
      <c r="AC774">
        <f>INDIRECT(ADDRESS(774,28))+INDIRECT(ADDRESS(772,29))-INDIRECT(ADDRESS(773,29))</f>
        <v>0</v>
      </c>
      <c r="AD774">
        <f>INDIRECT(ADDRESS(774,29))+INDIRECT(ADDRESS(772,30))-INDIRECT(ADDRESS(773,30))</f>
        <v>0</v>
      </c>
      <c r="AE774">
        <f>INDIRECT(ADDRESS(774,30))+INDIRECT(ADDRESS(772,31))-INDIRECT(ADDRESS(773,31))</f>
        <v>0</v>
      </c>
      <c r="AF774">
        <f>INDIRECT(ADDRESS(774,31))+INDIRECT(ADDRESS(772,32))-INDIRECT(ADDRESS(773,32))</f>
        <v>0</v>
      </c>
      <c r="AG774">
        <f>INDIRECT(ADDRESS(774,32))+INDIRECT(ADDRESS(772,33))-INDIRECT(ADDRESS(773,33))</f>
        <v>0</v>
      </c>
      <c r="AH774">
        <f>INDIRECT(ADDRESS(774,33))+INDIRECT(ADDRESS(772,34))-INDIRECT(ADDRESS(773,34))</f>
        <v>0</v>
      </c>
      <c r="AI774">
        <f>INDIRECT(ADDRESS(774,34))+INDIRECT(ADDRESS(772,35))-INDIRECT(ADDRESS(773,35))</f>
        <v>0</v>
      </c>
      <c r="AJ774">
        <f>INDIRECT(ADDRESS(774,35))+INDIRECT(ADDRESS(772,36))-INDIRECT(ADDRESS(773,36))</f>
        <v>0</v>
      </c>
      <c r="AK774">
        <f>INDIRECT(ADDRESS(774,36))+INDIRECT(ADDRESS(772,37))-INDIRECT(ADDRESS(773,37))</f>
        <v>0</v>
      </c>
      <c r="AL774">
        <f>INDIRECT(ADDRESS(774,37))+INDIRECT(ADDRESS(772,38))-INDIRECT(ADDRESS(773,38))</f>
        <v>0</v>
      </c>
      <c r="AM774">
        <f>INDIRECT(ADDRESS(774,38))+INDIRECT(ADDRESS(772,39))-INDIRECT(ADDRESS(773,39))</f>
        <v>0</v>
      </c>
      <c r="AN774">
        <f>INDIRECT(ADDRESS(774,39))+INDIRECT(ADDRESS(772,40))-INDIRECT(ADDRESS(773,40))</f>
        <v>0</v>
      </c>
      <c r="AO774">
        <f>SUM(INDIRECT(ADDRESS(773,8)):INDIRECT(ADDRESS(773,39)))</f>
        <v>0</v>
      </c>
    </row>
    <row r="775" spans="1:41">
      <c r="A775" t="s">
        <v>185</v>
      </c>
      <c r="B775" t="s">
        <v>433</v>
      </c>
      <c r="C775" t="s">
        <v>434</v>
      </c>
      <c r="E775">
        <v>2</v>
      </c>
      <c r="I775" t="s">
        <v>177</v>
      </c>
    </row>
    <row r="776" spans="1:41">
      <c r="I776" t="s">
        <v>178</v>
      </c>
      <c r="J776">
        <f>IFERROR(VLOOKUP("934-012000-100",B:AB,1+8,0),0)</f>
        <v>0</v>
      </c>
      <c r="K776">
        <f>IFERROR(VLOOKUP("934-012000-100",B:AB,2+8,0),0)</f>
        <v>0</v>
      </c>
      <c r="L776">
        <f>IFERROR(VLOOKUP("934-012000-100",B:AB,3+8,0),0)</f>
        <v>0</v>
      </c>
      <c r="M776">
        <f>IFERROR(VLOOKUP("934-012000-100",B:AB,4+8,0),0)</f>
        <v>0</v>
      </c>
      <c r="N776">
        <f>IFERROR(VLOOKUP("934-012000-100",B:AB,5+8,0),0)</f>
        <v>0</v>
      </c>
      <c r="O776">
        <f>IFERROR(VLOOKUP("934-012000-100",B:AB,6+8,0),0)</f>
        <v>0</v>
      </c>
      <c r="P776">
        <f>IFERROR(VLOOKUP("934-012000-100",B:AB,7+8,0),0)</f>
        <v>0</v>
      </c>
      <c r="Q776">
        <f>IFERROR(VLOOKUP("934-012000-100",B:AB,8+8,0),0)</f>
        <v>0</v>
      </c>
      <c r="R776">
        <f>IFERROR(VLOOKUP("934-012000-100",B:AB,9+8,0),0)</f>
        <v>0</v>
      </c>
      <c r="S776">
        <f>IFERROR(VLOOKUP("934-012000-100",B:AB,10+8,0),0)</f>
        <v>0</v>
      </c>
      <c r="T776">
        <f>IFERROR(VLOOKUP("934-012000-100",B:AB,11+8,0),0)</f>
        <v>0</v>
      </c>
      <c r="U776">
        <f>IFERROR(VLOOKUP("934-012000-100",B:AB,12+8,0),0)</f>
        <v>0</v>
      </c>
      <c r="V776">
        <f>IFERROR(VLOOKUP("934-012000-100",B:AB,13+8,0),0)</f>
        <v>0</v>
      </c>
      <c r="W776">
        <f>IFERROR(VLOOKUP("934-012000-100",B:AB,14+8,0),0)</f>
        <v>0</v>
      </c>
      <c r="X776">
        <f>IFERROR(VLOOKUP("934-012000-100",B:AB,15+8,0),0)</f>
        <v>0</v>
      </c>
      <c r="Y776">
        <f>IFERROR(VLOOKUP("934-012000-100",B:AB,16+8,0),0)</f>
        <v>0</v>
      </c>
      <c r="Z776">
        <f>IFERROR(VLOOKUP("934-012000-100",B:AB,17+8,0),0)</f>
        <v>0</v>
      </c>
      <c r="AA776">
        <f>IFERROR(VLOOKUP("934-012000-100",B:AB,18+8,0),0)</f>
        <v>0</v>
      </c>
      <c r="AB776">
        <f>IFERROR(VLOOKUP("934-012000-100",B:AB,19+8,0),0)</f>
        <v>0</v>
      </c>
      <c r="AC776">
        <f>IFERROR(VLOOKUP("934-012000-100",B:AB,20+8,0),0)</f>
        <v>0</v>
      </c>
      <c r="AD776">
        <f>IFERROR(VLOOKUP("934-012000-100",B:AB,21+8,0),0)</f>
        <v>0</v>
      </c>
      <c r="AE776">
        <f>IFERROR(VLOOKUP("934-012000-100",B:AB,22+8,0),0)</f>
        <v>0</v>
      </c>
      <c r="AF776">
        <f>IFERROR(VLOOKUP("934-012000-100",B:AB,23+8,0),0)</f>
        <v>0</v>
      </c>
      <c r="AG776">
        <f>IFERROR(VLOOKUP("934-012000-100",B:AB,24+8,0),0)</f>
        <v>0</v>
      </c>
      <c r="AH776">
        <f>IFERROR(VLOOKUP("934-012000-100",B:AB,25+8,0),0)</f>
        <v>0</v>
      </c>
      <c r="AI776">
        <f>IFERROR(VLOOKUP("934-012000-100",B:AB,26+8,0),0)</f>
        <v>0</v>
      </c>
      <c r="AJ776">
        <f>IFERROR(VLOOKUP("934-012000-100",B:AB,27+8,0),0)</f>
        <v>0</v>
      </c>
      <c r="AK776">
        <f>IFERROR(VLOOKUP("934-012000-100",B:AB,28+8,0),0)</f>
        <v>0</v>
      </c>
      <c r="AL776">
        <f>IFERROR(VLOOKUP("934-012000-100",B:AB,29+8,0),0)</f>
        <v>0</v>
      </c>
      <c r="AM776">
        <f>IFERROR(VLOOKUP("934-012000-100",B:AB,30+8,0),0)</f>
        <v>0</v>
      </c>
      <c r="AN776">
        <f>IFERROR(VLOOKUP("934-012000-100",B:AB,31+8,0),0)</f>
        <v>0</v>
      </c>
      <c r="AO776">
        <f>SUN(INDIRECT(ADDRESS(775,8)):INDIRECT(ADDRESS(775,39)))</f>
        <v>0</v>
      </c>
    </row>
    <row r="777" spans="1:41">
      <c r="H777" t="s">
        <v>179</v>
      </c>
      <c r="J777">
        <f>INDIRECT(ADDRESS(777,9))+INDIRECT(ADDRESS(775,10))-INDIRECT(ADDRESS(776,10))</f>
        <v>0</v>
      </c>
      <c r="K777">
        <f>INDIRECT(ADDRESS(777,10))+INDIRECT(ADDRESS(775,11))-INDIRECT(ADDRESS(776,11))</f>
        <v>0</v>
      </c>
      <c r="L777">
        <f>INDIRECT(ADDRESS(777,11))+INDIRECT(ADDRESS(775,12))-INDIRECT(ADDRESS(776,12))</f>
        <v>0</v>
      </c>
      <c r="M777">
        <f>INDIRECT(ADDRESS(777,12))+INDIRECT(ADDRESS(775,13))-INDIRECT(ADDRESS(776,13))</f>
        <v>0</v>
      </c>
      <c r="N777">
        <f>INDIRECT(ADDRESS(777,13))+INDIRECT(ADDRESS(775,14))-INDIRECT(ADDRESS(776,14))</f>
        <v>0</v>
      </c>
      <c r="O777">
        <f>INDIRECT(ADDRESS(777,14))+INDIRECT(ADDRESS(775,15))-INDIRECT(ADDRESS(776,15))</f>
        <v>0</v>
      </c>
      <c r="P777">
        <f>INDIRECT(ADDRESS(777,15))+INDIRECT(ADDRESS(775,16))-INDIRECT(ADDRESS(776,16))</f>
        <v>0</v>
      </c>
      <c r="Q777">
        <f>INDIRECT(ADDRESS(777,16))+INDIRECT(ADDRESS(775,17))-INDIRECT(ADDRESS(776,17))</f>
        <v>0</v>
      </c>
      <c r="R777">
        <f>INDIRECT(ADDRESS(777,17))+INDIRECT(ADDRESS(775,18))-INDIRECT(ADDRESS(776,18))</f>
        <v>0</v>
      </c>
      <c r="S777">
        <f>INDIRECT(ADDRESS(777,18))+INDIRECT(ADDRESS(775,19))-INDIRECT(ADDRESS(776,19))</f>
        <v>0</v>
      </c>
      <c r="T777">
        <f>INDIRECT(ADDRESS(777,19))+INDIRECT(ADDRESS(775,20))-INDIRECT(ADDRESS(776,20))</f>
        <v>0</v>
      </c>
      <c r="U777">
        <f>INDIRECT(ADDRESS(777,20))+INDIRECT(ADDRESS(775,21))-INDIRECT(ADDRESS(776,21))</f>
        <v>0</v>
      </c>
      <c r="V777">
        <f>INDIRECT(ADDRESS(777,21))+INDIRECT(ADDRESS(775,22))-INDIRECT(ADDRESS(776,22))</f>
        <v>0</v>
      </c>
      <c r="W777">
        <f>INDIRECT(ADDRESS(777,22))+INDIRECT(ADDRESS(775,23))-INDIRECT(ADDRESS(776,23))</f>
        <v>0</v>
      </c>
      <c r="X777">
        <f>INDIRECT(ADDRESS(777,23))+INDIRECT(ADDRESS(775,24))-INDIRECT(ADDRESS(776,24))</f>
        <v>0</v>
      </c>
      <c r="Y777">
        <f>INDIRECT(ADDRESS(777,24))+INDIRECT(ADDRESS(775,25))-INDIRECT(ADDRESS(776,25))</f>
        <v>0</v>
      </c>
      <c r="Z777">
        <f>INDIRECT(ADDRESS(777,25))+INDIRECT(ADDRESS(775,26))-INDIRECT(ADDRESS(776,26))</f>
        <v>0</v>
      </c>
      <c r="AA777">
        <f>INDIRECT(ADDRESS(777,26))+INDIRECT(ADDRESS(775,27))-INDIRECT(ADDRESS(776,27))</f>
        <v>0</v>
      </c>
      <c r="AB777">
        <f>INDIRECT(ADDRESS(777,27))+INDIRECT(ADDRESS(775,28))-INDIRECT(ADDRESS(776,28))</f>
        <v>0</v>
      </c>
      <c r="AC777">
        <f>INDIRECT(ADDRESS(777,28))+INDIRECT(ADDRESS(775,29))-INDIRECT(ADDRESS(776,29))</f>
        <v>0</v>
      </c>
      <c r="AD777">
        <f>INDIRECT(ADDRESS(777,29))+INDIRECT(ADDRESS(775,30))-INDIRECT(ADDRESS(776,30))</f>
        <v>0</v>
      </c>
      <c r="AE777">
        <f>INDIRECT(ADDRESS(777,30))+INDIRECT(ADDRESS(775,31))-INDIRECT(ADDRESS(776,31))</f>
        <v>0</v>
      </c>
      <c r="AF777">
        <f>INDIRECT(ADDRESS(777,31))+INDIRECT(ADDRESS(775,32))-INDIRECT(ADDRESS(776,32))</f>
        <v>0</v>
      </c>
      <c r="AG777">
        <f>INDIRECT(ADDRESS(777,32))+INDIRECT(ADDRESS(775,33))-INDIRECT(ADDRESS(776,33))</f>
        <v>0</v>
      </c>
      <c r="AH777">
        <f>INDIRECT(ADDRESS(777,33))+INDIRECT(ADDRESS(775,34))-INDIRECT(ADDRESS(776,34))</f>
        <v>0</v>
      </c>
      <c r="AI777">
        <f>INDIRECT(ADDRESS(777,34))+INDIRECT(ADDRESS(775,35))-INDIRECT(ADDRESS(776,35))</f>
        <v>0</v>
      </c>
      <c r="AJ777">
        <f>INDIRECT(ADDRESS(777,35))+INDIRECT(ADDRESS(775,36))-INDIRECT(ADDRESS(776,36))</f>
        <v>0</v>
      </c>
      <c r="AK777">
        <f>INDIRECT(ADDRESS(777,36))+INDIRECT(ADDRESS(775,37))-INDIRECT(ADDRESS(776,37))</f>
        <v>0</v>
      </c>
      <c r="AL777">
        <f>INDIRECT(ADDRESS(777,37))+INDIRECT(ADDRESS(775,38))-INDIRECT(ADDRESS(776,38))</f>
        <v>0</v>
      </c>
      <c r="AM777">
        <f>INDIRECT(ADDRESS(777,38))+INDIRECT(ADDRESS(775,39))-INDIRECT(ADDRESS(776,39))</f>
        <v>0</v>
      </c>
      <c r="AN777">
        <f>INDIRECT(ADDRESS(777,39))+INDIRECT(ADDRESS(775,40))-INDIRECT(ADDRESS(776,40))</f>
        <v>0</v>
      </c>
      <c r="AO777">
        <f>SUM(INDIRECT(ADDRESS(776,8)):INDIRECT(ADDRESS(776,39)))</f>
        <v>0</v>
      </c>
    </row>
    <row r="778" spans="1:41">
      <c r="A778" t="s">
        <v>185</v>
      </c>
      <c r="B778" t="s">
        <v>435</v>
      </c>
      <c r="C778" t="s">
        <v>436</v>
      </c>
      <c r="E778">
        <v>1</v>
      </c>
      <c r="I778" t="s">
        <v>177</v>
      </c>
    </row>
    <row r="779" spans="1:41">
      <c r="I779" t="s">
        <v>178</v>
      </c>
      <c r="J779">
        <f>IFERROR(VLOOKUP("934-012000-100",B:AB,1+8,0),0)</f>
        <v>0</v>
      </c>
      <c r="K779">
        <f>IFERROR(VLOOKUP("934-012000-100",B:AB,2+8,0),0)</f>
        <v>0</v>
      </c>
      <c r="L779">
        <f>IFERROR(VLOOKUP("934-012000-100",B:AB,3+8,0),0)</f>
        <v>0</v>
      </c>
      <c r="M779">
        <f>IFERROR(VLOOKUP("934-012000-100",B:AB,4+8,0),0)</f>
        <v>0</v>
      </c>
      <c r="N779">
        <f>IFERROR(VLOOKUP("934-012000-100",B:AB,5+8,0),0)</f>
        <v>0</v>
      </c>
      <c r="O779">
        <f>IFERROR(VLOOKUP("934-012000-100",B:AB,6+8,0),0)</f>
        <v>0</v>
      </c>
      <c r="P779">
        <f>IFERROR(VLOOKUP("934-012000-100",B:AB,7+8,0),0)</f>
        <v>0</v>
      </c>
      <c r="Q779">
        <f>IFERROR(VLOOKUP("934-012000-100",B:AB,8+8,0),0)</f>
        <v>0</v>
      </c>
      <c r="R779">
        <f>IFERROR(VLOOKUP("934-012000-100",B:AB,9+8,0),0)</f>
        <v>0</v>
      </c>
      <c r="S779">
        <f>IFERROR(VLOOKUP("934-012000-100",B:AB,10+8,0),0)</f>
        <v>0</v>
      </c>
      <c r="T779">
        <f>IFERROR(VLOOKUP("934-012000-100",B:AB,11+8,0),0)</f>
        <v>0</v>
      </c>
      <c r="U779">
        <f>IFERROR(VLOOKUP("934-012000-100",B:AB,12+8,0),0)</f>
        <v>0</v>
      </c>
      <c r="V779">
        <f>IFERROR(VLOOKUP("934-012000-100",B:AB,13+8,0),0)</f>
        <v>0</v>
      </c>
      <c r="W779">
        <f>IFERROR(VLOOKUP("934-012000-100",B:AB,14+8,0),0)</f>
        <v>0</v>
      </c>
      <c r="X779">
        <f>IFERROR(VLOOKUP("934-012000-100",B:AB,15+8,0),0)</f>
        <v>0</v>
      </c>
      <c r="Y779">
        <f>IFERROR(VLOOKUP("934-012000-100",B:AB,16+8,0),0)</f>
        <v>0</v>
      </c>
      <c r="Z779">
        <f>IFERROR(VLOOKUP("934-012000-100",B:AB,17+8,0),0)</f>
        <v>0</v>
      </c>
      <c r="AA779">
        <f>IFERROR(VLOOKUP("934-012000-100",B:AB,18+8,0),0)</f>
        <v>0</v>
      </c>
      <c r="AB779">
        <f>IFERROR(VLOOKUP("934-012000-100",B:AB,19+8,0),0)</f>
        <v>0</v>
      </c>
      <c r="AC779">
        <f>IFERROR(VLOOKUP("934-012000-100",B:AB,20+8,0),0)</f>
        <v>0</v>
      </c>
      <c r="AD779">
        <f>IFERROR(VLOOKUP("934-012000-100",B:AB,21+8,0),0)</f>
        <v>0</v>
      </c>
      <c r="AE779">
        <f>IFERROR(VLOOKUP("934-012000-100",B:AB,22+8,0),0)</f>
        <v>0</v>
      </c>
      <c r="AF779">
        <f>IFERROR(VLOOKUP("934-012000-100",B:AB,23+8,0),0)</f>
        <v>0</v>
      </c>
      <c r="AG779">
        <f>IFERROR(VLOOKUP("934-012000-100",B:AB,24+8,0),0)</f>
        <v>0</v>
      </c>
      <c r="AH779">
        <f>IFERROR(VLOOKUP("934-012000-100",B:AB,25+8,0),0)</f>
        <v>0</v>
      </c>
      <c r="AI779">
        <f>IFERROR(VLOOKUP("934-012000-100",B:AB,26+8,0),0)</f>
        <v>0</v>
      </c>
      <c r="AJ779">
        <f>IFERROR(VLOOKUP("934-012000-100",B:AB,27+8,0),0)</f>
        <v>0</v>
      </c>
      <c r="AK779">
        <f>IFERROR(VLOOKUP("934-012000-100",B:AB,28+8,0),0)</f>
        <v>0</v>
      </c>
      <c r="AL779">
        <f>IFERROR(VLOOKUP("934-012000-100",B:AB,29+8,0),0)</f>
        <v>0</v>
      </c>
      <c r="AM779">
        <f>IFERROR(VLOOKUP("934-012000-100",B:AB,30+8,0),0)</f>
        <v>0</v>
      </c>
      <c r="AN779">
        <f>IFERROR(VLOOKUP("934-012000-100",B:AB,31+8,0),0)</f>
        <v>0</v>
      </c>
      <c r="AO779">
        <f>SUN(INDIRECT(ADDRESS(778,8)):INDIRECT(ADDRESS(778,39)))</f>
        <v>0</v>
      </c>
    </row>
    <row r="780" spans="1:41">
      <c r="H780" t="s">
        <v>179</v>
      </c>
      <c r="J780">
        <f>INDIRECT(ADDRESS(780,9))+INDIRECT(ADDRESS(778,10))-INDIRECT(ADDRESS(779,10))</f>
        <v>0</v>
      </c>
      <c r="K780">
        <f>INDIRECT(ADDRESS(780,10))+INDIRECT(ADDRESS(778,11))-INDIRECT(ADDRESS(779,11))</f>
        <v>0</v>
      </c>
      <c r="L780">
        <f>INDIRECT(ADDRESS(780,11))+INDIRECT(ADDRESS(778,12))-INDIRECT(ADDRESS(779,12))</f>
        <v>0</v>
      </c>
      <c r="M780">
        <f>INDIRECT(ADDRESS(780,12))+INDIRECT(ADDRESS(778,13))-INDIRECT(ADDRESS(779,13))</f>
        <v>0</v>
      </c>
      <c r="N780">
        <f>INDIRECT(ADDRESS(780,13))+INDIRECT(ADDRESS(778,14))-INDIRECT(ADDRESS(779,14))</f>
        <v>0</v>
      </c>
      <c r="O780">
        <f>INDIRECT(ADDRESS(780,14))+INDIRECT(ADDRESS(778,15))-INDIRECT(ADDRESS(779,15))</f>
        <v>0</v>
      </c>
      <c r="P780">
        <f>INDIRECT(ADDRESS(780,15))+INDIRECT(ADDRESS(778,16))-INDIRECT(ADDRESS(779,16))</f>
        <v>0</v>
      </c>
      <c r="Q780">
        <f>INDIRECT(ADDRESS(780,16))+INDIRECT(ADDRESS(778,17))-INDIRECT(ADDRESS(779,17))</f>
        <v>0</v>
      </c>
      <c r="R780">
        <f>INDIRECT(ADDRESS(780,17))+INDIRECT(ADDRESS(778,18))-INDIRECT(ADDRESS(779,18))</f>
        <v>0</v>
      </c>
      <c r="S780">
        <f>INDIRECT(ADDRESS(780,18))+INDIRECT(ADDRESS(778,19))-INDIRECT(ADDRESS(779,19))</f>
        <v>0</v>
      </c>
      <c r="T780">
        <f>INDIRECT(ADDRESS(780,19))+INDIRECT(ADDRESS(778,20))-INDIRECT(ADDRESS(779,20))</f>
        <v>0</v>
      </c>
      <c r="U780">
        <f>INDIRECT(ADDRESS(780,20))+INDIRECT(ADDRESS(778,21))-INDIRECT(ADDRESS(779,21))</f>
        <v>0</v>
      </c>
      <c r="V780">
        <f>INDIRECT(ADDRESS(780,21))+INDIRECT(ADDRESS(778,22))-INDIRECT(ADDRESS(779,22))</f>
        <v>0</v>
      </c>
      <c r="W780">
        <f>INDIRECT(ADDRESS(780,22))+INDIRECT(ADDRESS(778,23))-INDIRECT(ADDRESS(779,23))</f>
        <v>0</v>
      </c>
      <c r="X780">
        <f>INDIRECT(ADDRESS(780,23))+INDIRECT(ADDRESS(778,24))-INDIRECT(ADDRESS(779,24))</f>
        <v>0</v>
      </c>
      <c r="Y780">
        <f>INDIRECT(ADDRESS(780,24))+INDIRECT(ADDRESS(778,25))-INDIRECT(ADDRESS(779,25))</f>
        <v>0</v>
      </c>
      <c r="Z780">
        <f>INDIRECT(ADDRESS(780,25))+INDIRECT(ADDRESS(778,26))-INDIRECT(ADDRESS(779,26))</f>
        <v>0</v>
      </c>
      <c r="AA780">
        <f>INDIRECT(ADDRESS(780,26))+INDIRECT(ADDRESS(778,27))-INDIRECT(ADDRESS(779,27))</f>
        <v>0</v>
      </c>
      <c r="AB780">
        <f>INDIRECT(ADDRESS(780,27))+INDIRECT(ADDRESS(778,28))-INDIRECT(ADDRESS(779,28))</f>
        <v>0</v>
      </c>
      <c r="AC780">
        <f>INDIRECT(ADDRESS(780,28))+INDIRECT(ADDRESS(778,29))-INDIRECT(ADDRESS(779,29))</f>
        <v>0</v>
      </c>
      <c r="AD780">
        <f>INDIRECT(ADDRESS(780,29))+INDIRECT(ADDRESS(778,30))-INDIRECT(ADDRESS(779,30))</f>
        <v>0</v>
      </c>
      <c r="AE780">
        <f>INDIRECT(ADDRESS(780,30))+INDIRECT(ADDRESS(778,31))-INDIRECT(ADDRESS(779,31))</f>
        <v>0</v>
      </c>
      <c r="AF780">
        <f>INDIRECT(ADDRESS(780,31))+INDIRECT(ADDRESS(778,32))-INDIRECT(ADDRESS(779,32))</f>
        <v>0</v>
      </c>
      <c r="AG780">
        <f>INDIRECT(ADDRESS(780,32))+INDIRECT(ADDRESS(778,33))-INDIRECT(ADDRESS(779,33))</f>
        <v>0</v>
      </c>
      <c r="AH780">
        <f>INDIRECT(ADDRESS(780,33))+INDIRECT(ADDRESS(778,34))-INDIRECT(ADDRESS(779,34))</f>
        <v>0</v>
      </c>
      <c r="AI780">
        <f>INDIRECT(ADDRESS(780,34))+INDIRECT(ADDRESS(778,35))-INDIRECT(ADDRESS(779,35))</f>
        <v>0</v>
      </c>
      <c r="AJ780">
        <f>INDIRECT(ADDRESS(780,35))+INDIRECT(ADDRESS(778,36))-INDIRECT(ADDRESS(779,36))</f>
        <v>0</v>
      </c>
      <c r="AK780">
        <f>INDIRECT(ADDRESS(780,36))+INDIRECT(ADDRESS(778,37))-INDIRECT(ADDRESS(779,37))</f>
        <v>0</v>
      </c>
      <c r="AL780">
        <f>INDIRECT(ADDRESS(780,37))+INDIRECT(ADDRESS(778,38))-INDIRECT(ADDRESS(779,38))</f>
        <v>0</v>
      </c>
      <c r="AM780">
        <f>INDIRECT(ADDRESS(780,38))+INDIRECT(ADDRESS(778,39))-INDIRECT(ADDRESS(779,39))</f>
        <v>0</v>
      </c>
      <c r="AN780">
        <f>INDIRECT(ADDRESS(780,39))+INDIRECT(ADDRESS(778,40))-INDIRECT(ADDRESS(779,40))</f>
        <v>0</v>
      </c>
      <c r="AO780">
        <f>SUM(INDIRECT(ADDRESS(779,8)):INDIRECT(ADDRESS(779,39)))</f>
        <v>0</v>
      </c>
    </row>
    <row r="781" spans="1:41">
      <c r="A781" t="s">
        <v>185</v>
      </c>
      <c r="B781" t="s">
        <v>437</v>
      </c>
      <c r="C781" t="s">
        <v>438</v>
      </c>
      <c r="E781">
        <v>1</v>
      </c>
      <c r="I781" t="s">
        <v>177</v>
      </c>
    </row>
    <row r="782" spans="1:41">
      <c r="I782" t="s">
        <v>178</v>
      </c>
      <c r="J782">
        <f>IFERROR(VLOOKUP("934-012000-100",B:AB,1+8,0),0)</f>
        <v>0</v>
      </c>
      <c r="K782">
        <f>IFERROR(VLOOKUP("934-012000-100",B:AB,2+8,0),0)</f>
        <v>0</v>
      </c>
      <c r="L782">
        <f>IFERROR(VLOOKUP("934-012000-100",B:AB,3+8,0),0)</f>
        <v>0</v>
      </c>
      <c r="M782">
        <f>IFERROR(VLOOKUP("934-012000-100",B:AB,4+8,0),0)</f>
        <v>0</v>
      </c>
      <c r="N782">
        <f>IFERROR(VLOOKUP("934-012000-100",B:AB,5+8,0),0)</f>
        <v>0</v>
      </c>
      <c r="O782">
        <f>IFERROR(VLOOKUP("934-012000-100",B:AB,6+8,0),0)</f>
        <v>0</v>
      </c>
      <c r="P782">
        <f>IFERROR(VLOOKUP("934-012000-100",B:AB,7+8,0),0)</f>
        <v>0</v>
      </c>
      <c r="Q782">
        <f>IFERROR(VLOOKUP("934-012000-100",B:AB,8+8,0),0)</f>
        <v>0</v>
      </c>
      <c r="R782">
        <f>IFERROR(VLOOKUP("934-012000-100",B:AB,9+8,0),0)</f>
        <v>0</v>
      </c>
      <c r="S782">
        <f>IFERROR(VLOOKUP("934-012000-100",B:AB,10+8,0),0)</f>
        <v>0</v>
      </c>
      <c r="T782">
        <f>IFERROR(VLOOKUP("934-012000-100",B:AB,11+8,0),0)</f>
        <v>0</v>
      </c>
      <c r="U782">
        <f>IFERROR(VLOOKUP("934-012000-100",B:AB,12+8,0),0)</f>
        <v>0</v>
      </c>
      <c r="V782">
        <f>IFERROR(VLOOKUP("934-012000-100",B:AB,13+8,0),0)</f>
        <v>0</v>
      </c>
      <c r="W782">
        <f>IFERROR(VLOOKUP("934-012000-100",B:AB,14+8,0),0)</f>
        <v>0</v>
      </c>
      <c r="X782">
        <f>IFERROR(VLOOKUP("934-012000-100",B:AB,15+8,0),0)</f>
        <v>0</v>
      </c>
      <c r="Y782">
        <f>IFERROR(VLOOKUP("934-012000-100",B:AB,16+8,0),0)</f>
        <v>0</v>
      </c>
      <c r="Z782">
        <f>IFERROR(VLOOKUP("934-012000-100",B:AB,17+8,0),0)</f>
        <v>0</v>
      </c>
      <c r="AA782">
        <f>IFERROR(VLOOKUP("934-012000-100",B:AB,18+8,0),0)</f>
        <v>0</v>
      </c>
      <c r="AB782">
        <f>IFERROR(VLOOKUP("934-012000-100",B:AB,19+8,0),0)</f>
        <v>0</v>
      </c>
      <c r="AC782">
        <f>IFERROR(VLOOKUP("934-012000-100",B:AB,20+8,0),0)</f>
        <v>0</v>
      </c>
      <c r="AD782">
        <f>IFERROR(VLOOKUP("934-012000-100",B:AB,21+8,0),0)</f>
        <v>0</v>
      </c>
      <c r="AE782">
        <f>IFERROR(VLOOKUP("934-012000-100",B:AB,22+8,0),0)</f>
        <v>0</v>
      </c>
      <c r="AF782">
        <f>IFERROR(VLOOKUP("934-012000-100",B:AB,23+8,0),0)</f>
        <v>0</v>
      </c>
      <c r="AG782">
        <f>IFERROR(VLOOKUP("934-012000-100",B:AB,24+8,0),0)</f>
        <v>0</v>
      </c>
      <c r="AH782">
        <f>IFERROR(VLOOKUP("934-012000-100",B:AB,25+8,0),0)</f>
        <v>0</v>
      </c>
      <c r="AI782">
        <f>IFERROR(VLOOKUP("934-012000-100",B:AB,26+8,0),0)</f>
        <v>0</v>
      </c>
      <c r="AJ782">
        <f>IFERROR(VLOOKUP("934-012000-100",B:AB,27+8,0),0)</f>
        <v>0</v>
      </c>
      <c r="AK782">
        <f>IFERROR(VLOOKUP("934-012000-100",B:AB,28+8,0),0)</f>
        <v>0</v>
      </c>
      <c r="AL782">
        <f>IFERROR(VLOOKUP("934-012000-100",B:AB,29+8,0),0)</f>
        <v>0</v>
      </c>
      <c r="AM782">
        <f>IFERROR(VLOOKUP("934-012000-100",B:AB,30+8,0),0)</f>
        <v>0</v>
      </c>
      <c r="AN782">
        <f>IFERROR(VLOOKUP("934-012000-100",B:AB,31+8,0),0)</f>
        <v>0</v>
      </c>
      <c r="AO782">
        <f>SUN(INDIRECT(ADDRESS(781,8)):INDIRECT(ADDRESS(781,39)))</f>
        <v>0</v>
      </c>
    </row>
    <row r="783" spans="1:41">
      <c r="H783" t="s">
        <v>179</v>
      </c>
      <c r="J783">
        <f>INDIRECT(ADDRESS(783,9))+INDIRECT(ADDRESS(781,10))-INDIRECT(ADDRESS(782,10))</f>
        <v>0</v>
      </c>
      <c r="K783">
        <f>INDIRECT(ADDRESS(783,10))+INDIRECT(ADDRESS(781,11))-INDIRECT(ADDRESS(782,11))</f>
        <v>0</v>
      </c>
      <c r="L783">
        <f>INDIRECT(ADDRESS(783,11))+INDIRECT(ADDRESS(781,12))-INDIRECT(ADDRESS(782,12))</f>
        <v>0</v>
      </c>
      <c r="M783">
        <f>INDIRECT(ADDRESS(783,12))+INDIRECT(ADDRESS(781,13))-INDIRECT(ADDRESS(782,13))</f>
        <v>0</v>
      </c>
      <c r="N783">
        <f>INDIRECT(ADDRESS(783,13))+INDIRECT(ADDRESS(781,14))-INDIRECT(ADDRESS(782,14))</f>
        <v>0</v>
      </c>
      <c r="O783">
        <f>INDIRECT(ADDRESS(783,14))+INDIRECT(ADDRESS(781,15))-INDIRECT(ADDRESS(782,15))</f>
        <v>0</v>
      </c>
      <c r="P783">
        <f>INDIRECT(ADDRESS(783,15))+INDIRECT(ADDRESS(781,16))-INDIRECT(ADDRESS(782,16))</f>
        <v>0</v>
      </c>
      <c r="Q783">
        <f>INDIRECT(ADDRESS(783,16))+INDIRECT(ADDRESS(781,17))-INDIRECT(ADDRESS(782,17))</f>
        <v>0</v>
      </c>
      <c r="R783">
        <f>INDIRECT(ADDRESS(783,17))+INDIRECT(ADDRESS(781,18))-INDIRECT(ADDRESS(782,18))</f>
        <v>0</v>
      </c>
      <c r="S783">
        <f>INDIRECT(ADDRESS(783,18))+INDIRECT(ADDRESS(781,19))-INDIRECT(ADDRESS(782,19))</f>
        <v>0</v>
      </c>
      <c r="T783">
        <f>INDIRECT(ADDRESS(783,19))+INDIRECT(ADDRESS(781,20))-INDIRECT(ADDRESS(782,20))</f>
        <v>0</v>
      </c>
      <c r="U783">
        <f>INDIRECT(ADDRESS(783,20))+INDIRECT(ADDRESS(781,21))-INDIRECT(ADDRESS(782,21))</f>
        <v>0</v>
      </c>
      <c r="V783">
        <f>INDIRECT(ADDRESS(783,21))+INDIRECT(ADDRESS(781,22))-INDIRECT(ADDRESS(782,22))</f>
        <v>0</v>
      </c>
      <c r="W783">
        <f>INDIRECT(ADDRESS(783,22))+INDIRECT(ADDRESS(781,23))-INDIRECT(ADDRESS(782,23))</f>
        <v>0</v>
      </c>
      <c r="X783">
        <f>INDIRECT(ADDRESS(783,23))+INDIRECT(ADDRESS(781,24))-INDIRECT(ADDRESS(782,24))</f>
        <v>0</v>
      </c>
      <c r="Y783">
        <f>INDIRECT(ADDRESS(783,24))+INDIRECT(ADDRESS(781,25))-INDIRECT(ADDRESS(782,25))</f>
        <v>0</v>
      </c>
      <c r="Z783">
        <f>INDIRECT(ADDRESS(783,25))+INDIRECT(ADDRESS(781,26))-INDIRECT(ADDRESS(782,26))</f>
        <v>0</v>
      </c>
      <c r="AA783">
        <f>INDIRECT(ADDRESS(783,26))+INDIRECT(ADDRESS(781,27))-INDIRECT(ADDRESS(782,27))</f>
        <v>0</v>
      </c>
      <c r="AB783">
        <f>INDIRECT(ADDRESS(783,27))+INDIRECT(ADDRESS(781,28))-INDIRECT(ADDRESS(782,28))</f>
        <v>0</v>
      </c>
      <c r="AC783">
        <f>INDIRECT(ADDRESS(783,28))+INDIRECT(ADDRESS(781,29))-INDIRECT(ADDRESS(782,29))</f>
        <v>0</v>
      </c>
      <c r="AD783">
        <f>INDIRECT(ADDRESS(783,29))+INDIRECT(ADDRESS(781,30))-INDIRECT(ADDRESS(782,30))</f>
        <v>0</v>
      </c>
      <c r="AE783">
        <f>INDIRECT(ADDRESS(783,30))+INDIRECT(ADDRESS(781,31))-INDIRECT(ADDRESS(782,31))</f>
        <v>0</v>
      </c>
      <c r="AF783">
        <f>INDIRECT(ADDRESS(783,31))+INDIRECT(ADDRESS(781,32))-INDIRECT(ADDRESS(782,32))</f>
        <v>0</v>
      </c>
      <c r="AG783">
        <f>INDIRECT(ADDRESS(783,32))+INDIRECT(ADDRESS(781,33))-INDIRECT(ADDRESS(782,33))</f>
        <v>0</v>
      </c>
      <c r="AH783">
        <f>INDIRECT(ADDRESS(783,33))+INDIRECT(ADDRESS(781,34))-INDIRECT(ADDRESS(782,34))</f>
        <v>0</v>
      </c>
      <c r="AI783">
        <f>INDIRECT(ADDRESS(783,34))+INDIRECT(ADDRESS(781,35))-INDIRECT(ADDRESS(782,35))</f>
        <v>0</v>
      </c>
      <c r="AJ783">
        <f>INDIRECT(ADDRESS(783,35))+INDIRECT(ADDRESS(781,36))-INDIRECT(ADDRESS(782,36))</f>
        <v>0</v>
      </c>
      <c r="AK783">
        <f>INDIRECT(ADDRESS(783,36))+INDIRECT(ADDRESS(781,37))-INDIRECT(ADDRESS(782,37))</f>
        <v>0</v>
      </c>
      <c r="AL783">
        <f>INDIRECT(ADDRESS(783,37))+INDIRECT(ADDRESS(781,38))-INDIRECT(ADDRESS(782,38))</f>
        <v>0</v>
      </c>
      <c r="AM783">
        <f>INDIRECT(ADDRESS(783,38))+INDIRECT(ADDRESS(781,39))-INDIRECT(ADDRESS(782,39))</f>
        <v>0</v>
      </c>
      <c r="AN783">
        <f>INDIRECT(ADDRESS(783,39))+INDIRECT(ADDRESS(781,40))-INDIRECT(ADDRESS(782,40))</f>
        <v>0</v>
      </c>
      <c r="AO783">
        <f>SUM(INDIRECT(ADDRESS(782,8)):INDIRECT(ADDRESS(782,39)))</f>
        <v>0</v>
      </c>
    </row>
    <row r="784" spans="1:41">
      <c r="A784" t="s">
        <v>238</v>
      </c>
      <c r="B784" t="s">
        <v>439</v>
      </c>
      <c r="C784" t="s">
        <v>440</v>
      </c>
      <c r="E784">
        <v>0.02</v>
      </c>
      <c r="I784" t="s">
        <v>177</v>
      </c>
    </row>
    <row r="785" spans="1:41">
      <c r="I785" t="s">
        <v>178</v>
      </c>
      <c r="J785">
        <f>IFERROR(VLOOKUP("934-012000-100",B:AB,1+8,0),0)</f>
        <v>0</v>
      </c>
      <c r="K785">
        <f>IFERROR(VLOOKUP("934-012000-100",B:AB,2+8,0),0)</f>
        <v>0</v>
      </c>
      <c r="L785">
        <f>IFERROR(VLOOKUP("934-012000-100",B:AB,3+8,0),0)</f>
        <v>0</v>
      </c>
      <c r="M785">
        <f>IFERROR(VLOOKUP("934-012000-100",B:AB,4+8,0),0)</f>
        <v>0</v>
      </c>
      <c r="N785">
        <f>IFERROR(VLOOKUP("934-012000-100",B:AB,5+8,0),0)</f>
        <v>0</v>
      </c>
      <c r="O785">
        <f>IFERROR(VLOOKUP("934-012000-100",B:AB,6+8,0),0)</f>
        <v>0</v>
      </c>
      <c r="P785">
        <f>IFERROR(VLOOKUP("934-012000-100",B:AB,7+8,0),0)</f>
        <v>0</v>
      </c>
      <c r="Q785">
        <f>IFERROR(VLOOKUP("934-012000-100",B:AB,8+8,0),0)</f>
        <v>0</v>
      </c>
      <c r="R785">
        <f>IFERROR(VLOOKUP("934-012000-100",B:AB,9+8,0),0)</f>
        <v>0</v>
      </c>
      <c r="S785">
        <f>IFERROR(VLOOKUP("934-012000-100",B:AB,10+8,0),0)</f>
        <v>0</v>
      </c>
      <c r="T785">
        <f>IFERROR(VLOOKUP("934-012000-100",B:AB,11+8,0),0)</f>
        <v>0</v>
      </c>
      <c r="U785">
        <f>IFERROR(VLOOKUP("934-012000-100",B:AB,12+8,0),0)</f>
        <v>0</v>
      </c>
      <c r="V785">
        <f>IFERROR(VLOOKUP("934-012000-100",B:AB,13+8,0),0)</f>
        <v>0</v>
      </c>
      <c r="W785">
        <f>IFERROR(VLOOKUP("934-012000-100",B:AB,14+8,0),0)</f>
        <v>0</v>
      </c>
      <c r="X785">
        <f>IFERROR(VLOOKUP("934-012000-100",B:AB,15+8,0),0)</f>
        <v>0</v>
      </c>
      <c r="Y785">
        <f>IFERROR(VLOOKUP("934-012000-100",B:AB,16+8,0),0)</f>
        <v>0</v>
      </c>
      <c r="Z785">
        <f>IFERROR(VLOOKUP("934-012000-100",B:AB,17+8,0),0)</f>
        <v>0</v>
      </c>
      <c r="AA785">
        <f>IFERROR(VLOOKUP("934-012000-100",B:AB,18+8,0),0)</f>
        <v>0</v>
      </c>
      <c r="AB785">
        <f>IFERROR(VLOOKUP("934-012000-100",B:AB,19+8,0),0)</f>
        <v>0</v>
      </c>
      <c r="AC785">
        <f>IFERROR(VLOOKUP("934-012000-100",B:AB,20+8,0),0)</f>
        <v>0</v>
      </c>
      <c r="AD785">
        <f>IFERROR(VLOOKUP("934-012000-100",B:AB,21+8,0),0)</f>
        <v>0</v>
      </c>
      <c r="AE785">
        <f>IFERROR(VLOOKUP("934-012000-100",B:AB,22+8,0),0)</f>
        <v>0</v>
      </c>
      <c r="AF785">
        <f>IFERROR(VLOOKUP("934-012000-100",B:AB,23+8,0),0)</f>
        <v>0</v>
      </c>
      <c r="AG785">
        <f>IFERROR(VLOOKUP("934-012000-100",B:AB,24+8,0),0)</f>
        <v>0</v>
      </c>
      <c r="AH785">
        <f>IFERROR(VLOOKUP("934-012000-100",B:AB,25+8,0),0)</f>
        <v>0</v>
      </c>
      <c r="AI785">
        <f>IFERROR(VLOOKUP("934-012000-100",B:AB,26+8,0),0)</f>
        <v>0</v>
      </c>
      <c r="AJ785">
        <f>IFERROR(VLOOKUP("934-012000-100",B:AB,27+8,0),0)</f>
        <v>0</v>
      </c>
      <c r="AK785">
        <f>IFERROR(VLOOKUP("934-012000-100",B:AB,28+8,0),0)</f>
        <v>0</v>
      </c>
      <c r="AL785">
        <f>IFERROR(VLOOKUP("934-012000-100",B:AB,29+8,0),0)</f>
        <v>0</v>
      </c>
      <c r="AM785">
        <f>IFERROR(VLOOKUP("934-012000-100",B:AB,30+8,0),0)</f>
        <v>0</v>
      </c>
      <c r="AN785">
        <f>IFERROR(VLOOKUP("934-012000-100",B:AB,31+8,0),0)</f>
        <v>0</v>
      </c>
      <c r="AO785">
        <f>SUN(INDIRECT(ADDRESS(784,8)):INDIRECT(ADDRESS(784,39)))</f>
        <v>0</v>
      </c>
    </row>
    <row r="786" spans="1:41">
      <c r="H786" t="s">
        <v>179</v>
      </c>
      <c r="J786">
        <f>INDIRECT(ADDRESS(786,9))+INDIRECT(ADDRESS(784,10))-INDIRECT(ADDRESS(785,10))</f>
        <v>0</v>
      </c>
      <c r="K786">
        <f>INDIRECT(ADDRESS(786,10))+INDIRECT(ADDRESS(784,11))-INDIRECT(ADDRESS(785,11))</f>
        <v>0</v>
      </c>
      <c r="L786">
        <f>INDIRECT(ADDRESS(786,11))+INDIRECT(ADDRESS(784,12))-INDIRECT(ADDRESS(785,12))</f>
        <v>0</v>
      </c>
      <c r="M786">
        <f>INDIRECT(ADDRESS(786,12))+INDIRECT(ADDRESS(784,13))-INDIRECT(ADDRESS(785,13))</f>
        <v>0</v>
      </c>
      <c r="N786">
        <f>INDIRECT(ADDRESS(786,13))+INDIRECT(ADDRESS(784,14))-INDIRECT(ADDRESS(785,14))</f>
        <v>0</v>
      </c>
      <c r="O786">
        <f>INDIRECT(ADDRESS(786,14))+INDIRECT(ADDRESS(784,15))-INDIRECT(ADDRESS(785,15))</f>
        <v>0</v>
      </c>
      <c r="P786">
        <f>INDIRECT(ADDRESS(786,15))+INDIRECT(ADDRESS(784,16))-INDIRECT(ADDRESS(785,16))</f>
        <v>0</v>
      </c>
      <c r="Q786">
        <f>INDIRECT(ADDRESS(786,16))+INDIRECT(ADDRESS(784,17))-INDIRECT(ADDRESS(785,17))</f>
        <v>0</v>
      </c>
      <c r="R786">
        <f>INDIRECT(ADDRESS(786,17))+INDIRECT(ADDRESS(784,18))-INDIRECT(ADDRESS(785,18))</f>
        <v>0</v>
      </c>
      <c r="S786">
        <f>INDIRECT(ADDRESS(786,18))+INDIRECT(ADDRESS(784,19))-INDIRECT(ADDRESS(785,19))</f>
        <v>0</v>
      </c>
      <c r="T786">
        <f>INDIRECT(ADDRESS(786,19))+INDIRECT(ADDRESS(784,20))-INDIRECT(ADDRESS(785,20))</f>
        <v>0</v>
      </c>
      <c r="U786">
        <f>INDIRECT(ADDRESS(786,20))+INDIRECT(ADDRESS(784,21))-INDIRECT(ADDRESS(785,21))</f>
        <v>0</v>
      </c>
      <c r="V786">
        <f>INDIRECT(ADDRESS(786,21))+INDIRECT(ADDRESS(784,22))-INDIRECT(ADDRESS(785,22))</f>
        <v>0</v>
      </c>
      <c r="W786">
        <f>INDIRECT(ADDRESS(786,22))+INDIRECT(ADDRESS(784,23))-INDIRECT(ADDRESS(785,23))</f>
        <v>0</v>
      </c>
      <c r="X786">
        <f>INDIRECT(ADDRESS(786,23))+INDIRECT(ADDRESS(784,24))-INDIRECT(ADDRESS(785,24))</f>
        <v>0</v>
      </c>
      <c r="Y786">
        <f>INDIRECT(ADDRESS(786,24))+INDIRECT(ADDRESS(784,25))-INDIRECT(ADDRESS(785,25))</f>
        <v>0</v>
      </c>
      <c r="Z786">
        <f>INDIRECT(ADDRESS(786,25))+INDIRECT(ADDRESS(784,26))-INDIRECT(ADDRESS(785,26))</f>
        <v>0</v>
      </c>
      <c r="AA786">
        <f>INDIRECT(ADDRESS(786,26))+INDIRECT(ADDRESS(784,27))-INDIRECT(ADDRESS(785,27))</f>
        <v>0</v>
      </c>
      <c r="AB786">
        <f>INDIRECT(ADDRESS(786,27))+INDIRECT(ADDRESS(784,28))-INDIRECT(ADDRESS(785,28))</f>
        <v>0</v>
      </c>
      <c r="AC786">
        <f>INDIRECT(ADDRESS(786,28))+INDIRECT(ADDRESS(784,29))-INDIRECT(ADDRESS(785,29))</f>
        <v>0</v>
      </c>
      <c r="AD786">
        <f>INDIRECT(ADDRESS(786,29))+INDIRECT(ADDRESS(784,30))-INDIRECT(ADDRESS(785,30))</f>
        <v>0</v>
      </c>
      <c r="AE786">
        <f>INDIRECT(ADDRESS(786,30))+INDIRECT(ADDRESS(784,31))-INDIRECT(ADDRESS(785,31))</f>
        <v>0</v>
      </c>
      <c r="AF786">
        <f>INDIRECT(ADDRESS(786,31))+INDIRECT(ADDRESS(784,32))-INDIRECT(ADDRESS(785,32))</f>
        <v>0</v>
      </c>
      <c r="AG786">
        <f>INDIRECT(ADDRESS(786,32))+INDIRECT(ADDRESS(784,33))-INDIRECT(ADDRESS(785,33))</f>
        <v>0</v>
      </c>
      <c r="AH786">
        <f>INDIRECT(ADDRESS(786,33))+INDIRECT(ADDRESS(784,34))-INDIRECT(ADDRESS(785,34))</f>
        <v>0</v>
      </c>
      <c r="AI786">
        <f>INDIRECT(ADDRESS(786,34))+INDIRECT(ADDRESS(784,35))-INDIRECT(ADDRESS(785,35))</f>
        <v>0</v>
      </c>
      <c r="AJ786">
        <f>INDIRECT(ADDRESS(786,35))+INDIRECT(ADDRESS(784,36))-INDIRECT(ADDRESS(785,36))</f>
        <v>0</v>
      </c>
      <c r="AK786">
        <f>INDIRECT(ADDRESS(786,36))+INDIRECT(ADDRESS(784,37))-INDIRECT(ADDRESS(785,37))</f>
        <v>0</v>
      </c>
      <c r="AL786">
        <f>INDIRECT(ADDRESS(786,37))+INDIRECT(ADDRESS(784,38))-INDIRECT(ADDRESS(785,38))</f>
        <v>0</v>
      </c>
      <c r="AM786">
        <f>INDIRECT(ADDRESS(786,38))+INDIRECT(ADDRESS(784,39))-INDIRECT(ADDRESS(785,39))</f>
        <v>0</v>
      </c>
      <c r="AN786">
        <f>INDIRECT(ADDRESS(786,39))+INDIRECT(ADDRESS(784,40))-INDIRECT(ADDRESS(785,40))</f>
        <v>0</v>
      </c>
      <c r="AO786">
        <f>SUM(INDIRECT(ADDRESS(785,8)):INDIRECT(ADDRESS(785,39)))</f>
        <v>0</v>
      </c>
    </row>
    <row r="787" spans="1:41">
      <c r="A787" t="s">
        <v>206</v>
      </c>
      <c r="B787" t="s">
        <v>447</v>
      </c>
      <c r="C787" t="s">
        <v>448</v>
      </c>
      <c r="E787">
        <v>0.02</v>
      </c>
      <c r="I787" t="s">
        <v>177</v>
      </c>
    </row>
    <row r="788" spans="1:41">
      <c r="I788" t="s">
        <v>178</v>
      </c>
      <c r="J788">
        <f>IFERROR(VLOOKUP("934-012000-100",B:AB,1+8,0),0)</f>
        <v>0</v>
      </c>
      <c r="K788">
        <f>IFERROR(VLOOKUP("934-012000-100",B:AB,2+8,0),0)</f>
        <v>0</v>
      </c>
      <c r="L788">
        <f>IFERROR(VLOOKUP("934-012000-100",B:AB,3+8,0),0)</f>
        <v>0</v>
      </c>
      <c r="M788">
        <f>IFERROR(VLOOKUP("934-012000-100",B:AB,4+8,0),0)</f>
        <v>0</v>
      </c>
      <c r="N788">
        <f>IFERROR(VLOOKUP("934-012000-100",B:AB,5+8,0),0)</f>
        <v>0</v>
      </c>
      <c r="O788">
        <f>IFERROR(VLOOKUP("934-012000-100",B:AB,6+8,0),0)</f>
        <v>0</v>
      </c>
      <c r="P788">
        <f>IFERROR(VLOOKUP("934-012000-100",B:AB,7+8,0),0)</f>
        <v>0</v>
      </c>
      <c r="Q788">
        <f>IFERROR(VLOOKUP("934-012000-100",B:AB,8+8,0),0)</f>
        <v>0</v>
      </c>
      <c r="R788">
        <f>IFERROR(VLOOKUP("934-012000-100",B:AB,9+8,0),0)</f>
        <v>0</v>
      </c>
      <c r="S788">
        <f>IFERROR(VLOOKUP("934-012000-100",B:AB,10+8,0),0)</f>
        <v>0</v>
      </c>
      <c r="T788">
        <f>IFERROR(VLOOKUP("934-012000-100",B:AB,11+8,0),0)</f>
        <v>0</v>
      </c>
      <c r="U788">
        <f>IFERROR(VLOOKUP("934-012000-100",B:AB,12+8,0),0)</f>
        <v>0</v>
      </c>
      <c r="V788">
        <f>IFERROR(VLOOKUP("934-012000-100",B:AB,13+8,0),0)</f>
        <v>0</v>
      </c>
      <c r="W788">
        <f>IFERROR(VLOOKUP("934-012000-100",B:AB,14+8,0),0)</f>
        <v>0</v>
      </c>
      <c r="X788">
        <f>IFERROR(VLOOKUP("934-012000-100",B:AB,15+8,0),0)</f>
        <v>0</v>
      </c>
      <c r="Y788">
        <f>IFERROR(VLOOKUP("934-012000-100",B:AB,16+8,0),0)</f>
        <v>0</v>
      </c>
      <c r="Z788">
        <f>IFERROR(VLOOKUP("934-012000-100",B:AB,17+8,0),0)</f>
        <v>0</v>
      </c>
      <c r="AA788">
        <f>IFERROR(VLOOKUP("934-012000-100",B:AB,18+8,0),0)</f>
        <v>0</v>
      </c>
      <c r="AB788">
        <f>IFERROR(VLOOKUP("934-012000-100",B:AB,19+8,0),0)</f>
        <v>0</v>
      </c>
      <c r="AC788">
        <f>IFERROR(VLOOKUP("934-012000-100",B:AB,20+8,0),0)</f>
        <v>0</v>
      </c>
      <c r="AD788">
        <f>IFERROR(VLOOKUP("934-012000-100",B:AB,21+8,0),0)</f>
        <v>0</v>
      </c>
      <c r="AE788">
        <f>IFERROR(VLOOKUP("934-012000-100",B:AB,22+8,0),0)</f>
        <v>0</v>
      </c>
      <c r="AF788">
        <f>IFERROR(VLOOKUP("934-012000-100",B:AB,23+8,0),0)</f>
        <v>0</v>
      </c>
      <c r="AG788">
        <f>IFERROR(VLOOKUP("934-012000-100",B:AB,24+8,0),0)</f>
        <v>0</v>
      </c>
      <c r="AH788">
        <f>IFERROR(VLOOKUP("934-012000-100",B:AB,25+8,0),0)</f>
        <v>0</v>
      </c>
      <c r="AI788">
        <f>IFERROR(VLOOKUP("934-012000-100",B:AB,26+8,0),0)</f>
        <v>0</v>
      </c>
      <c r="AJ788">
        <f>IFERROR(VLOOKUP("934-012000-100",B:AB,27+8,0),0)</f>
        <v>0</v>
      </c>
      <c r="AK788">
        <f>IFERROR(VLOOKUP("934-012000-100",B:AB,28+8,0),0)</f>
        <v>0</v>
      </c>
      <c r="AL788">
        <f>IFERROR(VLOOKUP("934-012000-100",B:AB,29+8,0),0)</f>
        <v>0</v>
      </c>
      <c r="AM788">
        <f>IFERROR(VLOOKUP("934-012000-100",B:AB,30+8,0),0)</f>
        <v>0</v>
      </c>
      <c r="AN788">
        <f>IFERROR(VLOOKUP("934-012000-100",B:AB,31+8,0),0)</f>
        <v>0</v>
      </c>
      <c r="AO788">
        <f>SUN(INDIRECT(ADDRESS(787,8)):INDIRECT(ADDRESS(787,39)))</f>
        <v>0</v>
      </c>
    </row>
    <row r="789" spans="1:41">
      <c r="H789" t="s">
        <v>179</v>
      </c>
      <c r="J789">
        <f>INDIRECT(ADDRESS(789,9))+INDIRECT(ADDRESS(787,10))-INDIRECT(ADDRESS(788,10))</f>
        <v>0</v>
      </c>
      <c r="K789">
        <f>INDIRECT(ADDRESS(789,10))+INDIRECT(ADDRESS(787,11))-INDIRECT(ADDRESS(788,11))</f>
        <v>0</v>
      </c>
      <c r="L789">
        <f>INDIRECT(ADDRESS(789,11))+INDIRECT(ADDRESS(787,12))-INDIRECT(ADDRESS(788,12))</f>
        <v>0</v>
      </c>
      <c r="M789">
        <f>INDIRECT(ADDRESS(789,12))+INDIRECT(ADDRESS(787,13))-INDIRECT(ADDRESS(788,13))</f>
        <v>0</v>
      </c>
      <c r="N789">
        <f>INDIRECT(ADDRESS(789,13))+INDIRECT(ADDRESS(787,14))-INDIRECT(ADDRESS(788,14))</f>
        <v>0</v>
      </c>
      <c r="O789">
        <f>INDIRECT(ADDRESS(789,14))+INDIRECT(ADDRESS(787,15))-INDIRECT(ADDRESS(788,15))</f>
        <v>0</v>
      </c>
      <c r="P789">
        <f>INDIRECT(ADDRESS(789,15))+INDIRECT(ADDRESS(787,16))-INDIRECT(ADDRESS(788,16))</f>
        <v>0</v>
      </c>
      <c r="Q789">
        <f>INDIRECT(ADDRESS(789,16))+INDIRECT(ADDRESS(787,17))-INDIRECT(ADDRESS(788,17))</f>
        <v>0</v>
      </c>
      <c r="R789">
        <f>INDIRECT(ADDRESS(789,17))+INDIRECT(ADDRESS(787,18))-INDIRECT(ADDRESS(788,18))</f>
        <v>0</v>
      </c>
      <c r="S789">
        <f>INDIRECT(ADDRESS(789,18))+INDIRECT(ADDRESS(787,19))-INDIRECT(ADDRESS(788,19))</f>
        <v>0</v>
      </c>
      <c r="T789">
        <f>INDIRECT(ADDRESS(789,19))+INDIRECT(ADDRESS(787,20))-INDIRECT(ADDRESS(788,20))</f>
        <v>0</v>
      </c>
      <c r="U789">
        <f>INDIRECT(ADDRESS(789,20))+INDIRECT(ADDRESS(787,21))-INDIRECT(ADDRESS(788,21))</f>
        <v>0</v>
      </c>
      <c r="V789">
        <f>INDIRECT(ADDRESS(789,21))+INDIRECT(ADDRESS(787,22))-INDIRECT(ADDRESS(788,22))</f>
        <v>0</v>
      </c>
      <c r="W789">
        <f>INDIRECT(ADDRESS(789,22))+INDIRECT(ADDRESS(787,23))-INDIRECT(ADDRESS(788,23))</f>
        <v>0</v>
      </c>
      <c r="X789">
        <f>INDIRECT(ADDRESS(789,23))+INDIRECT(ADDRESS(787,24))-INDIRECT(ADDRESS(788,24))</f>
        <v>0</v>
      </c>
      <c r="Y789">
        <f>INDIRECT(ADDRESS(789,24))+INDIRECT(ADDRESS(787,25))-INDIRECT(ADDRESS(788,25))</f>
        <v>0</v>
      </c>
      <c r="Z789">
        <f>INDIRECT(ADDRESS(789,25))+INDIRECT(ADDRESS(787,26))-INDIRECT(ADDRESS(788,26))</f>
        <v>0</v>
      </c>
      <c r="AA789">
        <f>INDIRECT(ADDRESS(789,26))+INDIRECT(ADDRESS(787,27))-INDIRECT(ADDRESS(788,27))</f>
        <v>0</v>
      </c>
      <c r="AB789">
        <f>INDIRECT(ADDRESS(789,27))+INDIRECT(ADDRESS(787,28))-INDIRECT(ADDRESS(788,28))</f>
        <v>0</v>
      </c>
      <c r="AC789">
        <f>INDIRECT(ADDRESS(789,28))+INDIRECT(ADDRESS(787,29))-INDIRECT(ADDRESS(788,29))</f>
        <v>0</v>
      </c>
      <c r="AD789">
        <f>INDIRECT(ADDRESS(789,29))+INDIRECT(ADDRESS(787,30))-INDIRECT(ADDRESS(788,30))</f>
        <v>0</v>
      </c>
      <c r="AE789">
        <f>INDIRECT(ADDRESS(789,30))+INDIRECT(ADDRESS(787,31))-INDIRECT(ADDRESS(788,31))</f>
        <v>0</v>
      </c>
      <c r="AF789">
        <f>INDIRECT(ADDRESS(789,31))+INDIRECT(ADDRESS(787,32))-INDIRECT(ADDRESS(788,32))</f>
        <v>0</v>
      </c>
      <c r="AG789">
        <f>INDIRECT(ADDRESS(789,32))+INDIRECT(ADDRESS(787,33))-INDIRECT(ADDRESS(788,33))</f>
        <v>0</v>
      </c>
      <c r="AH789">
        <f>INDIRECT(ADDRESS(789,33))+INDIRECT(ADDRESS(787,34))-INDIRECT(ADDRESS(788,34))</f>
        <v>0</v>
      </c>
      <c r="AI789">
        <f>INDIRECT(ADDRESS(789,34))+INDIRECT(ADDRESS(787,35))-INDIRECT(ADDRESS(788,35))</f>
        <v>0</v>
      </c>
      <c r="AJ789">
        <f>INDIRECT(ADDRESS(789,35))+INDIRECT(ADDRESS(787,36))-INDIRECT(ADDRESS(788,36))</f>
        <v>0</v>
      </c>
      <c r="AK789">
        <f>INDIRECT(ADDRESS(789,36))+INDIRECT(ADDRESS(787,37))-INDIRECT(ADDRESS(788,37))</f>
        <v>0</v>
      </c>
      <c r="AL789">
        <f>INDIRECT(ADDRESS(789,37))+INDIRECT(ADDRESS(787,38))-INDIRECT(ADDRESS(788,38))</f>
        <v>0</v>
      </c>
      <c r="AM789">
        <f>INDIRECT(ADDRESS(789,38))+INDIRECT(ADDRESS(787,39))-INDIRECT(ADDRESS(788,39))</f>
        <v>0</v>
      </c>
      <c r="AN789">
        <f>INDIRECT(ADDRESS(789,39))+INDIRECT(ADDRESS(787,40))-INDIRECT(ADDRESS(788,40))</f>
        <v>0</v>
      </c>
      <c r="AO789">
        <f>SUM(INDIRECT(ADDRESS(788,8)):INDIRECT(ADDRESS(788,39)))</f>
        <v>0</v>
      </c>
    </row>
    <row r="790" spans="1:41">
      <c r="A790" t="s">
        <v>8</v>
      </c>
      <c r="B790" t="s">
        <v>67</v>
      </c>
      <c r="C790" t="s">
        <v>68</v>
      </c>
      <c r="E790">
        <v>1</v>
      </c>
      <c r="I790" t="s">
        <v>177</v>
      </c>
    </row>
    <row r="791" spans="1:41">
      <c r="I791" t="s">
        <v>178</v>
      </c>
      <c r="J791">
        <f>IFERROR(VLOOKUP("921-060000-200",Out!B:AB,1+8,0),0)</f>
        <v>0</v>
      </c>
      <c r="K791">
        <f>IFERROR(VLOOKUP("921-060000-200",Out!B:AB,2+8,0),0)</f>
        <v>0</v>
      </c>
      <c r="L791">
        <f>IFERROR(VLOOKUP("921-060000-200",Out!B:AB,3+8,0),0)</f>
        <v>0</v>
      </c>
      <c r="M791">
        <f>IFERROR(VLOOKUP("921-060000-200",Out!B:AB,4+8,0),0)</f>
        <v>0</v>
      </c>
      <c r="N791">
        <f>IFERROR(VLOOKUP("921-060000-200",Out!B:AB,5+8,0),0)</f>
        <v>0</v>
      </c>
      <c r="O791">
        <f>IFERROR(VLOOKUP("921-060000-200",Out!B:AB,6+8,0),0)</f>
        <v>0</v>
      </c>
      <c r="P791">
        <f>IFERROR(VLOOKUP("921-060000-200",Out!B:AB,7+8,0),0)</f>
        <v>0</v>
      </c>
      <c r="Q791">
        <f>IFERROR(VLOOKUP("921-060000-200",Out!B:AB,8+8,0),0)</f>
        <v>0</v>
      </c>
      <c r="R791">
        <f>IFERROR(VLOOKUP("921-060000-200",Out!B:AB,9+8,0),0)</f>
        <v>0</v>
      </c>
      <c r="S791">
        <f>IFERROR(VLOOKUP("921-060000-200",Out!B:AB,10+8,0),0)</f>
        <v>0</v>
      </c>
      <c r="T791">
        <f>IFERROR(VLOOKUP("921-060000-200",Out!B:AB,11+8,0),0)</f>
        <v>0</v>
      </c>
      <c r="U791">
        <f>IFERROR(VLOOKUP("921-060000-200",Out!B:AB,12+8,0),0)</f>
        <v>0</v>
      </c>
      <c r="V791">
        <f>IFERROR(VLOOKUP("921-060000-200",Out!B:AB,13+8,0),0)</f>
        <v>0</v>
      </c>
      <c r="W791">
        <f>IFERROR(VLOOKUP("921-060000-200",Out!B:AB,14+8,0),0)</f>
        <v>0</v>
      </c>
      <c r="X791">
        <f>IFERROR(VLOOKUP("921-060000-200",Out!B:AB,15+8,0),0)</f>
        <v>0</v>
      </c>
      <c r="Y791">
        <f>IFERROR(VLOOKUP("921-060000-200",Out!B:AB,16+8,0),0)</f>
        <v>0</v>
      </c>
      <c r="Z791">
        <f>IFERROR(VLOOKUP("921-060000-200",Out!B:AB,17+8,0),0)</f>
        <v>0</v>
      </c>
      <c r="AA791">
        <f>IFERROR(VLOOKUP("921-060000-200",Out!B:AB,18+8,0),0)</f>
        <v>0</v>
      </c>
      <c r="AB791">
        <f>IFERROR(VLOOKUP("921-060000-200",Out!B:AB,19+8,0),0)</f>
        <v>0</v>
      </c>
      <c r="AC791">
        <f>IFERROR(VLOOKUP("921-060000-200",Out!B:AB,20+8,0),0)</f>
        <v>0</v>
      </c>
      <c r="AD791">
        <f>IFERROR(VLOOKUP("921-060000-200",Out!B:AB,21+8,0),0)</f>
        <v>0</v>
      </c>
      <c r="AE791">
        <f>IFERROR(VLOOKUP("921-060000-200",Out!B:AB,22+8,0),0)</f>
        <v>0</v>
      </c>
      <c r="AF791">
        <f>IFERROR(VLOOKUP("921-060000-200",Out!B:AB,23+8,0),0)</f>
        <v>0</v>
      </c>
      <c r="AG791">
        <f>IFERROR(VLOOKUP("921-060000-200",Out!B:AB,24+8,0),0)</f>
        <v>0</v>
      </c>
      <c r="AH791">
        <f>IFERROR(VLOOKUP("921-060000-200",Out!B:AB,25+8,0),0)</f>
        <v>0</v>
      </c>
      <c r="AI791">
        <f>IFERROR(VLOOKUP("921-060000-200",Out!B:AB,26+8,0),0)</f>
        <v>0</v>
      </c>
      <c r="AJ791">
        <f>IFERROR(VLOOKUP("921-060000-200",Out!B:AB,27+8,0),0)</f>
        <v>0</v>
      </c>
      <c r="AK791">
        <f>IFERROR(VLOOKUP("921-060000-200",Out!B:AB,28+8,0),0)</f>
        <v>0</v>
      </c>
      <c r="AL791">
        <f>IFERROR(VLOOKUP("921-060000-200",Out!B:AB,29+8,0),0)</f>
        <v>0</v>
      </c>
      <c r="AM791">
        <f>IFERROR(VLOOKUP("921-060000-200",Out!B:AB,30+8,0),0)</f>
        <v>0</v>
      </c>
      <c r="AN791">
        <f>IFERROR(VLOOKUP("921-060000-200",Out!B:AB,31+8,0),0)</f>
        <v>0</v>
      </c>
      <c r="AO791">
        <f>SUN(INDIRECT(ADDRESS(790,8)):INDIRECT(ADDRESS(790,39)))</f>
        <v>0</v>
      </c>
    </row>
    <row r="792" spans="1:41">
      <c r="H792" t="s">
        <v>179</v>
      </c>
      <c r="J792">
        <f>INDIRECT(ADDRESS(792,9))+INDIRECT(ADDRESS(790,10))-INDIRECT(ADDRESS(791,10))</f>
        <v>0</v>
      </c>
      <c r="K792">
        <f>INDIRECT(ADDRESS(792,10))+INDIRECT(ADDRESS(790,11))-INDIRECT(ADDRESS(791,11))</f>
        <v>0</v>
      </c>
      <c r="L792">
        <f>INDIRECT(ADDRESS(792,11))+INDIRECT(ADDRESS(790,12))-INDIRECT(ADDRESS(791,12))</f>
        <v>0</v>
      </c>
      <c r="M792">
        <f>INDIRECT(ADDRESS(792,12))+INDIRECT(ADDRESS(790,13))-INDIRECT(ADDRESS(791,13))</f>
        <v>0</v>
      </c>
      <c r="N792">
        <f>INDIRECT(ADDRESS(792,13))+INDIRECT(ADDRESS(790,14))-INDIRECT(ADDRESS(791,14))</f>
        <v>0</v>
      </c>
      <c r="O792">
        <f>INDIRECT(ADDRESS(792,14))+INDIRECT(ADDRESS(790,15))-INDIRECT(ADDRESS(791,15))</f>
        <v>0</v>
      </c>
      <c r="P792">
        <f>INDIRECT(ADDRESS(792,15))+INDIRECT(ADDRESS(790,16))-INDIRECT(ADDRESS(791,16))</f>
        <v>0</v>
      </c>
      <c r="Q792">
        <f>INDIRECT(ADDRESS(792,16))+INDIRECT(ADDRESS(790,17))-INDIRECT(ADDRESS(791,17))</f>
        <v>0</v>
      </c>
      <c r="R792">
        <f>INDIRECT(ADDRESS(792,17))+INDIRECT(ADDRESS(790,18))-INDIRECT(ADDRESS(791,18))</f>
        <v>0</v>
      </c>
      <c r="S792">
        <f>INDIRECT(ADDRESS(792,18))+INDIRECT(ADDRESS(790,19))-INDIRECT(ADDRESS(791,19))</f>
        <v>0</v>
      </c>
      <c r="T792">
        <f>INDIRECT(ADDRESS(792,19))+INDIRECT(ADDRESS(790,20))-INDIRECT(ADDRESS(791,20))</f>
        <v>0</v>
      </c>
      <c r="U792">
        <f>INDIRECT(ADDRESS(792,20))+INDIRECT(ADDRESS(790,21))-INDIRECT(ADDRESS(791,21))</f>
        <v>0</v>
      </c>
      <c r="V792">
        <f>INDIRECT(ADDRESS(792,21))+INDIRECT(ADDRESS(790,22))-INDIRECT(ADDRESS(791,22))</f>
        <v>0</v>
      </c>
      <c r="W792">
        <f>INDIRECT(ADDRESS(792,22))+INDIRECT(ADDRESS(790,23))-INDIRECT(ADDRESS(791,23))</f>
        <v>0</v>
      </c>
      <c r="X792">
        <f>INDIRECT(ADDRESS(792,23))+INDIRECT(ADDRESS(790,24))-INDIRECT(ADDRESS(791,24))</f>
        <v>0</v>
      </c>
      <c r="Y792">
        <f>INDIRECT(ADDRESS(792,24))+INDIRECT(ADDRESS(790,25))-INDIRECT(ADDRESS(791,25))</f>
        <v>0</v>
      </c>
      <c r="Z792">
        <f>INDIRECT(ADDRESS(792,25))+INDIRECT(ADDRESS(790,26))-INDIRECT(ADDRESS(791,26))</f>
        <v>0</v>
      </c>
      <c r="AA792">
        <f>INDIRECT(ADDRESS(792,26))+INDIRECT(ADDRESS(790,27))-INDIRECT(ADDRESS(791,27))</f>
        <v>0</v>
      </c>
      <c r="AB792">
        <f>INDIRECT(ADDRESS(792,27))+INDIRECT(ADDRESS(790,28))-INDIRECT(ADDRESS(791,28))</f>
        <v>0</v>
      </c>
      <c r="AC792">
        <f>INDIRECT(ADDRESS(792,28))+INDIRECT(ADDRESS(790,29))-INDIRECT(ADDRESS(791,29))</f>
        <v>0</v>
      </c>
      <c r="AD792">
        <f>INDIRECT(ADDRESS(792,29))+INDIRECT(ADDRESS(790,30))-INDIRECT(ADDRESS(791,30))</f>
        <v>0</v>
      </c>
      <c r="AE792">
        <f>INDIRECT(ADDRESS(792,30))+INDIRECT(ADDRESS(790,31))-INDIRECT(ADDRESS(791,31))</f>
        <v>0</v>
      </c>
      <c r="AF792">
        <f>INDIRECT(ADDRESS(792,31))+INDIRECT(ADDRESS(790,32))-INDIRECT(ADDRESS(791,32))</f>
        <v>0</v>
      </c>
      <c r="AG792">
        <f>INDIRECT(ADDRESS(792,32))+INDIRECT(ADDRESS(790,33))-INDIRECT(ADDRESS(791,33))</f>
        <v>0</v>
      </c>
      <c r="AH792">
        <f>INDIRECT(ADDRESS(792,33))+INDIRECT(ADDRESS(790,34))-INDIRECT(ADDRESS(791,34))</f>
        <v>0</v>
      </c>
      <c r="AI792">
        <f>INDIRECT(ADDRESS(792,34))+INDIRECT(ADDRESS(790,35))-INDIRECT(ADDRESS(791,35))</f>
        <v>0</v>
      </c>
      <c r="AJ792">
        <f>INDIRECT(ADDRESS(792,35))+INDIRECT(ADDRESS(790,36))-INDIRECT(ADDRESS(791,36))</f>
        <v>0</v>
      </c>
      <c r="AK792">
        <f>INDIRECT(ADDRESS(792,36))+INDIRECT(ADDRESS(790,37))-INDIRECT(ADDRESS(791,37))</f>
        <v>0</v>
      </c>
      <c r="AL792">
        <f>INDIRECT(ADDRESS(792,37))+INDIRECT(ADDRESS(790,38))-INDIRECT(ADDRESS(791,38))</f>
        <v>0</v>
      </c>
      <c r="AM792">
        <f>INDIRECT(ADDRESS(792,38))+INDIRECT(ADDRESS(790,39))-INDIRECT(ADDRESS(791,39))</f>
        <v>0</v>
      </c>
      <c r="AN792">
        <f>INDIRECT(ADDRESS(792,39))+INDIRECT(ADDRESS(790,40))-INDIRECT(ADDRESS(791,40))</f>
        <v>0</v>
      </c>
      <c r="AO792">
        <f>SUM(INDIRECT(ADDRESS(791,8)):INDIRECT(ADDRESS(791,39)))</f>
        <v>0</v>
      </c>
    </row>
    <row r="793" spans="1:41">
      <c r="A793" t="s">
        <v>180</v>
      </c>
      <c r="B793" t="s">
        <v>449</v>
      </c>
      <c r="C793" t="s">
        <v>450</v>
      </c>
      <c r="E793">
        <v>1</v>
      </c>
      <c r="I793" t="s">
        <v>177</v>
      </c>
    </row>
    <row r="794" spans="1:41">
      <c r="I794" t="s">
        <v>178</v>
      </c>
      <c r="J794">
        <f>IFERROR(VLOOKUP("921-060000-200",B:AB,1+8,0),0)</f>
        <v>0</v>
      </c>
      <c r="K794">
        <f>IFERROR(VLOOKUP("921-060000-200",B:AB,2+8,0),0)</f>
        <v>0</v>
      </c>
      <c r="L794">
        <f>IFERROR(VLOOKUP("921-060000-200",B:AB,3+8,0),0)</f>
        <v>0</v>
      </c>
      <c r="M794">
        <f>IFERROR(VLOOKUP("921-060000-200",B:AB,4+8,0),0)</f>
        <v>0</v>
      </c>
      <c r="N794">
        <f>IFERROR(VLOOKUP("921-060000-200",B:AB,5+8,0),0)</f>
        <v>0</v>
      </c>
      <c r="O794">
        <f>IFERROR(VLOOKUP("921-060000-200",B:AB,6+8,0),0)</f>
        <v>0</v>
      </c>
      <c r="P794">
        <f>IFERROR(VLOOKUP("921-060000-200",B:AB,7+8,0),0)</f>
        <v>0</v>
      </c>
      <c r="Q794">
        <f>IFERROR(VLOOKUP("921-060000-200",B:AB,8+8,0),0)</f>
        <v>0</v>
      </c>
      <c r="R794">
        <f>IFERROR(VLOOKUP("921-060000-200",B:AB,9+8,0),0)</f>
        <v>0</v>
      </c>
      <c r="S794">
        <f>IFERROR(VLOOKUP("921-060000-200",B:AB,10+8,0),0)</f>
        <v>0</v>
      </c>
      <c r="T794">
        <f>IFERROR(VLOOKUP("921-060000-200",B:AB,11+8,0),0)</f>
        <v>0</v>
      </c>
      <c r="U794">
        <f>IFERROR(VLOOKUP("921-060000-200",B:AB,12+8,0),0)</f>
        <v>0</v>
      </c>
      <c r="V794">
        <f>IFERROR(VLOOKUP("921-060000-200",B:AB,13+8,0),0)</f>
        <v>0</v>
      </c>
      <c r="W794">
        <f>IFERROR(VLOOKUP("921-060000-200",B:AB,14+8,0),0)</f>
        <v>0</v>
      </c>
      <c r="X794">
        <f>IFERROR(VLOOKUP("921-060000-200",B:AB,15+8,0),0)</f>
        <v>0</v>
      </c>
      <c r="Y794">
        <f>IFERROR(VLOOKUP("921-060000-200",B:AB,16+8,0),0)</f>
        <v>0</v>
      </c>
      <c r="Z794">
        <f>IFERROR(VLOOKUP("921-060000-200",B:AB,17+8,0),0)</f>
        <v>0</v>
      </c>
      <c r="AA794">
        <f>IFERROR(VLOOKUP("921-060000-200",B:AB,18+8,0),0)</f>
        <v>0</v>
      </c>
      <c r="AB794">
        <f>IFERROR(VLOOKUP("921-060000-200",B:AB,19+8,0),0)</f>
        <v>0</v>
      </c>
      <c r="AC794">
        <f>IFERROR(VLOOKUP("921-060000-200",B:AB,20+8,0),0)</f>
        <v>0</v>
      </c>
      <c r="AD794">
        <f>IFERROR(VLOOKUP("921-060000-200",B:AB,21+8,0),0)</f>
        <v>0</v>
      </c>
      <c r="AE794">
        <f>IFERROR(VLOOKUP("921-060000-200",B:AB,22+8,0),0)</f>
        <v>0</v>
      </c>
      <c r="AF794">
        <f>IFERROR(VLOOKUP("921-060000-200",B:AB,23+8,0),0)</f>
        <v>0</v>
      </c>
      <c r="AG794">
        <f>IFERROR(VLOOKUP("921-060000-200",B:AB,24+8,0),0)</f>
        <v>0</v>
      </c>
      <c r="AH794">
        <f>IFERROR(VLOOKUP("921-060000-200",B:AB,25+8,0),0)</f>
        <v>0</v>
      </c>
      <c r="AI794">
        <f>IFERROR(VLOOKUP("921-060000-200",B:AB,26+8,0),0)</f>
        <v>0</v>
      </c>
      <c r="AJ794">
        <f>IFERROR(VLOOKUP("921-060000-200",B:AB,27+8,0),0)</f>
        <v>0</v>
      </c>
      <c r="AK794">
        <f>IFERROR(VLOOKUP("921-060000-200",B:AB,28+8,0),0)</f>
        <v>0</v>
      </c>
      <c r="AL794">
        <f>IFERROR(VLOOKUP("921-060000-200",B:AB,29+8,0),0)</f>
        <v>0</v>
      </c>
      <c r="AM794">
        <f>IFERROR(VLOOKUP("921-060000-200",B:AB,30+8,0),0)</f>
        <v>0</v>
      </c>
      <c r="AN794">
        <f>IFERROR(VLOOKUP("921-060000-200",B:AB,31+8,0),0)</f>
        <v>0</v>
      </c>
      <c r="AO794">
        <f>SUN(INDIRECT(ADDRESS(793,8)):INDIRECT(ADDRESS(793,39)))</f>
        <v>0</v>
      </c>
    </row>
    <row r="795" spans="1:41">
      <c r="H795" t="s">
        <v>179</v>
      </c>
      <c r="J795">
        <f>INDIRECT(ADDRESS(795,9))+INDIRECT(ADDRESS(793,10))-INDIRECT(ADDRESS(794,10))</f>
        <v>0</v>
      </c>
      <c r="K795">
        <f>INDIRECT(ADDRESS(795,10))+INDIRECT(ADDRESS(793,11))-INDIRECT(ADDRESS(794,11))</f>
        <v>0</v>
      </c>
      <c r="L795">
        <f>INDIRECT(ADDRESS(795,11))+INDIRECT(ADDRESS(793,12))-INDIRECT(ADDRESS(794,12))</f>
        <v>0</v>
      </c>
      <c r="M795">
        <f>INDIRECT(ADDRESS(795,12))+INDIRECT(ADDRESS(793,13))-INDIRECT(ADDRESS(794,13))</f>
        <v>0</v>
      </c>
      <c r="N795">
        <f>INDIRECT(ADDRESS(795,13))+INDIRECT(ADDRESS(793,14))-INDIRECT(ADDRESS(794,14))</f>
        <v>0</v>
      </c>
      <c r="O795">
        <f>INDIRECT(ADDRESS(795,14))+INDIRECT(ADDRESS(793,15))-INDIRECT(ADDRESS(794,15))</f>
        <v>0</v>
      </c>
      <c r="P795">
        <f>INDIRECT(ADDRESS(795,15))+INDIRECT(ADDRESS(793,16))-INDIRECT(ADDRESS(794,16))</f>
        <v>0</v>
      </c>
      <c r="Q795">
        <f>INDIRECT(ADDRESS(795,16))+INDIRECT(ADDRESS(793,17))-INDIRECT(ADDRESS(794,17))</f>
        <v>0</v>
      </c>
      <c r="R795">
        <f>INDIRECT(ADDRESS(795,17))+INDIRECT(ADDRESS(793,18))-INDIRECT(ADDRESS(794,18))</f>
        <v>0</v>
      </c>
      <c r="S795">
        <f>INDIRECT(ADDRESS(795,18))+INDIRECT(ADDRESS(793,19))-INDIRECT(ADDRESS(794,19))</f>
        <v>0</v>
      </c>
      <c r="T795">
        <f>INDIRECT(ADDRESS(795,19))+INDIRECT(ADDRESS(793,20))-INDIRECT(ADDRESS(794,20))</f>
        <v>0</v>
      </c>
      <c r="U795">
        <f>INDIRECT(ADDRESS(795,20))+INDIRECT(ADDRESS(793,21))-INDIRECT(ADDRESS(794,21))</f>
        <v>0</v>
      </c>
      <c r="V795">
        <f>INDIRECT(ADDRESS(795,21))+INDIRECT(ADDRESS(793,22))-INDIRECT(ADDRESS(794,22))</f>
        <v>0</v>
      </c>
      <c r="W795">
        <f>INDIRECT(ADDRESS(795,22))+INDIRECT(ADDRESS(793,23))-INDIRECT(ADDRESS(794,23))</f>
        <v>0</v>
      </c>
      <c r="X795">
        <f>INDIRECT(ADDRESS(795,23))+INDIRECT(ADDRESS(793,24))-INDIRECT(ADDRESS(794,24))</f>
        <v>0</v>
      </c>
      <c r="Y795">
        <f>INDIRECT(ADDRESS(795,24))+INDIRECT(ADDRESS(793,25))-INDIRECT(ADDRESS(794,25))</f>
        <v>0</v>
      </c>
      <c r="Z795">
        <f>INDIRECT(ADDRESS(795,25))+INDIRECT(ADDRESS(793,26))-INDIRECT(ADDRESS(794,26))</f>
        <v>0</v>
      </c>
      <c r="AA795">
        <f>INDIRECT(ADDRESS(795,26))+INDIRECT(ADDRESS(793,27))-INDIRECT(ADDRESS(794,27))</f>
        <v>0</v>
      </c>
      <c r="AB795">
        <f>INDIRECT(ADDRESS(795,27))+INDIRECT(ADDRESS(793,28))-INDIRECT(ADDRESS(794,28))</f>
        <v>0</v>
      </c>
      <c r="AC795">
        <f>INDIRECT(ADDRESS(795,28))+INDIRECT(ADDRESS(793,29))-INDIRECT(ADDRESS(794,29))</f>
        <v>0</v>
      </c>
      <c r="AD795">
        <f>INDIRECT(ADDRESS(795,29))+INDIRECT(ADDRESS(793,30))-INDIRECT(ADDRESS(794,30))</f>
        <v>0</v>
      </c>
      <c r="AE795">
        <f>INDIRECT(ADDRESS(795,30))+INDIRECT(ADDRESS(793,31))-INDIRECT(ADDRESS(794,31))</f>
        <v>0</v>
      </c>
      <c r="AF795">
        <f>INDIRECT(ADDRESS(795,31))+INDIRECT(ADDRESS(793,32))-INDIRECT(ADDRESS(794,32))</f>
        <v>0</v>
      </c>
      <c r="AG795">
        <f>INDIRECT(ADDRESS(795,32))+INDIRECT(ADDRESS(793,33))-INDIRECT(ADDRESS(794,33))</f>
        <v>0</v>
      </c>
      <c r="AH795">
        <f>INDIRECT(ADDRESS(795,33))+INDIRECT(ADDRESS(793,34))-INDIRECT(ADDRESS(794,34))</f>
        <v>0</v>
      </c>
      <c r="AI795">
        <f>INDIRECT(ADDRESS(795,34))+INDIRECT(ADDRESS(793,35))-INDIRECT(ADDRESS(794,35))</f>
        <v>0</v>
      </c>
      <c r="AJ795">
        <f>INDIRECT(ADDRESS(795,35))+INDIRECT(ADDRESS(793,36))-INDIRECT(ADDRESS(794,36))</f>
        <v>0</v>
      </c>
      <c r="AK795">
        <f>INDIRECT(ADDRESS(795,36))+INDIRECT(ADDRESS(793,37))-INDIRECT(ADDRESS(794,37))</f>
        <v>0</v>
      </c>
      <c r="AL795">
        <f>INDIRECT(ADDRESS(795,37))+INDIRECT(ADDRESS(793,38))-INDIRECT(ADDRESS(794,38))</f>
        <v>0</v>
      </c>
      <c r="AM795">
        <f>INDIRECT(ADDRESS(795,38))+INDIRECT(ADDRESS(793,39))-INDIRECT(ADDRESS(794,39))</f>
        <v>0</v>
      </c>
      <c r="AN795">
        <f>INDIRECT(ADDRESS(795,39))+INDIRECT(ADDRESS(793,40))-INDIRECT(ADDRESS(794,40))</f>
        <v>0</v>
      </c>
      <c r="AO795">
        <f>SUM(INDIRECT(ADDRESS(794,8)):INDIRECT(ADDRESS(794,39)))</f>
        <v>0</v>
      </c>
    </row>
    <row r="796" spans="1:41">
      <c r="A796" t="s">
        <v>180</v>
      </c>
      <c r="B796" t="s">
        <v>451</v>
      </c>
      <c r="C796" t="s">
        <v>452</v>
      </c>
      <c r="E796">
        <v>1</v>
      </c>
      <c r="I796" t="s">
        <v>177</v>
      </c>
    </row>
    <row r="797" spans="1:41">
      <c r="I797" t="s">
        <v>178</v>
      </c>
      <c r="J797">
        <f>IFERROR(VLOOKUP("921-060000-200",B:AB,1+8,0),0)</f>
        <v>0</v>
      </c>
      <c r="K797">
        <f>IFERROR(VLOOKUP("921-060000-200",B:AB,2+8,0),0)</f>
        <v>0</v>
      </c>
      <c r="L797">
        <f>IFERROR(VLOOKUP("921-060000-200",B:AB,3+8,0),0)</f>
        <v>0</v>
      </c>
      <c r="M797">
        <f>IFERROR(VLOOKUP("921-060000-200",B:AB,4+8,0),0)</f>
        <v>0</v>
      </c>
      <c r="N797">
        <f>IFERROR(VLOOKUP("921-060000-200",B:AB,5+8,0),0)</f>
        <v>0</v>
      </c>
      <c r="O797">
        <f>IFERROR(VLOOKUP("921-060000-200",B:AB,6+8,0),0)</f>
        <v>0</v>
      </c>
      <c r="P797">
        <f>IFERROR(VLOOKUP("921-060000-200",B:AB,7+8,0),0)</f>
        <v>0</v>
      </c>
      <c r="Q797">
        <f>IFERROR(VLOOKUP("921-060000-200",B:AB,8+8,0),0)</f>
        <v>0</v>
      </c>
      <c r="R797">
        <f>IFERROR(VLOOKUP("921-060000-200",B:AB,9+8,0),0)</f>
        <v>0</v>
      </c>
      <c r="S797">
        <f>IFERROR(VLOOKUP("921-060000-200",B:AB,10+8,0),0)</f>
        <v>0</v>
      </c>
      <c r="T797">
        <f>IFERROR(VLOOKUP("921-060000-200",B:AB,11+8,0),0)</f>
        <v>0</v>
      </c>
      <c r="U797">
        <f>IFERROR(VLOOKUP("921-060000-200",B:AB,12+8,0),0)</f>
        <v>0</v>
      </c>
      <c r="V797">
        <f>IFERROR(VLOOKUP("921-060000-200",B:AB,13+8,0),0)</f>
        <v>0</v>
      </c>
      <c r="W797">
        <f>IFERROR(VLOOKUP("921-060000-200",B:AB,14+8,0),0)</f>
        <v>0</v>
      </c>
      <c r="X797">
        <f>IFERROR(VLOOKUP("921-060000-200",B:AB,15+8,0),0)</f>
        <v>0</v>
      </c>
      <c r="Y797">
        <f>IFERROR(VLOOKUP("921-060000-200",B:AB,16+8,0),0)</f>
        <v>0</v>
      </c>
      <c r="Z797">
        <f>IFERROR(VLOOKUP("921-060000-200",B:AB,17+8,0),0)</f>
        <v>0</v>
      </c>
      <c r="AA797">
        <f>IFERROR(VLOOKUP("921-060000-200",B:AB,18+8,0),0)</f>
        <v>0</v>
      </c>
      <c r="AB797">
        <f>IFERROR(VLOOKUP("921-060000-200",B:AB,19+8,0),0)</f>
        <v>0</v>
      </c>
      <c r="AC797">
        <f>IFERROR(VLOOKUP("921-060000-200",B:AB,20+8,0),0)</f>
        <v>0</v>
      </c>
      <c r="AD797">
        <f>IFERROR(VLOOKUP("921-060000-200",B:AB,21+8,0),0)</f>
        <v>0</v>
      </c>
      <c r="AE797">
        <f>IFERROR(VLOOKUP("921-060000-200",B:AB,22+8,0),0)</f>
        <v>0</v>
      </c>
      <c r="AF797">
        <f>IFERROR(VLOOKUP("921-060000-200",B:AB,23+8,0),0)</f>
        <v>0</v>
      </c>
      <c r="AG797">
        <f>IFERROR(VLOOKUP("921-060000-200",B:AB,24+8,0),0)</f>
        <v>0</v>
      </c>
      <c r="AH797">
        <f>IFERROR(VLOOKUP("921-060000-200",B:AB,25+8,0),0)</f>
        <v>0</v>
      </c>
      <c r="AI797">
        <f>IFERROR(VLOOKUP("921-060000-200",B:AB,26+8,0),0)</f>
        <v>0</v>
      </c>
      <c r="AJ797">
        <f>IFERROR(VLOOKUP("921-060000-200",B:AB,27+8,0),0)</f>
        <v>0</v>
      </c>
      <c r="AK797">
        <f>IFERROR(VLOOKUP("921-060000-200",B:AB,28+8,0),0)</f>
        <v>0</v>
      </c>
      <c r="AL797">
        <f>IFERROR(VLOOKUP("921-060000-200",B:AB,29+8,0),0)</f>
        <v>0</v>
      </c>
      <c r="AM797">
        <f>IFERROR(VLOOKUP("921-060000-200",B:AB,30+8,0),0)</f>
        <v>0</v>
      </c>
      <c r="AN797">
        <f>IFERROR(VLOOKUP("921-060000-200",B:AB,31+8,0),0)</f>
        <v>0</v>
      </c>
      <c r="AO797">
        <f>SUN(INDIRECT(ADDRESS(796,8)):INDIRECT(ADDRESS(796,39)))</f>
        <v>0</v>
      </c>
    </row>
    <row r="798" spans="1:41">
      <c r="H798" t="s">
        <v>179</v>
      </c>
      <c r="J798">
        <f>INDIRECT(ADDRESS(798,9))+INDIRECT(ADDRESS(796,10))-INDIRECT(ADDRESS(797,10))</f>
        <v>0</v>
      </c>
      <c r="K798">
        <f>INDIRECT(ADDRESS(798,10))+INDIRECT(ADDRESS(796,11))-INDIRECT(ADDRESS(797,11))</f>
        <v>0</v>
      </c>
      <c r="L798">
        <f>INDIRECT(ADDRESS(798,11))+INDIRECT(ADDRESS(796,12))-INDIRECT(ADDRESS(797,12))</f>
        <v>0</v>
      </c>
      <c r="M798">
        <f>INDIRECT(ADDRESS(798,12))+INDIRECT(ADDRESS(796,13))-INDIRECT(ADDRESS(797,13))</f>
        <v>0</v>
      </c>
      <c r="N798">
        <f>INDIRECT(ADDRESS(798,13))+INDIRECT(ADDRESS(796,14))-INDIRECT(ADDRESS(797,14))</f>
        <v>0</v>
      </c>
      <c r="O798">
        <f>INDIRECT(ADDRESS(798,14))+INDIRECT(ADDRESS(796,15))-INDIRECT(ADDRESS(797,15))</f>
        <v>0</v>
      </c>
      <c r="P798">
        <f>INDIRECT(ADDRESS(798,15))+INDIRECT(ADDRESS(796,16))-INDIRECT(ADDRESS(797,16))</f>
        <v>0</v>
      </c>
      <c r="Q798">
        <f>INDIRECT(ADDRESS(798,16))+INDIRECT(ADDRESS(796,17))-INDIRECT(ADDRESS(797,17))</f>
        <v>0</v>
      </c>
      <c r="R798">
        <f>INDIRECT(ADDRESS(798,17))+INDIRECT(ADDRESS(796,18))-INDIRECT(ADDRESS(797,18))</f>
        <v>0</v>
      </c>
      <c r="S798">
        <f>INDIRECT(ADDRESS(798,18))+INDIRECT(ADDRESS(796,19))-INDIRECT(ADDRESS(797,19))</f>
        <v>0</v>
      </c>
      <c r="T798">
        <f>INDIRECT(ADDRESS(798,19))+INDIRECT(ADDRESS(796,20))-INDIRECT(ADDRESS(797,20))</f>
        <v>0</v>
      </c>
      <c r="U798">
        <f>INDIRECT(ADDRESS(798,20))+INDIRECT(ADDRESS(796,21))-INDIRECT(ADDRESS(797,21))</f>
        <v>0</v>
      </c>
      <c r="V798">
        <f>INDIRECT(ADDRESS(798,21))+INDIRECT(ADDRESS(796,22))-INDIRECT(ADDRESS(797,22))</f>
        <v>0</v>
      </c>
      <c r="W798">
        <f>INDIRECT(ADDRESS(798,22))+INDIRECT(ADDRESS(796,23))-INDIRECT(ADDRESS(797,23))</f>
        <v>0</v>
      </c>
      <c r="X798">
        <f>INDIRECT(ADDRESS(798,23))+INDIRECT(ADDRESS(796,24))-INDIRECT(ADDRESS(797,24))</f>
        <v>0</v>
      </c>
      <c r="Y798">
        <f>INDIRECT(ADDRESS(798,24))+INDIRECT(ADDRESS(796,25))-INDIRECT(ADDRESS(797,25))</f>
        <v>0</v>
      </c>
      <c r="Z798">
        <f>INDIRECT(ADDRESS(798,25))+INDIRECT(ADDRESS(796,26))-INDIRECT(ADDRESS(797,26))</f>
        <v>0</v>
      </c>
      <c r="AA798">
        <f>INDIRECT(ADDRESS(798,26))+INDIRECT(ADDRESS(796,27))-INDIRECT(ADDRESS(797,27))</f>
        <v>0</v>
      </c>
      <c r="AB798">
        <f>INDIRECT(ADDRESS(798,27))+INDIRECT(ADDRESS(796,28))-INDIRECT(ADDRESS(797,28))</f>
        <v>0</v>
      </c>
      <c r="AC798">
        <f>INDIRECT(ADDRESS(798,28))+INDIRECT(ADDRESS(796,29))-INDIRECT(ADDRESS(797,29))</f>
        <v>0</v>
      </c>
      <c r="AD798">
        <f>INDIRECT(ADDRESS(798,29))+INDIRECT(ADDRESS(796,30))-INDIRECT(ADDRESS(797,30))</f>
        <v>0</v>
      </c>
      <c r="AE798">
        <f>INDIRECT(ADDRESS(798,30))+INDIRECT(ADDRESS(796,31))-INDIRECT(ADDRESS(797,31))</f>
        <v>0</v>
      </c>
      <c r="AF798">
        <f>INDIRECT(ADDRESS(798,31))+INDIRECT(ADDRESS(796,32))-INDIRECT(ADDRESS(797,32))</f>
        <v>0</v>
      </c>
      <c r="AG798">
        <f>INDIRECT(ADDRESS(798,32))+INDIRECT(ADDRESS(796,33))-INDIRECT(ADDRESS(797,33))</f>
        <v>0</v>
      </c>
      <c r="AH798">
        <f>INDIRECT(ADDRESS(798,33))+INDIRECT(ADDRESS(796,34))-INDIRECT(ADDRESS(797,34))</f>
        <v>0</v>
      </c>
      <c r="AI798">
        <f>INDIRECT(ADDRESS(798,34))+INDIRECT(ADDRESS(796,35))-INDIRECT(ADDRESS(797,35))</f>
        <v>0</v>
      </c>
      <c r="AJ798">
        <f>INDIRECT(ADDRESS(798,35))+INDIRECT(ADDRESS(796,36))-INDIRECT(ADDRESS(797,36))</f>
        <v>0</v>
      </c>
      <c r="AK798">
        <f>INDIRECT(ADDRESS(798,36))+INDIRECT(ADDRESS(796,37))-INDIRECT(ADDRESS(797,37))</f>
        <v>0</v>
      </c>
      <c r="AL798">
        <f>INDIRECT(ADDRESS(798,37))+INDIRECT(ADDRESS(796,38))-INDIRECT(ADDRESS(797,38))</f>
        <v>0</v>
      </c>
      <c r="AM798">
        <f>INDIRECT(ADDRESS(798,38))+INDIRECT(ADDRESS(796,39))-INDIRECT(ADDRESS(797,39))</f>
        <v>0</v>
      </c>
      <c r="AN798">
        <f>INDIRECT(ADDRESS(798,39))+INDIRECT(ADDRESS(796,40))-INDIRECT(ADDRESS(797,40))</f>
        <v>0</v>
      </c>
      <c r="AO798">
        <f>SUM(INDIRECT(ADDRESS(797,8)):INDIRECT(ADDRESS(797,39)))</f>
        <v>0</v>
      </c>
    </row>
    <row r="799" spans="1:41">
      <c r="A799" t="s">
        <v>185</v>
      </c>
      <c r="B799" t="s">
        <v>453</v>
      </c>
      <c r="C799" t="s">
        <v>454</v>
      </c>
      <c r="E799">
        <v>1</v>
      </c>
      <c r="I799" t="s">
        <v>177</v>
      </c>
    </row>
    <row r="800" spans="1:41">
      <c r="I800" t="s">
        <v>178</v>
      </c>
      <c r="J800">
        <f>IFERROR(VLOOKUP("921-060000-200",B:AB,1+8,0),0)</f>
        <v>0</v>
      </c>
      <c r="K800">
        <f>IFERROR(VLOOKUP("921-060000-200",B:AB,2+8,0),0)</f>
        <v>0</v>
      </c>
      <c r="L800">
        <f>IFERROR(VLOOKUP("921-060000-200",B:AB,3+8,0),0)</f>
        <v>0</v>
      </c>
      <c r="M800">
        <f>IFERROR(VLOOKUP("921-060000-200",B:AB,4+8,0),0)</f>
        <v>0</v>
      </c>
      <c r="N800">
        <f>IFERROR(VLOOKUP("921-060000-200",B:AB,5+8,0),0)</f>
        <v>0</v>
      </c>
      <c r="O800">
        <f>IFERROR(VLOOKUP("921-060000-200",B:AB,6+8,0),0)</f>
        <v>0</v>
      </c>
      <c r="P800">
        <f>IFERROR(VLOOKUP("921-060000-200",B:AB,7+8,0),0)</f>
        <v>0</v>
      </c>
      <c r="Q800">
        <f>IFERROR(VLOOKUP("921-060000-200",B:AB,8+8,0),0)</f>
        <v>0</v>
      </c>
      <c r="R800">
        <f>IFERROR(VLOOKUP("921-060000-200",B:AB,9+8,0),0)</f>
        <v>0</v>
      </c>
      <c r="S800">
        <f>IFERROR(VLOOKUP("921-060000-200",B:AB,10+8,0),0)</f>
        <v>0</v>
      </c>
      <c r="T800">
        <f>IFERROR(VLOOKUP("921-060000-200",B:AB,11+8,0),0)</f>
        <v>0</v>
      </c>
      <c r="U800">
        <f>IFERROR(VLOOKUP("921-060000-200",B:AB,12+8,0),0)</f>
        <v>0</v>
      </c>
      <c r="V800">
        <f>IFERROR(VLOOKUP("921-060000-200",B:AB,13+8,0),0)</f>
        <v>0</v>
      </c>
      <c r="W800">
        <f>IFERROR(VLOOKUP("921-060000-200",B:AB,14+8,0),0)</f>
        <v>0</v>
      </c>
      <c r="X800">
        <f>IFERROR(VLOOKUP("921-060000-200",B:AB,15+8,0),0)</f>
        <v>0</v>
      </c>
      <c r="Y800">
        <f>IFERROR(VLOOKUP("921-060000-200",B:AB,16+8,0),0)</f>
        <v>0</v>
      </c>
      <c r="Z800">
        <f>IFERROR(VLOOKUP("921-060000-200",B:AB,17+8,0),0)</f>
        <v>0</v>
      </c>
      <c r="AA800">
        <f>IFERROR(VLOOKUP("921-060000-200",B:AB,18+8,0),0)</f>
        <v>0</v>
      </c>
      <c r="AB800">
        <f>IFERROR(VLOOKUP("921-060000-200",B:AB,19+8,0),0)</f>
        <v>0</v>
      </c>
      <c r="AC800">
        <f>IFERROR(VLOOKUP("921-060000-200",B:AB,20+8,0),0)</f>
        <v>0</v>
      </c>
      <c r="AD800">
        <f>IFERROR(VLOOKUP("921-060000-200",B:AB,21+8,0),0)</f>
        <v>0</v>
      </c>
      <c r="AE800">
        <f>IFERROR(VLOOKUP("921-060000-200",B:AB,22+8,0),0)</f>
        <v>0</v>
      </c>
      <c r="AF800">
        <f>IFERROR(VLOOKUP("921-060000-200",B:AB,23+8,0),0)</f>
        <v>0</v>
      </c>
      <c r="AG800">
        <f>IFERROR(VLOOKUP("921-060000-200",B:AB,24+8,0),0)</f>
        <v>0</v>
      </c>
      <c r="AH800">
        <f>IFERROR(VLOOKUP("921-060000-200",B:AB,25+8,0),0)</f>
        <v>0</v>
      </c>
      <c r="AI800">
        <f>IFERROR(VLOOKUP("921-060000-200",B:AB,26+8,0),0)</f>
        <v>0</v>
      </c>
      <c r="AJ800">
        <f>IFERROR(VLOOKUP("921-060000-200",B:AB,27+8,0),0)</f>
        <v>0</v>
      </c>
      <c r="AK800">
        <f>IFERROR(VLOOKUP("921-060000-200",B:AB,28+8,0),0)</f>
        <v>0</v>
      </c>
      <c r="AL800">
        <f>IFERROR(VLOOKUP("921-060000-200",B:AB,29+8,0),0)</f>
        <v>0</v>
      </c>
      <c r="AM800">
        <f>IFERROR(VLOOKUP("921-060000-200",B:AB,30+8,0),0)</f>
        <v>0</v>
      </c>
      <c r="AN800">
        <f>IFERROR(VLOOKUP("921-060000-200",B:AB,31+8,0),0)</f>
        <v>0</v>
      </c>
      <c r="AO800">
        <f>SUN(INDIRECT(ADDRESS(799,8)):INDIRECT(ADDRESS(799,39)))</f>
        <v>0</v>
      </c>
    </row>
    <row r="801" spans="1:41">
      <c r="H801" t="s">
        <v>179</v>
      </c>
      <c r="J801">
        <f>INDIRECT(ADDRESS(801,9))+INDIRECT(ADDRESS(799,10))-INDIRECT(ADDRESS(800,10))</f>
        <v>0</v>
      </c>
      <c r="K801">
        <f>INDIRECT(ADDRESS(801,10))+INDIRECT(ADDRESS(799,11))-INDIRECT(ADDRESS(800,11))</f>
        <v>0</v>
      </c>
      <c r="L801">
        <f>INDIRECT(ADDRESS(801,11))+INDIRECT(ADDRESS(799,12))-INDIRECT(ADDRESS(800,12))</f>
        <v>0</v>
      </c>
      <c r="M801">
        <f>INDIRECT(ADDRESS(801,12))+INDIRECT(ADDRESS(799,13))-INDIRECT(ADDRESS(800,13))</f>
        <v>0</v>
      </c>
      <c r="N801">
        <f>INDIRECT(ADDRESS(801,13))+INDIRECT(ADDRESS(799,14))-INDIRECT(ADDRESS(800,14))</f>
        <v>0</v>
      </c>
      <c r="O801">
        <f>INDIRECT(ADDRESS(801,14))+INDIRECT(ADDRESS(799,15))-INDIRECT(ADDRESS(800,15))</f>
        <v>0</v>
      </c>
      <c r="P801">
        <f>INDIRECT(ADDRESS(801,15))+INDIRECT(ADDRESS(799,16))-INDIRECT(ADDRESS(800,16))</f>
        <v>0</v>
      </c>
      <c r="Q801">
        <f>INDIRECT(ADDRESS(801,16))+INDIRECT(ADDRESS(799,17))-INDIRECT(ADDRESS(800,17))</f>
        <v>0</v>
      </c>
      <c r="R801">
        <f>INDIRECT(ADDRESS(801,17))+INDIRECT(ADDRESS(799,18))-INDIRECT(ADDRESS(800,18))</f>
        <v>0</v>
      </c>
      <c r="S801">
        <f>INDIRECT(ADDRESS(801,18))+INDIRECT(ADDRESS(799,19))-INDIRECT(ADDRESS(800,19))</f>
        <v>0</v>
      </c>
      <c r="T801">
        <f>INDIRECT(ADDRESS(801,19))+INDIRECT(ADDRESS(799,20))-INDIRECT(ADDRESS(800,20))</f>
        <v>0</v>
      </c>
      <c r="U801">
        <f>INDIRECT(ADDRESS(801,20))+INDIRECT(ADDRESS(799,21))-INDIRECT(ADDRESS(800,21))</f>
        <v>0</v>
      </c>
      <c r="V801">
        <f>INDIRECT(ADDRESS(801,21))+INDIRECT(ADDRESS(799,22))-INDIRECT(ADDRESS(800,22))</f>
        <v>0</v>
      </c>
      <c r="W801">
        <f>INDIRECT(ADDRESS(801,22))+INDIRECT(ADDRESS(799,23))-INDIRECT(ADDRESS(800,23))</f>
        <v>0</v>
      </c>
      <c r="X801">
        <f>INDIRECT(ADDRESS(801,23))+INDIRECT(ADDRESS(799,24))-INDIRECT(ADDRESS(800,24))</f>
        <v>0</v>
      </c>
      <c r="Y801">
        <f>INDIRECT(ADDRESS(801,24))+INDIRECT(ADDRESS(799,25))-INDIRECT(ADDRESS(800,25))</f>
        <v>0</v>
      </c>
      <c r="Z801">
        <f>INDIRECT(ADDRESS(801,25))+INDIRECT(ADDRESS(799,26))-INDIRECT(ADDRESS(800,26))</f>
        <v>0</v>
      </c>
      <c r="AA801">
        <f>INDIRECT(ADDRESS(801,26))+INDIRECT(ADDRESS(799,27))-INDIRECT(ADDRESS(800,27))</f>
        <v>0</v>
      </c>
      <c r="AB801">
        <f>INDIRECT(ADDRESS(801,27))+INDIRECT(ADDRESS(799,28))-INDIRECT(ADDRESS(800,28))</f>
        <v>0</v>
      </c>
      <c r="AC801">
        <f>INDIRECT(ADDRESS(801,28))+INDIRECT(ADDRESS(799,29))-INDIRECT(ADDRESS(800,29))</f>
        <v>0</v>
      </c>
      <c r="AD801">
        <f>INDIRECT(ADDRESS(801,29))+INDIRECT(ADDRESS(799,30))-INDIRECT(ADDRESS(800,30))</f>
        <v>0</v>
      </c>
      <c r="AE801">
        <f>INDIRECT(ADDRESS(801,30))+INDIRECT(ADDRESS(799,31))-INDIRECT(ADDRESS(800,31))</f>
        <v>0</v>
      </c>
      <c r="AF801">
        <f>INDIRECT(ADDRESS(801,31))+INDIRECT(ADDRESS(799,32))-INDIRECT(ADDRESS(800,32))</f>
        <v>0</v>
      </c>
      <c r="AG801">
        <f>INDIRECT(ADDRESS(801,32))+INDIRECT(ADDRESS(799,33))-INDIRECT(ADDRESS(800,33))</f>
        <v>0</v>
      </c>
      <c r="AH801">
        <f>INDIRECT(ADDRESS(801,33))+INDIRECT(ADDRESS(799,34))-INDIRECT(ADDRESS(800,34))</f>
        <v>0</v>
      </c>
      <c r="AI801">
        <f>INDIRECT(ADDRESS(801,34))+INDIRECT(ADDRESS(799,35))-INDIRECT(ADDRESS(800,35))</f>
        <v>0</v>
      </c>
      <c r="AJ801">
        <f>INDIRECT(ADDRESS(801,35))+INDIRECT(ADDRESS(799,36))-INDIRECT(ADDRESS(800,36))</f>
        <v>0</v>
      </c>
      <c r="AK801">
        <f>INDIRECT(ADDRESS(801,36))+INDIRECT(ADDRESS(799,37))-INDIRECT(ADDRESS(800,37))</f>
        <v>0</v>
      </c>
      <c r="AL801">
        <f>INDIRECT(ADDRESS(801,37))+INDIRECT(ADDRESS(799,38))-INDIRECT(ADDRESS(800,38))</f>
        <v>0</v>
      </c>
      <c r="AM801">
        <f>INDIRECT(ADDRESS(801,38))+INDIRECT(ADDRESS(799,39))-INDIRECT(ADDRESS(800,39))</f>
        <v>0</v>
      </c>
      <c r="AN801">
        <f>INDIRECT(ADDRESS(801,39))+INDIRECT(ADDRESS(799,40))-INDIRECT(ADDRESS(800,40))</f>
        <v>0</v>
      </c>
      <c r="AO801">
        <f>SUM(INDIRECT(ADDRESS(800,8)):INDIRECT(ADDRESS(800,39)))</f>
        <v>0</v>
      </c>
    </row>
    <row r="802" spans="1:41">
      <c r="A802" t="s">
        <v>185</v>
      </c>
      <c r="B802" t="s">
        <v>455</v>
      </c>
      <c r="C802" t="s">
        <v>456</v>
      </c>
      <c r="E802">
        <v>1</v>
      </c>
      <c r="I802" t="s">
        <v>177</v>
      </c>
    </row>
    <row r="803" spans="1:41">
      <c r="I803" t="s">
        <v>178</v>
      </c>
      <c r="J803">
        <f>IFERROR(VLOOKUP("921-060000-200",B:AB,1+8,0),0)</f>
        <v>0</v>
      </c>
      <c r="K803">
        <f>IFERROR(VLOOKUP("921-060000-200",B:AB,2+8,0),0)</f>
        <v>0</v>
      </c>
      <c r="L803">
        <f>IFERROR(VLOOKUP("921-060000-200",B:AB,3+8,0),0)</f>
        <v>0</v>
      </c>
      <c r="M803">
        <f>IFERROR(VLOOKUP("921-060000-200",B:AB,4+8,0),0)</f>
        <v>0</v>
      </c>
      <c r="N803">
        <f>IFERROR(VLOOKUP("921-060000-200",B:AB,5+8,0),0)</f>
        <v>0</v>
      </c>
      <c r="O803">
        <f>IFERROR(VLOOKUP("921-060000-200",B:AB,6+8,0),0)</f>
        <v>0</v>
      </c>
      <c r="P803">
        <f>IFERROR(VLOOKUP("921-060000-200",B:AB,7+8,0),0)</f>
        <v>0</v>
      </c>
      <c r="Q803">
        <f>IFERROR(VLOOKUP("921-060000-200",B:AB,8+8,0),0)</f>
        <v>0</v>
      </c>
      <c r="R803">
        <f>IFERROR(VLOOKUP("921-060000-200",B:AB,9+8,0),0)</f>
        <v>0</v>
      </c>
      <c r="S803">
        <f>IFERROR(VLOOKUP("921-060000-200",B:AB,10+8,0),0)</f>
        <v>0</v>
      </c>
      <c r="T803">
        <f>IFERROR(VLOOKUP("921-060000-200",B:AB,11+8,0),0)</f>
        <v>0</v>
      </c>
      <c r="U803">
        <f>IFERROR(VLOOKUP("921-060000-200",B:AB,12+8,0),0)</f>
        <v>0</v>
      </c>
      <c r="V803">
        <f>IFERROR(VLOOKUP("921-060000-200",B:AB,13+8,0),0)</f>
        <v>0</v>
      </c>
      <c r="W803">
        <f>IFERROR(VLOOKUP("921-060000-200",B:AB,14+8,0),0)</f>
        <v>0</v>
      </c>
      <c r="X803">
        <f>IFERROR(VLOOKUP("921-060000-200",B:AB,15+8,0),0)</f>
        <v>0</v>
      </c>
      <c r="Y803">
        <f>IFERROR(VLOOKUP("921-060000-200",B:AB,16+8,0),0)</f>
        <v>0</v>
      </c>
      <c r="Z803">
        <f>IFERROR(VLOOKUP("921-060000-200",B:AB,17+8,0),0)</f>
        <v>0</v>
      </c>
      <c r="AA803">
        <f>IFERROR(VLOOKUP("921-060000-200",B:AB,18+8,0),0)</f>
        <v>0</v>
      </c>
      <c r="AB803">
        <f>IFERROR(VLOOKUP("921-060000-200",B:AB,19+8,0),0)</f>
        <v>0</v>
      </c>
      <c r="AC803">
        <f>IFERROR(VLOOKUP("921-060000-200",B:AB,20+8,0),0)</f>
        <v>0</v>
      </c>
      <c r="AD803">
        <f>IFERROR(VLOOKUP("921-060000-200",B:AB,21+8,0),0)</f>
        <v>0</v>
      </c>
      <c r="AE803">
        <f>IFERROR(VLOOKUP("921-060000-200",B:AB,22+8,0),0)</f>
        <v>0</v>
      </c>
      <c r="AF803">
        <f>IFERROR(VLOOKUP("921-060000-200",B:AB,23+8,0),0)</f>
        <v>0</v>
      </c>
      <c r="AG803">
        <f>IFERROR(VLOOKUP("921-060000-200",B:AB,24+8,0),0)</f>
        <v>0</v>
      </c>
      <c r="AH803">
        <f>IFERROR(VLOOKUP("921-060000-200",B:AB,25+8,0),0)</f>
        <v>0</v>
      </c>
      <c r="AI803">
        <f>IFERROR(VLOOKUP("921-060000-200",B:AB,26+8,0),0)</f>
        <v>0</v>
      </c>
      <c r="AJ803">
        <f>IFERROR(VLOOKUP("921-060000-200",B:AB,27+8,0),0)</f>
        <v>0</v>
      </c>
      <c r="AK803">
        <f>IFERROR(VLOOKUP("921-060000-200",B:AB,28+8,0),0)</f>
        <v>0</v>
      </c>
      <c r="AL803">
        <f>IFERROR(VLOOKUP("921-060000-200",B:AB,29+8,0),0)</f>
        <v>0</v>
      </c>
      <c r="AM803">
        <f>IFERROR(VLOOKUP("921-060000-200",B:AB,30+8,0),0)</f>
        <v>0</v>
      </c>
      <c r="AN803">
        <f>IFERROR(VLOOKUP("921-060000-200",B:AB,31+8,0),0)</f>
        <v>0</v>
      </c>
      <c r="AO803">
        <f>SUN(INDIRECT(ADDRESS(802,8)):INDIRECT(ADDRESS(802,39)))</f>
        <v>0</v>
      </c>
    </row>
    <row r="804" spans="1:41">
      <c r="H804" t="s">
        <v>179</v>
      </c>
      <c r="J804">
        <f>INDIRECT(ADDRESS(804,9))+INDIRECT(ADDRESS(802,10))-INDIRECT(ADDRESS(803,10))</f>
        <v>0</v>
      </c>
      <c r="K804">
        <f>INDIRECT(ADDRESS(804,10))+INDIRECT(ADDRESS(802,11))-INDIRECT(ADDRESS(803,11))</f>
        <v>0</v>
      </c>
      <c r="L804">
        <f>INDIRECT(ADDRESS(804,11))+INDIRECT(ADDRESS(802,12))-INDIRECT(ADDRESS(803,12))</f>
        <v>0</v>
      </c>
      <c r="M804">
        <f>INDIRECT(ADDRESS(804,12))+INDIRECT(ADDRESS(802,13))-INDIRECT(ADDRESS(803,13))</f>
        <v>0</v>
      </c>
      <c r="N804">
        <f>INDIRECT(ADDRESS(804,13))+INDIRECT(ADDRESS(802,14))-INDIRECT(ADDRESS(803,14))</f>
        <v>0</v>
      </c>
      <c r="O804">
        <f>INDIRECT(ADDRESS(804,14))+INDIRECT(ADDRESS(802,15))-INDIRECT(ADDRESS(803,15))</f>
        <v>0</v>
      </c>
      <c r="P804">
        <f>INDIRECT(ADDRESS(804,15))+INDIRECT(ADDRESS(802,16))-INDIRECT(ADDRESS(803,16))</f>
        <v>0</v>
      </c>
      <c r="Q804">
        <f>INDIRECT(ADDRESS(804,16))+INDIRECT(ADDRESS(802,17))-INDIRECT(ADDRESS(803,17))</f>
        <v>0</v>
      </c>
      <c r="R804">
        <f>INDIRECT(ADDRESS(804,17))+INDIRECT(ADDRESS(802,18))-INDIRECT(ADDRESS(803,18))</f>
        <v>0</v>
      </c>
      <c r="S804">
        <f>INDIRECT(ADDRESS(804,18))+INDIRECT(ADDRESS(802,19))-INDIRECT(ADDRESS(803,19))</f>
        <v>0</v>
      </c>
      <c r="T804">
        <f>INDIRECT(ADDRESS(804,19))+INDIRECT(ADDRESS(802,20))-INDIRECT(ADDRESS(803,20))</f>
        <v>0</v>
      </c>
      <c r="U804">
        <f>INDIRECT(ADDRESS(804,20))+INDIRECT(ADDRESS(802,21))-INDIRECT(ADDRESS(803,21))</f>
        <v>0</v>
      </c>
      <c r="V804">
        <f>INDIRECT(ADDRESS(804,21))+INDIRECT(ADDRESS(802,22))-INDIRECT(ADDRESS(803,22))</f>
        <v>0</v>
      </c>
      <c r="W804">
        <f>INDIRECT(ADDRESS(804,22))+INDIRECT(ADDRESS(802,23))-INDIRECT(ADDRESS(803,23))</f>
        <v>0</v>
      </c>
      <c r="X804">
        <f>INDIRECT(ADDRESS(804,23))+INDIRECT(ADDRESS(802,24))-INDIRECT(ADDRESS(803,24))</f>
        <v>0</v>
      </c>
      <c r="Y804">
        <f>INDIRECT(ADDRESS(804,24))+INDIRECT(ADDRESS(802,25))-INDIRECT(ADDRESS(803,25))</f>
        <v>0</v>
      </c>
      <c r="Z804">
        <f>INDIRECT(ADDRESS(804,25))+INDIRECT(ADDRESS(802,26))-INDIRECT(ADDRESS(803,26))</f>
        <v>0</v>
      </c>
      <c r="AA804">
        <f>INDIRECT(ADDRESS(804,26))+INDIRECT(ADDRESS(802,27))-INDIRECT(ADDRESS(803,27))</f>
        <v>0</v>
      </c>
      <c r="AB804">
        <f>INDIRECT(ADDRESS(804,27))+INDIRECT(ADDRESS(802,28))-INDIRECT(ADDRESS(803,28))</f>
        <v>0</v>
      </c>
      <c r="AC804">
        <f>INDIRECT(ADDRESS(804,28))+INDIRECT(ADDRESS(802,29))-INDIRECT(ADDRESS(803,29))</f>
        <v>0</v>
      </c>
      <c r="AD804">
        <f>INDIRECT(ADDRESS(804,29))+INDIRECT(ADDRESS(802,30))-INDIRECT(ADDRESS(803,30))</f>
        <v>0</v>
      </c>
      <c r="AE804">
        <f>INDIRECT(ADDRESS(804,30))+INDIRECT(ADDRESS(802,31))-INDIRECT(ADDRESS(803,31))</f>
        <v>0</v>
      </c>
      <c r="AF804">
        <f>INDIRECT(ADDRESS(804,31))+INDIRECT(ADDRESS(802,32))-INDIRECT(ADDRESS(803,32))</f>
        <v>0</v>
      </c>
      <c r="AG804">
        <f>INDIRECT(ADDRESS(804,32))+INDIRECT(ADDRESS(802,33))-INDIRECT(ADDRESS(803,33))</f>
        <v>0</v>
      </c>
      <c r="AH804">
        <f>INDIRECT(ADDRESS(804,33))+INDIRECT(ADDRESS(802,34))-INDIRECT(ADDRESS(803,34))</f>
        <v>0</v>
      </c>
      <c r="AI804">
        <f>INDIRECT(ADDRESS(804,34))+INDIRECT(ADDRESS(802,35))-INDIRECT(ADDRESS(803,35))</f>
        <v>0</v>
      </c>
      <c r="AJ804">
        <f>INDIRECT(ADDRESS(804,35))+INDIRECT(ADDRESS(802,36))-INDIRECT(ADDRESS(803,36))</f>
        <v>0</v>
      </c>
      <c r="AK804">
        <f>INDIRECT(ADDRESS(804,36))+INDIRECT(ADDRESS(802,37))-INDIRECT(ADDRESS(803,37))</f>
        <v>0</v>
      </c>
      <c r="AL804">
        <f>INDIRECT(ADDRESS(804,37))+INDIRECT(ADDRESS(802,38))-INDIRECT(ADDRESS(803,38))</f>
        <v>0</v>
      </c>
      <c r="AM804">
        <f>INDIRECT(ADDRESS(804,38))+INDIRECT(ADDRESS(802,39))-INDIRECT(ADDRESS(803,39))</f>
        <v>0</v>
      </c>
      <c r="AN804">
        <f>INDIRECT(ADDRESS(804,39))+INDIRECT(ADDRESS(802,40))-INDIRECT(ADDRESS(803,40))</f>
        <v>0</v>
      </c>
      <c r="AO804">
        <f>SUM(INDIRECT(ADDRESS(803,8)):INDIRECT(ADDRESS(803,39)))</f>
        <v>0</v>
      </c>
    </row>
    <row r="805" spans="1:41">
      <c r="A805" t="s">
        <v>185</v>
      </c>
      <c r="B805" t="s">
        <v>457</v>
      </c>
      <c r="C805" t="s">
        <v>458</v>
      </c>
      <c r="E805">
        <v>1</v>
      </c>
      <c r="I805" t="s">
        <v>177</v>
      </c>
    </row>
    <row r="806" spans="1:41">
      <c r="I806" t="s">
        <v>178</v>
      </c>
      <c r="J806">
        <f>IFERROR(VLOOKUP("921-060000-200",B:AB,1+8,0),0)</f>
        <v>0</v>
      </c>
      <c r="K806">
        <f>IFERROR(VLOOKUP("921-060000-200",B:AB,2+8,0),0)</f>
        <v>0</v>
      </c>
      <c r="L806">
        <f>IFERROR(VLOOKUP("921-060000-200",B:AB,3+8,0),0)</f>
        <v>0</v>
      </c>
      <c r="M806">
        <f>IFERROR(VLOOKUP("921-060000-200",B:AB,4+8,0),0)</f>
        <v>0</v>
      </c>
      <c r="N806">
        <f>IFERROR(VLOOKUP("921-060000-200",B:AB,5+8,0),0)</f>
        <v>0</v>
      </c>
      <c r="O806">
        <f>IFERROR(VLOOKUP("921-060000-200",B:AB,6+8,0),0)</f>
        <v>0</v>
      </c>
      <c r="P806">
        <f>IFERROR(VLOOKUP("921-060000-200",B:AB,7+8,0),0)</f>
        <v>0</v>
      </c>
      <c r="Q806">
        <f>IFERROR(VLOOKUP("921-060000-200",B:AB,8+8,0),0)</f>
        <v>0</v>
      </c>
      <c r="R806">
        <f>IFERROR(VLOOKUP("921-060000-200",B:AB,9+8,0),0)</f>
        <v>0</v>
      </c>
      <c r="S806">
        <f>IFERROR(VLOOKUP("921-060000-200",B:AB,10+8,0),0)</f>
        <v>0</v>
      </c>
      <c r="T806">
        <f>IFERROR(VLOOKUP("921-060000-200",B:AB,11+8,0),0)</f>
        <v>0</v>
      </c>
      <c r="U806">
        <f>IFERROR(VLOOKUP("921-060000-200",B:AB,12+8,0),0)</f>
        <v>0</v>
      </c>
      <c r="V806">
        <f>IFERROR(VLOOKUP("921-060000-200",B:AB,13+8,0),0)</f>
        <v>0</v>
      </c>
      <c r="W806">
        <f>IFERROR(VLOOKUP("921-060000-200",B:AB,14+8,0),0)</f>
        <v>0</v>
      </c>
      <c r="X806">
        <f>IFERROR(VLOOKUP("921-060000-200",B:AB,15+8,0),0)</f>
        <v>0</v>
      </c>
      <c r="Y806">
        <f>IFERROR(VLOOKUP("921-060000-200",B:AB,16+8,0),0)</f>
        <v>0</v>
      </c>
      <c r="Z806">
        <f>IFERROR(VLOOKUP("921-060000-200",B:AB,17+8,0),0)</f>
        <v>0</v>
      </c>
      <c r="AA806">
        <f>IFERROR(VLOOKUP("921-060000-200",B:AB,18+8,0),0)</f>
        <v>0</v>
      </c>
      <c r="AB806">
        <f>IFERROR(VLOOKUP("921-060000-200",B:AB,19+8,0),0)</f>
        <v>0</v>
      </c>
      <c r="AC806">
        <f>IFERROR(VLOOKUP("921-060000-200",B:AB,20+8,0),0)</f>
        <v>0</v>
      </c>
      <c r="AD806">
        <f>IFERROR(VLOOKUP("921-060000-200",B:AB,21+8,0),0)</f>
        <v>0</v>
      </c>
      <c r="AE806">
        <f>IFERROR(VLOOKUP("921-060000-200",B:AB,22+8,0),0)</f>
        <v>0</v>
      </c>
      <c r="AF806">
        <f>IFERROR(VLOOKUP("921-060000-200",B:AB,23+8,0),0)</f>
        <v>0</v>
      </c>
      <c r="AG806">
        <f>IFERROR(VLOOKUP("921-060000-200",B:AB,24+8,0),0)</f>
        <v>0</v>
      </c>
      <c r="AH806">
        <f>IFERROR(VLOOKUP("921-060000-200",B:AB,25+8,0),0)</f>
        <v>0</v>
      </c>
      <c r="AI806">
        <f>IFERROR(VLOOKUP("921-060000-200",B:AB,26+8,0),0)</f>
        <v>0</v>
      </c>
      <c r="AJ806">
        <f>IFERROR(VLOOKUP("921-060000-200",B:AB,27+8,0),0)</f>
        <v>0</v>
      </c>
      <c r="AK806">
        <f>IFERROR(VLOOKUP("921-060000-200",B:AB,28+8,0),0)</f>
        <v>0</v>
      </c>
      <c r="AL806">
        <f>IFERROR(VLOOKUP("921-060000-200",B:AB,29+8,0),0)</f>
        <v>0</v>
      </c>
      <c r="AM806">
        <f>IFERROR(VLOOKUP("921-060000-200",B:AB,30+8,0),0)</f>
        <v>0</v>
      </c>
      <c r="AN806">
        <f>IFERROR(VLOOKUP("921-060000-200",B:AB,31+8,0),0)</f>
        <v>0</v>
      </c>
      <c r="AO806">
        <f>SUN(INDIRECT(ADDRESS(805,8)):INDIRECT(ADDRESS(805,39)))</f>
        <v>0</v>
      </c>
    </row>
    <row r="807" spans="1:41">
      <c r="H807" t="s">
        <v>179</v>
      </c>
      <c r="J807">
        <f>INDIRECT(ADDRESS(807,9))+INDIRECT(ADDRESS(805,10))-INDIRECT(ADDRESS(806,10))</f>
        <v>0</v>
      </c>
      <c r="K807">
        <f>INDIRECT(ADDRESS(807,10))+INDIRECT(ADDRESS(805,11))-INDIRECT(ADDRESS(806,11))</f>
        <v>0</v>
      </c>
      <c r="L807">
        <f>INDIRECT(ADDRESS(807,11))+INDIRECT(ADDRESS(805,12))-INDIRECT(ADDRESS(806,12))</f>
        <v>0</v>
      </c>
      <c r="M807">
        <f>INDIRECT(ADDRESS(807,12))+INDIRECT(ADDRESS(805,13))-INDIRECT(ADDRESS(806,13))</f>
        <v>0</v>
      </c>
      <c r="N807">
        <f>INDIRECT(ADDRESS(807,13))+INDIRECT(ADDRESS(805,14))-INDIRECT(ADDRESS(806,14))</f>
        <v>0</v>
      </c>
      <c r="O807">
        <f>INDIRECT(ADDRESS(807,14))+INDIRECT(ADDRESS(805,15))-INDIRECT(ADDRESS(806,15))</f>
        <v>0</v>
      </c>
      <c r="P807">
        <f>INDIRECT(ADDRESS(807,15))+INDIRECT(ADDRESS(805,16))-INDIRECT(ADDRESS(806,16))</f>
        <v>0</v>
      </c>
      <c r="Q807">
        <f>INDIRECT(ADDRESS(807,16))+INDIRECT(ADDRESS(805,17))-INDIRECT(ADDRESS(806,17))</f>
        <v>0</v>
      </c>
      <c r="R807">
        <f>INDIRECT(ADDRESS(807,17))+INDIRECT(ADDRESS(805,18))-INDIRECT(ADDRESS(806,18))</f>
        <v>0</v>
      </c>
      <c r="S807">
        <f>INDIRECT(ADDRESS(807,18))+INDIRECT(ADDRESS(805,19))-INDIRECT(ADDRESS(806,19))</f>
        <v>0</v>
      </c>
      <c r="T807">
        <f>INDIRECT(ADDRESS(807,19))+INDIRECT(ADDRESS(805,20))-INDIRECT(ADDRESS(806,20))</f>
        <v>0</v>
      </c>
      <c r="U807">
        <f>INDIRECT(ADDRESS(807,20))+INDIRECT(ADDRESS(805,21))-INDIRECT(ADDRESS(806,21))</f>
        <v>0</v>
      </c>
      <c r="V807">
        <f>INDIRECT(ADDRESS(807,21))+INDIRECT(ADDRESS(805,22))-INDIRECT(ADDRESS(806,22))</f>
        <v>0</v>
      </c>
      <c r="W807">
        <f>INDIRECT(ADDRESS(807,22))+INDIRECT(ADDRESS(805,23))-INDIRECT(ADDRESS(806,23))</f>
        <v>0</v>
      </c>
      <c r="X807">
        <f>INDIRECT(ADDRESS(807,23))+INDIRECT(ADDRESS(805,24))-INDIRECT(ADDRESS(806,24))</f>
        <v>0</v>
      </c>
      <c r="Y807">
        <f>INDIRECT(ADDRESS(807,24))+INDIRECT(ADDRESS(805,25))-INDIRECT(ADDRESS(806,25))</f>
        <v>0</v>
      </c>
      <c r="Z807">
        <f>INDIRECT(ADDRESS(807,25))+INDIRECT(ADDRESS(805,26))-INDIRECT(ADDRESS(806,26))</f>
        <v>0</v>
      </c>
      <c r="AA807">
        <f>INDIRECT(ADDRESS(807,26))+INDIRECT(ADDRESS(805,27))-INDIRECT(ADDRESS(806,27))</f>
        <v>0</v>
      </c>
      <c r="AB807">
        <f>INDIRECT(ADDRESS(807,27))+INDIRECT(ADDRESS(805,28))-INDIRECT(ADDRESS(806,28))</f>
        <v>0</v>
      </c>
      <c r="AC807">
        <f>INDIRECT(ADDRESS(807,28))+INDIRECT(ADDRESS(805,29))-INDIRECT(ADDRESS(806,29))</f>
        <v>0</v>
      </c>
      <c r="AD807">
        <f>INDIRECT(ADDRESS(807,29))+INDIRECT(ADDRESS(805,30))-INDIRECT(ADDRESS(806,30))</f>
        <v>0</v>
      </c>
      <c r="AE807">
        <f>INDIRECT(ADDRESS(807,30))+INDIRECT(ADDRESS(805,31))-INDIRECT(ADDRESS(806,31))</f>
        <v>0</v>
      </c>
      <c r="AF807">
        <f>INDIRECT(ADDRESS(807,31))+INDIRECT(ADDRESS(805,32))-INDIRECT(ADDRESS(806,32))</f>
        <v>0</v>
      </c>
      <c r="AG807">
        <f>INDIRECT(ADDRESS(807,32))+INDIRECT(ADDRESS(805,33))-INDIRECT(ADDRESS(806,33))</f>
        <v>0</v>
      </c>
      <c r="AH807">
        <f>INDIRECT(ADDRESS(807,33))+INDIRECT(ADDRESS(805,34))-INDIRECT(ADDRESS(806,34))</f>
        <v>0</v>
      </c>
      <c r="AI807">
        <f>INDIRECT(ADDRESS(807,34))+INDIRECT(ADDRESS(805,35))-INDIRECT(ADDRESS(806,35))</f>
        <v>0</v>
      </c>
      <c r="AJ807">
        <f>INDIRECT(ADDRESS(807,35))+INDIRECT(ADDRESS(805,36))-INDIRECT(ADDRESS(806,36))</f>
        <v>0</v>
      </c>
      <c r="AK807">
        <f>INDIRECT(ADDRESS(807,36))+INDIRECT(ADDRESS(805,37))-INDIRECT(ADDRESS(806,37))</f>
        <v>0</v>
      </c>
      <c r="AL807">
        <f>INDIRECT(ADDRESS(807,37))+INDIRECT(ADDRESS(805,38))-INDIRECT(ADDRESS(806,38))</f>
        <v>0</v>
      </c>
      <c r="AM807">
        <f>INDIRECT(ADDRESS(807,38))+INDIRECT(ADDRESS(805,39))-INDIRECT(ADDRESS(806,39))</f>
        <v>0</v>
      </c>
      <c r="AN807">
        <f>INDIRECT(ADDRESS(807,39))+INDIRECT(ADDRESS(805,40))-INDIRECT(ADDRESS(806,40))</f>
        <v>0</v>
      </c>
      <c r="AO807">
        <f>SUM(INDIRECT(ADDRESS(806,8)):INDIRECT(ADDRESS(806,39)))</f>
        <v>0</v>
      </c>
    </row>
    <row r="808" spans="1:41">
      <c r="A808" t="s">
        <v>185</v>
      </c>
      <c r="B808" t="s">
        <v>459</v>
      </c>
      <c r="C808" t="s">
        <v>460</v>
      </c>
      <c r="E808">
        <v>1</v>
      </c>
      <c r="I808" t="s">
        <v>177</v>
      </c>
    </row>
    <row r="809" spans="1:41">
      <c r="I809" t="s">
        <v>178</v>
      </c>
      <c r="J809">
        <f>IFERROR(VLOOKUP("921-060000-200",B:AB,1+8,0),0)</f>
        <v>0</v>
      </c>
      <c r="K809">
        <f>IFERROR(VLOOKUP("921-060000-200",B:AB,2+8,0),0)</f>
        <v>0</v>
      </c>
      <c r="L809">
        <f>IFERROR(VLOOKUP("921-060000-200",B:AB,3+8,0),0)</f>
        <v>0</v>
      </c>
      <c r="M809">
        <f>IFERROR(VLOOKUP("921-060000-200",B:AB,4+8,0),0)</f>
        <v>0</v>
      </c>
      <c r="N809">
        <f>IFERROR(VLOOKUP("921-060000-200",B:AB,5+8,0),0)</f>
        <v>0</v>
      </c>
      <c r="O809">
        <f>IFERROR(VLOOKUP("921-060000-200",B:AB,6+8,0),0)</f>
        <v>0</v>
      </c>
      <c r="P809">
        <f>IFERROR(VLOOKUP("921-060000-200",B:AB,7+8,0),0)</f>
        <v>0</v>
      </c>
      <c r="Q809">
        <f>IFERROR(VLOOKUP("921-060000-200",B:AB,8+8,0),0)</f>
        <v>0</v>
      </c>
      <c r="R809">
        <f>IFERROR(VLOOKUP("921-060000-200",B:AB,9+8,0),0)</f>
        <v>0</v>
      </c>
      <c r="S809">
        <f>IFERROR(VLOOKUP("921-060000-200",B:AB,10+8,0),0)</f>
        <v>0</v>
      </c>
      <c r="T809">
        <f>IFERROR(VLOOKUP("921-060000-200",B:AB,11+8,0),0)</f>
        <v>0</v>
      </c>
      <c r="U809">
        <f>IFERROR(VLOOKUP("921-060000-200",B:AB,12+8,0),0)</f>
        <v>0</v>
      </c>
      <c r="V809">
        <f>IFERROR(VLOOKUP("921-060000-200",B:AB,13+8,0),0)</f>
        <v>0</v>
      </c>
      <c r="W809">
        <f>IFERROR(VLOOKUP("921-060000-200",B:AB,14+8,0),0)</f>
        <v>0</v>
      </c>
      <c r="X809">
        <f>IFERROR(VLOOKUP("921-060000-200",B:AB,15+8,0),0)</f>
        <v>0</v>
      </c>
      <c r="Y809">
        <f>IFERROR(VLOOKUP("921-060000-200",B:AB,16+8,0),0)</f>
        <v>0</v>
      </c>
      <c r="Z809">
        <f>IFERROR(VLOOKUP("921-060000-200",B:AB,17+8,0),0)</f>
        <v>0</v>
      </c>
      <c r="AA809">
        <f>IFERROR(VLOOKUP("921-060000-200",B:AB,18+8,0),0)</f>
        <v>0</v>
      </c>
      <c r="AB809">
        <f>IFERROR(VLOOKUP("921-060000-200",B:AB,19+8,0),0)</f>
        <v>0</v>
      </c>
      <c r="AC809">
        <f>IFERROR(VLOOKUP("921-060000-200",B:AB,20+8,0),0)</f>
        <v>0</v>
      </c>
      <c r="AD809">
        <f>IFERROR(VLOOKUP("921-060000-200",B:AB,21+8,0),0)</f>
        <v>0</v>
      </c>
      <c r="AE809">
        <f>IFERROR(VLOOKUP("921-060000-200",B:AB,22+8,0),0)</f>
        <v>0</v>
      </c>
      <c r="AF809">
        <f>IFERROR(VLOOKUP("921-060000-200",B:AB,23+8,0),0)</f>
        <v>0</v>
      </c>
      <c r="AG809">
        <f>IFERROR(VLOOKUP("921-060000-200",B:AB,24+8,0),0)</f>
        <v>0</v>
      </c>
      <c r="AH809">
        <f>IFERROR(VLOOKUP("921-060000-200",B:AB,25+8,0),0)</f>
        <v>0</v>
      </c>
      <c r="AI809">
        <f>IFERROR(VLOOKUP("921-060000-200",B:AB,26+8,0),0)</f>
        <v>0</v>
      </c>
      <c r="AJ809">
        <f>IFERROR(VLOOKUP("921-060000-200",B:AB,27+8,0),0)</f>
        <v>0</v>
      </c>
      <c r="AK809">
        <f>IFERROR(VLOOKUP("921-060000-200",B:AB,28+8,0),0)</f>
        <v>0</v>
      </c>
      <c r="AL809">
        <f>IFERROR(VLOOKUP("921-060000-200",B:AB,29+8,0),0)</f>
        <v>0</v>
      </c>
      <c r="AM809">
        <f>IFERROR(VLOOKUP("921-060000-200",B:AB,30+8,0),0)</f>
        <v>0</v>
      </c>
      <c r="AN809">
        <f>IFERROR(VLOOKUP("921-060000-200",B:AB,31+8,0),0)</f>
        <v>0</v>
      </c>
      <c r="AO809">
        <f>SUN(INDIRECT(ADDRESS(808,8)):INDIRECT(ADDRESS(808,39)))</f>
        <v>0</v>
      </c>
    </row>
    <row r="810" spans="1:41">
      <c r="H810" t="s">
        <v>179</v>
      </c>
      <c r="J810">
        <f>INDIRECT(ADDRESS(810,9))+INDIRECT(ADDRESS(808,10))-INDIRECT(ADDRESS(809,10))</f>
        <v>0</v>
      </c>
      <c r="K810">
        <f>INDIRECT(ADDRESS(810,10))+INDIRECT(ADDRESS(808,11))-INDIRECT(ADDRESS(809,11))</f>
        <v>0</v>
      </c>
      <c r="L810">
        <f>INDIRECT(ADDRESS(810,11))+INDIRECT(ADDRESS(808,12))-INDIRECT(ADDRESS(809,12))</f>
        <v>0</v>
      </c>
      <c r="M810">
        <f>INDIRECT(ADDRESS(810,12))+INDIRECT(ADDRESS(808,13))-INDIRECT(ADDRESS(809,13))</f>
        <v>0</v>
      </c>
      <c r="N810">
        <f>INDIRECT(ADDRESS(810,13))+INDIRECT(ADDRESS(808,14))-INDIRECT(ADDRESS(809,14))</f>
        <v>0</v>
      </c>
      <c r="O810">
        <f>INDIRECT(ADDRESS(810,14))+INDIRECT(ADDRESS(808,15))-INDIRECT(ADDRESS(809,15))</f>
        <v>0</v>
      </c>
      <c r="P810">
        <f>INDIRECT(ADDRESS(810,15))+INDIRECT(ADDRESS(808,16))-INDIRECT(ADDRESS(809,16))</f>
        <v>0</v>
      </c>
      <c r="Q810">
        <f>INDIRECT(ADDRESS(810,16))+INDIRECT(ADDRESS(808,17))-INDIRECT(ADDRESS(809,17))</f>
        <v>0</v>
      </c>
      <c r="R810">
        <f>INDIRECT(ADDRESS(810,17))+INDIRECT(ADDRESS(808,18))-INDIRECT(ADDRESS(809,18))</f>
        <v>0</v>
      </c>
      <c r="S810">
        <f>INDIRECT(ADDRESS(810,18))+INDIRECT(ADDRESS(808,19))-INDIRECT(ADDRESS(809,19))</f>
        <v>0</v>
      </c>
      <c r="T810">
        <f>INDIRECT(ADDRESS(810,19))+INDIRECT(ADDRESS(808,20))-INDIRECT(ADDRESS(809,20))</f>
        <v>0</v>
      </c>
      <c r="U810">
        <f>INDIRECT(ADDRESS(810,20))+INDIRECT(ADDRESS(808,21))-INDIRECT(ADDRESS(809,21))</f>
        <v>0</v>
      </c>
      <c r="V810">
        <f>INDIRECT(ADDRESS(810,21))+INDIRECT(ADDRESS(808,22))-INDIRECT(ADDRESS(809,22))</f>
        <v>0</v>
      </c>
      <c r="W810">
        <f>INDIRECT(ADDRESS(810,22))+INDIRECT(ADDRESS(808,23))-INDIRECT(ADDRESS(809,23))</f>
        <v>0</v>
      </c>
      <c r="X810">
        <f>INDIRECT(ADDRESS(810,23))+INDIRECT(ADDRESS(808,24))-INDIRECT(ADDRESS(809,24))</f>
        <v>0</v>
      </c>
      <c r="Y810">
        <f>INDIRECT(ADDRESS(810,24))+INDIRECT(ADDRESS(808,25))-INDIRECT(ADDRESS(809,25))</f>
        <v>0</v>
      </c>
      <c r="Z810">
        <f>INDIRECT(ADDRESS(810,25))+INDIRECT(ADDRESS(808,26))-INDIRECT(ADDRESS(809,26))</f>
        <v>0</v>
      </c>
      <c r="AA810">
        <f>INDIRECT(ADDRESS(810,26))+INDIRECT(ADDRESS(808,27))-INDIRECT(ADDRESS(809,27))</f>
        <v>0</v>
      </c>
      <c r="AB810">
        <f>INDIRECT(ADDRESS(810,27))+INDIRECT(ADDRESS(808,28))-INDIRECT(ADDRESS(809,28))</f>
        <v>0</v>
      </c>
      <c r="AC810">
        <f>INDIRECT(ADDRESS(810,28))+INDIRECT(ADDRESS(808,29))-INDIRECT(ADDRESS(809,29))</f>
        <v>0</v>
      </c>
      <c r="AD810">
        <f>INDIRECT(ADDRESS(810,29))+INDIRECT(ADDRESS(808,30))-INDIRECT(ADDRESS(809,30))</f>
        <v>0</v>
      </c>
      <c r="AE810">
        <f>INDIRECT(ADDRESS(810,30))+INDIRECT(ADDRESS(808,31))-INDIRECT(ADDRESS(809,31))</f>
        <v>0</v>
      </c>
      <c r="AF810">
        <f>INDIRECT(ADDRESS(810,31))+INDIRECT(ADDRESS(808,32))-INDIRECT(ADDRESS(809,32))</f>
        <v>0</v>
      </c>
      <c r="AG810">
        <f>INDIRECT(ADDRESS(810,32))+INDIRECT(ADDRESS(808,33))-INDIRECT(ADDRESS(809,33))</f>
        <v>0</v>
      </c>
      <c r="AH810">
        <f>INDIRECT(ADDRESS(810,33))+INDIRECT(ADDRESS(808,34))-INDIRECT(ADDRESS(809,34))</f>
        <v>0</v>
      </c>
      <c r="AI810">
        <f>INDIRECT(ADDRESS(810,34))+INDIRECT(ADDRESS(808,35))-INDIRECT(ADDRESS(809,35))</f>
        <v>0</v>
      </c>
      <c r="AJ810">
        <f>INDIRECT(ADDRESS(810,35))+INDIRECT(ADDRESS(808,36))-INDIRECT(ADDRESS(809,36))</f>
        <v>0</v>
      </c>
      <c r="AK810">
        <f>INDIRECT(ADDRESS(810,36))+INDIRECT(ADDRESS(808,37))-INDIRECT(ADDRESS(809,37))</f>
        <v>0</v>
      </c>
      <c r="AL810">
        <f>INDIRECT(ADDRESS(810,37))+INDIRECT(ADDRESS(808,38))-INDIRECT(ADDRESS(809,38))</f>
        <v>0</v>
      </c>
      <c r="AM810">
        <f>INDIRECT(ADDRESS(810,38))+INDIRECT(ADDRESS(808,39))-INDIRECT(ADDRESS(809,39))</f>
        <v>0</v>
      </c>
      <c r="AN810">
        <f>INDIRECT(ADDRESS(810,39))+INDIRECT(ADDRESS(808,40))-INDIRECT(ADDRESS(809,40))</f>
        <v>0</v>
      </c>
      <c r="AO810">
        <f>SUM(INDIRECT(ADDRESS(809,8)):INDIRECT(ADDRESS(809,39)))</f>
        <v>0</v>
      </c>
    </row>
    <row r="811" spans="1:41">
      <c r="A811" t="s">
        <v>185</v>
      </c>
      <c r="B811" t="s">
        <v>461</v>
      </c>
      <c r="C811" t="s">
        <v>462</v>
      </c>
      <c r="E811">
        <v>1</v>
      </c>
      <c r="I811" t="s">
        <v>177</v>
      </c>
    </row>
    <row r="812" spans="1:41">
      <c r="I812" t="s">
        <v>178</v>
      </c>
      <c r="J812">
        <f>IFERROR(VLOOKUP("921-060000-200",B:AB,1+8,0),0)</f>
        <v>0</v>
      </c>
      <c r="K812">
        <f>IFERROR(VLOOKUP("921-060000-200",B:AB,2+8,0),0)</f>
        <v>0</v>
      </c>
      <c r="L812">
        <f>IFERROR(VLOOKUP("921-060000-200",B:AB,3+8,0),0)</f>
        <v>0</v>
      </c>
      <c r="M812">
        <f>IFERROR(VLOOKUP("921-060000-200",B:AB,4+8,0),0)</f>
        <v>0</v>
      </c>
      <c r="N812">
        <f>IFERROR(VLOOKUP("921-060000-200",B:AB,5+8,0),0)</f>
        <v>0</v>
      </c>
      <c r="O812">
        <f>IFERROR(VLOOKUP("921-060000-200",B:AB,6+8,0),0)</f>
        <v>0</v>
      </c>
      <c r="P812">
        <f>IFERROR(VLOOKUP("921-060000-200",B:AB,7+8,0),0)</f>
        <v>0</v>
      </c>
      <c r="Q812">
        <f>IFERROR(VLOOKUP("921-060000-200",B:AB,8+8,0),0)</f>
        <v>0</v>
      </c>
      <c r="R812">
        <f>IFERROR(VLOOKUP("921-060000-200",B:AB,9+8,0),0)</f>
        <v>0</v>
      </c>
      <c r="S812">
        <f>IFERROR(VLOOKUP("921-060000-200",B:AB,10+8,0),0)</f>
        <v>0</v>
      </c>
      <c r="T812">
        <f>IFERROR(VLOOKUP("921-060000-200",B:AB,11+8,0),0)</f>
        <v>0</v>
      </c>
      <c r="U812">
        <f>IFERROR(VLOOKUP("921-060000-200",B:AB,12+8,0),0)</f>
        <v>0</v>
      </c>
      <c r="V812">
        <f>IFERROR(VLOOKUP("921-060000-200",B:AB,13+8,0),0)</f>
        <v>0</v>
      </c>
      <c r="W812">
        <f>IFERROR(VLOOKUP("921-060000-200",B:AB,14+8,0),0)</f>
        <v>0</v>
      </c>
      <c r="X812">
        <f>IFERROR(VLOOKUP("921-060000-200",B:AB,15+8,0),0)</f>
        <v>0</v>
      </c>
      <c r="Y812">
        <f>IFERROR(VLOOKUP("921-060000-200",B:AB,16+8,0),0)</f>
        <v>0</v>
      </c>
      <c r="Z812">
        <f>IFERROR(VLOOKUP("921-060000-200",B:AB,17+8,0),0)</f>
        <v>0</v>
      </c>
      <c r="AA812">
        <f>IFERROR(VLOOKUP("921-060000-200",B:AB,18+8,0),0)</f>
        <v>0</v>
      </c>
      <c r="AB812">
        <f>IFERROR(VLOOKUP("921-060000-200",B:AB,19+8,0),0)</f>
        <v>0</v>
      </c>
      <c r="AC812">
        <f>IFERROR(VLOOKUP("921-060000-200",B:AB,20+8,0),0)</f>
        <v>0</v>
      </c>
      <c r="AD812">
        <f>IFERROR(VLOOKUP("921-060000-200",B:AB,21+8,0),0)</f>
        <v>0</v>
      </c>
      <c r="AE812">
        <f>IFERROR(VLOOKUP("921-060000-200",B:AB,22+8,0),0)</f>
        <v>0</v>
      </c>
      <c r="AF812">
        <f>IFERROR(VLOOKUP("921-060000-200",B:AB,23+8,0),0)</f>
        <v>0</v>
      </c>
      <c r="AG812">
        <f>IFERROR(VLOOKUP("921-060000-200",B:AB,24+8,0),0)</f>
        <v>0</v>
      </c>
      <c r="AH812">
        <f>IFERROR(VLOOKUP("921-060000-200",B:AB,25+8,0),0)</f>
        <v>0</v>
      </c>
      <c r="AI812">
        <f>IFERROR(VLOOKUP("921-060000-200",B:AB,26+8,0),0)</f>
        <v>0</v>
      </c>
      <c r="AJ812">
        <f>IFERROR(VLOOKUP("921-060000-200",B:AB,27+8,0),0)</f>
        <v>0</v>
      </c>
      <c r="AK812">
        <f>IFERROR(VLOOKUP("921-060000-200",B:AB,28+8,0),0)</f>
        <v>0</v>
      </c>
      <c r="AL812">
        <f>IFERROR(VLOOKUP("921-060000-200",B:AB,29+8,0),0)</f>
        <v>0</v>
      </c>
      <c r="AM812">
        <f>IFERROR(VLOOKUP("921-060000-200",B:AB,30+8,0),0)</f>
        <v>0</v>
      </c>
      <c r="AN812">
        <f>IFERROR(VLOOKUP("921-060000-200",B:AB,31+8,0),0)</f>
        <v>0</v>
      </c>
      <c r="AO812">
        <f>SUN(INDIRECT(ADDRESS(811,8)):INDIRECT(ADDRESS(811,39)))</f>
        <v>0</v>
      </c>
    </row>
    <row r="813" spans="1:41">
      <c r="H813" t="s">
        <v>179</v>
      </c>
      <c r="J813">
        <f>INDIRECT(ADDRESS(813,9))+INDIRECT(ADDRESS(811,10))-INDIRECT(ADDRESS(812,10))</f>
        <v>0</v>
      </c>
      <c r="K813">
        <f>INDIRECT(ADDRESS(813,10))+INDIRECT(ADDRESS(811,11))-INDIRECT(ADDRESS(812,11))</f>
        <v>0</v>
      </c>
      <c r="L813">
        <f>INDIRECT(ADDRESS(813,11))+INDIRECT(ADDRESS(811,12))-INDIRECT(ADDRESS(812,12))</f>
        <v>0</v>
      </c>
      <c r="M813">
        <f>INDIRECT(ADDRESS(813,12))+INDIRECT(ADDRESS(811,13))-INDIRECT(ADDRESS(812,13))</f>
        <v>0</v>
      </c>
      <c r="N813">
        <f>INDIRECT(ADDRESS(813,13))+INDIRECT(ADDRESS(811,14))-INDIRECT(ADDRESS(812,14))</f>
        <v>0</v>
      </c>
      <c r="O813">
        <f>INDIRECT(ADDRESS(813,14))+INDIRECT(ADDRESS(811,15))-INDIRECT(ADDRESS(812,15))</f>
        <v>0</v>
      </c>
      <c r="P813">
        <f>INDIRECT(ADDRESS(813,15))+INDIRECT(ADDRESS(811,16))-INDIRECT(ADDRESS(812,16))</f>
        <v>0</v>
      </c>
      <c r="Q813">
        <f>INDIRECT(ADDRESS(813,16))+INDIRECT(ADDRESS(811,17))-INDIRECT(ADDRESS(812,17))</f>
        <v>0</v>
      </c>
      <c r="R813">
        <f>INDIRECT(ADDRESS(813,17))+INDIRECT(ADDRESS(811,18))-INDIRECT(ADDRESS(812,18))</f>
        <v>0</v>
      </c>
      <c r="S813">
        <f>INDIRECT(ADDRESS(813,18))+INDIRECT(ADDRESS(811,19))-INDIRECT(ADDRESS(812,19))</f>
        <v>0</v>
      </c>
      <c r="T813">
        <f>INDIRECT(ADDRESS(813,19))+INDIRECT(ADDRESS(811,20))-INDIRECT(ADDRESS(812,20))</f>
        <v>0</v>
      </c>
      <c r="U813">
        <f>INDIRECT(ADDRESS(813,20))+INDIRECT(ADDRESS(811,21))-INDIRECT(ADDRESS(812,21))</f>
        <v>0</v>
      </c>
      <c r="V813">
        <f>INDIRECT(ADDRESS(813,21))+INDIRECT(ADDRESS(811,22))-INDIRECT(ADDRESS(812,22))</f>
        <v>0</v>
      </c>
      <c r="W813">
        <f>INDIRECT(ADDRESS(813,22))+INDIRECT(ADDRESS(811,23))-INDIRECT(ADDRESS(812,23))</f>
        <v>0</v>
      </c>
      <c r="X813">
        <f>INDIRECT(ADDRESS(813,23))+INDIRECT(ADDRESS(811,24))-INDIRECT(ADDRESS(812,24))</f>
        <v>0</v>
      </c>
      <c r="Y813">
        <f>INDIRECT(ADDRESS(813,24))+INDIRECT(ADDRESS(811,25))-INDIRECT(ADDRESS(812,25))</f>
        <v>0</v>
      </c>
      <c r="Z813">
        <f>INDIRECT(ADDRESS(813,25))+INDIRECT(ADDRESS(811,26))-INDIRECT(ADDRESS(812,26))</f>
        <v>0</v>
      </c>
      <c r="AA813">
        <f>INDIRECT(ADDRESS(813,26))+INDIRECT(ADDRESS(811,27))-INDIRECT(ADDRESS(812,27))</f>
        <v>0</v>
      </c>
      <c r="AB813">
        <f>INDIRECT(ADDRESS(813,27))+INDIRECT(ADDRESS(811,28))-INDIRECT(ADDRESS(812,28))</f>
        <v>0</v>
      </c>
      <c r="AC813">
        <f>INDIRECT(ADDRESS(813,28))+INDIRECT(ADDRESS(811,29))-INDIRECT(ADDRESS(812,29))</f>
        <v>0</v>
      </c>
      <c r="AD813">
        <f>INDIRECT(ADDRESS(813,29))+INDIRECT(ADDRESS(811,30))-INDIRECT(ADDRESS(812,30))</f>
        <v>0</v>
      </c>
      <c r="AE813">
        <f>INDIRECT(ADDRESS(813,30))+INDIRECT(ADDRESS(811,31))-INDIRECT(ADDRESS(812,31))</f>
        <v>0</v>
      </c>
      <c r="AF813">
        <f>INDIRECT(ADDRESS(813,31))+INDIRECT(ADDRESS(811,32))-INDIRECT(ADDRESS(812,32))</f>
        <v>0</v>
      </c>
      <c r="AG813">
        <f>INDIRECT(ADDRESS(813,32))+INDIRECT(ADDRESS(811,33))-INDIRECT(ADDRESS(812,33))</f>
        <v>0</v>
      </c>
      <c r="AH813">
        <f>INDIRECT(ADDRESS(813,33))+INDIRECT(ADDRESS(811,34))-INDIRECT(ADDRESS(812,34))</f>
        <v>0</v>
      </c>
      <c r="AI813">
        <f>INDIRECT(ADDRESS(813,34))+INDIRECT(ADDRESS(811,35))-INDIRECT(ADDRESS(812,35))</f>
        <v>0</v>
      </c>
      <c r="AJ813">
        <f>INDIRECT(ADDRESS(813,35))+INDIRECT(ADDRESS(811,36))-INDIRECT(ADDRESS(812,36))</f>
        <v>0</v>
      </c>
      <c r="AK813">
        <f>INDIRECT(ADDRESS(813,36))+INDIRECT(ADDRESS(811,37))-INDIRECT(ADDRESS(812,37))</f>
        <v>0</v>
      </c>
      <c r="AL813">
        <f>INDIRECT(ADDRESS(813,37))+INDIRECT(ADDRESS(811,38))-INDIRECT(ADDRESS(812,38))</f>
        <v>0</v>
      </c>
      <c r="AM813">
        <f>INDIRECT(ADDRESS(813,38))+INDIRECT(ADDRESS(811,39))-INDIRECT(ADDRESS(812,39))</f>
        <v>0</v>
      </c>
      <c r="AN813">
        <f>INDIRECT(ADDRESS(813,39))+INDIRECT(ADDRESS(811,40))-INDIRECT(ADDRESS(812,40))</f>
        <v>0</v>
      </c>
      <c r="AO813">
        <f>SUM(INDIRECT(ADDRESS(812,8)):INDIRECT(ADDRESS(812,39)))</f>
        <v>0</v>
      </c>
    </row>
    <row r="814" spans="1:41">
      <c r="A814" t="s">
        <v>185</v>
      </c>
      <c r="B814" t="s">
        <v>463</v>
      </c>
      <c r="C814" t="s">
        <v>464</v>
      </c>
      <c r="E814">
        <v>1</v>
      </c>
      <c r="I814" t="s">
        <v>177</v>
      </c>
    </row>
    <row r="815" spans="1:41">
      <c r="I815" t="s">
        <v>178</v>
      </c>
      <c r="J815">
        <f>IFERROR(VLOOKUP("921-060000-200",B:AB,1+8,0),0)</f>
        <v>0</v>
      </c>
      <c r="K815">
        <f>IFERROR(VLOOKUP("921-060000-200",B:AB,2+8,0),0)</f>
        <v>0</v>
      </c>
      <c r="L815">
        <f>IFERROR(VLOOKUP("921-060000-200",B:AB,3+8,0),0)</f>
        <v>0</v>
      </c>
      <c r="M815">
        <f>IFERROR(VLOOKUP("921-060000-200",B:AB,4+8,0),0)</f>
        <v>0</v>
      </c>
      <c r="N815">
        <f>IFERROR(VLOOKUP("921-060000-200",B:AB,5+8,0),0)</f>
        <v>0</v>
      </c>
      <c r="O815">
        <f>IFERROR(VLOOKUP("921-060000-200",B:AB,6+8,0),0)</f>
        <v>0</v>
      </c>
      <c r="P815">
        <f>IFERROR(VLOOKUP("921-060000-200",B:AB,7+8,0),0)</f>
        <v>0</v>
      </c>
      <c r="Q815">
        <f>IFERROR(VLOOKUP("921-060000-200",B:AB,8+8,0),0)</f>
        <v>0</v>
      </c>
      <c r="R815">
        <f>IFERROR(VLOOKUP("921-060000-200",B:AB,9+8,0),0)</f>
        <v>0</v>
      </c>
      <c r="S815">
        <f>IFERROR(VLOOKUP("921-060000-200",B:AB,10+8,0),0)</f>
        <v>0</v>
      </c>
      <c r="T815">
        <f>IFERROR(VLOOKUP("921-060000-200",B:AB,11+8,0),0)</f>
        <v>0</v>
      </c>
      <c r="U815">
        <f>IFERROR(VLOOKUP("921-060000-200",B:AB,12+8,0),0)</f>
        <v>0</v>
      </c>
      <c r="V815">
        <f>IFERROR(VLOOKUP("921-060000-200",B:AB,13+8,0),0)</f>
        <v>0</v>
      </c>
      <c r="W815">
        <f>IFERROR(VLOOKUP("921-060000-200",B:AB,14+8,0),0)</f>
        <v>0</v>
      </c>
      <c r="X815">
        <f>IFERROR(VLOOKUP("921-060000-200",B:AB,15+8,0),0)</f>
        <v>0</v>
      </c>
      <c r="Y815">
        <f>IFERROR(VLOOKUP("921-060000-200",B:AB,16+8,0),0)</f>
        <v>0</v>
      </c>
      <c r="Z815">
        <f>IFERROR(VLOOKUP("921-060000-200",B:AB,17+8,0),0)</f>
        <v>0</v>
      </c>
      <c r="AA815">
        <f>IFERROR(VLOOKUP("921-060000-200",B:AB,18+8,0),0)</f>
        <v>0</v>
      </c>
      <c r="AB815">
        <f>IFERROR(VLOOKUP("921-060000-200",B:AB,19+8,0),0)</f>
        <v>0</v>
      </c>
      <c r="AC815">
        <f>IFERROR(VLOOKUP("921-060000-200",B:AB,20+8,0),0)</f>
        <v>0</v>
      </c>
      <c r="AD815">
        <f>IFERROR(VLOOKUP("921-060000-200",B:AB,21+8,0),0)</f>
        <v>0</v>
      </c>
      <c r="AE815">
        <f>IFERROR(VLOOKUP("921-060000-200",B:AB,22+8,0),0)</f>
        <v>0</v>
      </c>
      <c r="AF815">
        <f>IFERROR(VLOOKUP("921-060000-200",B:AB,23+8,0),0)</f>
        <v>0</v>
      </c>
      <c r="AG815">
        <f>IFERROR(VLOOKUP("921-060000-200",B:AB,24+8,0),0)</f>
        <v>0</v>
      </c>
      <c r="AH815">
        <f>IFERROR(VLOOKUP("921-060000-200",B:AB,25+8,0),0)</f>
        <v>0</v>
      </c>
      <c r="AI815">
        <f>IFERROR(VLOOKUP("921-060000-200",B:AB,26+8,0),0)</f>
        <v>0</v>
      </c>
      <c r="AJ815">
        <f>IFERROR(VLOOKUP("921-060000-200",B:AB,27+8,0),0)</f>
        <v>0</v>
      </c>
      <c r="AK815">
        <f>IFERROR(VLOOKUP("921-060000-200",B:AB,28+8,0),0)</f>
        <v>0</v>
      </c>
      <c r="AL815">
        <f>IFERROR(VLOOKUP("921-060000-200",B:AB,29+8,0),0)</f>
        <v>0</v>
      </c>
      <c r="AM815">
        <f>IFERROR(VLOOKUP("921-060000-200",B:AB,30+8,0),0)</f>
        <v>0</v>
      </c>
      <c r="AN815">
        <f>IFERROR(VLOOKUP("921-060000-200",B:AB,31+8,0),0)</f>
        <v>0</v>
      </c>
      <c r="AO815">
        <f>SUN(INDIRECT(ADDRESS(814,8)):INDIRECT(ADDRESS(814,39)))</f>
        <v>0</v>
      </c>
    </row>
    <row r="816" spans="1:41">
      <c r="H816" t="s">
        <v>179</v>
      </c>
      <c r="J816">
        <f>INDIRECT(ADDRESS(816,9))+INDIRECT(ADDRESS(814,10))-INDIRECT(ADDRESS(815,10))</f>
        <v>0</v>
      </c>
      <c r="K816">
        <f>INDIRECT(ADDRESS(816,10))+INDIRECT(ADDRESS(814,11))-INDIRECT(ADDRESS(815,11))</f>
        <v>0</v>
      </c>
      <c r="L816">
        <f>INDIRECT(ADDRESS(816,11))+INDIRECT(ADDRESS(814,12))-INDIRECT(ADDRESS(815,12))</f>
        <v>0</v>
      </c>
      <c r="M816">
        <f>INDIRECT(ADDRESS(816,12))+INDIRECT(ADDRESS(814,13))-INDIRECT(ADDRESS(815,13))</f>
        <v>0</v>
      </c>
      <c r="N816">
        <f>INDIRECT(ADDRESS(816,13))+INDIRECT(ADDRESS(814,14))-INDIRECT(ADDRESS(815,14))</f>
        <v>0</v>
      </c>
      <c r="O816">
        <f>INDIRECT(ADDRESS(816,14))+INDIRECT(ADDRESS(814,15))-INDIRECT(ADDRESS(815,15))</f>
        <v>0</v>
      </c>
      <c r="P816">
        <f>INDIRECT(ADDRESS(816,15))+INDIRECT(ADDRESS(814,16))-INDIRECT(ADDRESS(815,16))</f>
        <v>0</v>
      </c>
      <c r="Q816">
        <f>INDIRECT(ADDRESS(816,16))+INDIRECT(ADDRESS(814,17))-INDIRECT(ADDRESS(815,17))</f>
        <v>0</v>
      </c>
      <c r="R816">
        <f>INDIRECT(ADDRESS(816,17))+INDIRECT(ADDRESS(814,18))-INDIRECT(ADDRESS(815,18))</f>
        <v>0</v>
      </c>
      <c r="S816">
        <f>INDIRECT(ADDRESS(816,18))+INDIRECT(ADDRESS(814,19))-INDIRECT(ADDRESS(815,19))</f>
        <v>0</v>
      </c>
      <c r="T816">
        <f>INDIRECT(ADDRESS(816,19))+INDIRECT(ADDRESS(814,20))-INDIRECT(ADDRESS(815,20))</f>
        <v>0</v>
      </c>
      <c r="U816">
        <f>INDIRECT(ADDRESS(816,20))+INDIRECT(ADDRESS(814,21))-INDIRECT(ADDRESS(815,21))</f>
        <v>0</v>
      </c>
      <c r="V816">
        <f>INDIRECT(ADDRESS(816,21))+INDIRECT(ADDRESS(814,22))-INDIRECT(ADDRESS(815,22))</f>
        <v>0</v>
      </c>
      <c r="W816">
        <f>INDIRECT(ADDRESS(816,22))+INDIRECT(ADDRESS(814,23))-INDIRECT(ADDRESS(815,23))</f>
        <v>0</v>
      </c>
      <c r="X816">
        <f>INDIRECT(ADDRESS(816,23))+INDIRECT(ADDRESS(814,24))-INDIRECT(ADDRESS(815,24))</f>
        <v>0</v>
      </c>
      <c r="Y816">
        <f>INDIRECT(ADDRESS(816,24))+INDIRECT(ADDRESS(814,25))-INDIRECT(ADDRESS(815,25))</f>
        <v>0</v>
      </c>
      <c r="Z816">
        <f>INDIRECT(ADDRESS(816,25))+INDIRECT(ADDRESS(814,26))-INDIRECT(ADDRESS(815,26))</f>
        <v>0</v>
      </c>
      <c r="AA816">
        <f>INDIRECT(ADDRESS(816,26))+INDIRECT(ADDRESS(814,27))-INDIRECT(ADDRESS(815,27))</f>
        <v>0</v>
      </c>
      <c r="AB816">
        <f>INDIRECT(ADDRESS(816,27))+INDIRECT(ADDRESS(814,28))-INDIRECT(ADDRESS(815,28))</f>
        <v>0</v>
      </c>
      <c r="AC816">
        <f>INDIRECT(ADDRESS(816,28))+INDIRECT(ADDRESS(814,29))-INDIRECT(ADDRESS(815,29))</f>
        <v>0</v>
      </c>
      <c r="AD816">
        <f>INDIRECT(ADDRESS(816,29))+INDIRECT(ADDRESS(814,30))-INDIRECT(ADDRESS(815,30))</f>
        <v>0</v>
      </c>
      <c r="AE816">
        <f>INDIRECT(ADDRESS(816,30))+INDIRECT(ADDRESS(814,31))-INDIRECT(ADDRESS(815,31))</f>
        <v>0</v>
      </c>
      <c r="AF816">
        <f>INDIRECT(ADDRESS(816,31))+INDIRECT(ADDRESS(814,32))-INDIRECT(ADDRESS(815,32))</f>
        <v>0</v>
      </c>
      <c r="AG816">
        <f>INDIRECT(ADDRESS(816,32))+INDIRECT(ADDRESS(814,33))-INDIRECT(ADDRESS(815,33))</f>
        <v>0</v>
      </c>
      <c r="AH816">
        <f>INDIRECT(ADDRESS(816,33))+INDIRECT(ADDRESS(814,34))-INDIRECT(ADDRESS(815,34))</f>
        <v>0</v>
      </c>
      <c r="AI816">
        <f>INDIRECT(ADDRESS(816,34))+INDIRECT(ADDRESS(814,35))-INDIRECT(ADDRESS(815,35))</f>
        <v>0</v>
      </c>
      <c r="AJ816">
        <f>INDIRECT(ADDRESS(816,35))+INDIRECT(ADDRESS(814,36))-INDIRECT(ADDRESS(815,36))</f>
        <v>0</v>
      </c>
      <c r="AK816">
        <f>INDIRECT(ADDRESS(816,36))+INDIRECT(ADDRESS(814,37))-INDIRECT(ADDRESS(815,37))</f>
        <v>0</v>
      </c>
      <c r="AL816">
        <f>INDIRECT(ADDRESS(816,37))+INDIRECT(ADDRESS(814,38))-INDIRECT(ADDRESS(815,38))</f>
        <v>0</v>
      </c>
      <c r="AM816">
        <f>INDIRECT(ADDRESS(816,38))+INDIRECT(ADDRESS(814,39))-INDIRECT(ADDRESS(815,39))</f>
        <v>0</v>
      </c>
      <c r="AN816">
        <f>INDIRECT(ADDRESS(816,39))+INDIRECT(ADDRESS(814,40))-INDIRECT(ADDRESS(815,40))</f>
        <v>0</v>
      </c>
      <c r="AO816">
        <f>SUM(INDIRECT(ADDRESS(815,8)):INDIRECT(ADDRESS(815,39)))</f>
        <v>0</v>
      </c>
    </row>
    <row r="817" spans="1:41">
      <c r="A817" t="s">
        <v>185</v>
      </c>
      <c r="B817" t="s">
        <v>465</v>
      </c>
      <c r="C817" t="s">
        <v>466</v>
      </c>
      <c r="E817">
        <v>1</v>
      </c>
      <c r="I817" t="s">
        <v>177</v>
      </c>
    </row>
    <row r="818" spans="1:41">
      <c r="I818" t="s">
        <v>178</v>
      </c>
      <c r="J818">
        <f>IFERROR(VLOOKUP("921-060000-200",B:AB,1+8,0),0)</f>
        <v>0</v>
      </c>
      <c r="K818">
        <f>IFERROR(VLOOKUP("921-060000-200",B:AB,2+8,0),0)</f>
        <v>0</v>
      </c>
      <c r="L818">
        <f>IFERROR(VLOOKUP("921-060000-200",B:AB,3+8,0),0)</f>
        <v>0</v>
      </c>
      <c r="M818">
        <f>IFERROR(VLOOKUP("921-060000-200",B:AB,4+8,0),0)</f>
        <v>0</v>
      </c>
      <c r="N818">
        <f>IFERROR(VLOOKUP("921-060000-200",B:AB,5+8,0),0)</f>
        <v>0</v>
      </c>
      <c r="O818">
        <f>IFERROR(VLOOKUP("921-060000-200",B:AB,6+8,0),0)</f>
        <v>0</v>
      </c>
      <c r="P818">
        <f>IFERROR(VLOOKUP("921-060000-200",B:AB,7+8,0),0)</f>
        <v>0</v>
      </c>
      <c r="Q818">
        <f>IFERROR(VLOOKUP("921-060000-200",B:AB,8+8,0),0)</f>
        <v>0</v>
      </c>
      <c r="R818">
        <f>IFERROR(VLOOKUP("921-060000-200",B:AB,9+8,0),0)</f>
        <v>0</v>
      </c>
      <c r="S818">
        <f>IFERROR(VLOOKUP("921-060000-200",B:AB,10+8,0),0)</f>
        <v>0</v>
      </c>
      <c r="T818">
        <f>IFERROR(VLOOKUP("921-060000-200",B:AB,11+8,0),0)</f>
        <v>0</v>
      </c>
      <c r="U818">
        <f>IFERROR(VLOOKUP("921-060000-200",B:AB,12+8,0),0)</f>
        <v>0</v>
      </c>
      <c r="V818">
        <f>IFERROR(VLOOKUP("921-060000-200",B:AB,13+8,0),0)</f>
        <v>0</v>
      </c>
      <c r="W818">
        <f>IFERROR(VLOOKUP("921-060000-200",B:AB,14+8,0),0)</f>
        <v>0</v>
      </c>
      <c r="X818">
        <f>IFERROR(VLOOKUP("921-060000-200",B:AB,15+8,0),0)</f>
        <v>0</v>
      </c>
      <c r="Y818">
        <f>IFERROR(VLOOKUP("921-060000-200",B:AB,16+8,0),0)</f>
        <v>0</v>
      </c>
      <c r="Z818">
        <f>IFERROR(VLOOKUP("921-060000-200",B:AB,17+8,0),0)</f>
        <v>0</v>
      </c>
      <c r="AA818">
        <f>IFERROR(VLOOKUP("921-060000-200",B:AB,18+8,0),0)</f>
        <v>0</v>
      </c>
      <c r="AB818">
        <f>IFERROR(VLOOKUP("921-060000-200",B:AB,19+8,0),0)</f>
        <v>0</v>
      </c>
      <c r="AC818">
        <f>IFERROR(VLOOKUP("921-060000-200",B:AB,20+8,0),0)</f>
        <v>0</v>
      </c>
      <c r="AD818">
        <f>IFERROR(VLOOKUP("921-060000-200",B:AB,21+8,0),0)</f>
        <v>0</v>
      </c>
      <c r="AE818">
        <f>IFERROR(VLOOKUP("921-060000-200",B:AB,22+8,0),0)</f>
        <v>0</v>
      </c>
      <c r="AF818">
        <f>IFERROR(VLOOKUP("921-060000-200",B:AB,23+8,0),0)</f>
        <v>0</v>
      </c>
      <c r="AG818">
        <f>IFERROR(VLOOKUP("921-060000-200",B:AB,24+8,0),0)</f>
        <v>0</v>
      </c>
      <c r="AH818">
        <f>IFERROR(VLOOKUP("921-060000-200",B:AB,25+8,0),0)</f>
        <v>0</v>
      </c>
      <c r="AI818">
        <f>IFERROR(VLOOKUP("921-060000-200",B:AB,26+8,0),0)</f>
        <v>0</v>
      </c>
      <c r="AJ818">
        <f>IFERROR(VLOOKUP("921-060000-200",B:AB,27+8,0),0)</f>
        <v>0</v>
      </c>
      <c r="AK818">
        <f>IFERROR(VLOOKUP("921-060000-200",B:AB,28+8,0),0)</f>
        <v>0</v>
      </c>
      <c r="AL818">
        <f>IFERROR(VLOOKUP("921-060000-200",B:AB,29+8,0),0)</f>
        <v>0</v>
      </c>
      <c r="AM818">
        <f>IFERROR(VLOOKUP("921-060000-200",B:AB,30+8,0),0)</f>
        <v>0</v>
      </c>
      <c r="AN818">
        <f>IFERROR(VLOOKUP("921-060000-200",B:AB,31+8,0),0)</f>
        <v>0</v>
      </c>
      <c r="AO818">
        <f>SUN(INDIRECT(ADDRESS(817,8)):INDIRECT(ADDRESS(817,39)))</f>
        <v>0</v>
      </c>
    </row>
    <row r="819" spans="1:41">
      <c r="H819" t="s">
        <v>179</v>
      </c>
      <c r="J819">
        <f>INDIRECT(ADDRESS(819,9))+INDIRECT(ADDRESS(817,10))-INDIRECT(ADDRESS(818,10))</f>
        <v>0</v>
      </c>
      <c r="K819">
        <f>INDIRECT(ADDRESS(819,10))+INDIRECT(ADDRESS(817,11))-INDIRECT(ADDRESS(818,11))</f>
        <v>0</v>
      </c>
      <c r="L819">
        <f>INDIRECT(ADDRESS(819,11))+INDIRECT(ADDRESS(817,12))-INDIRECT(ADDRESS(818,12))</f>
        <v>0</v>
      </c>
      <c r="M819">
        <f>INDIRECT(ADDRESS(819,12))+INDIRECT(ADDRESS(817,13))-INDIRECT(ADDRESS(818,13))</f>
        <v>0</v>
      </c>
      <c r="N819">
        <f>INDIRECT(ADDRESS(819,13))+INDIRECT(ADDRESS(817,14))-INDIRECT(ADDRESS(818,14))</f>
        <v>0</v>
      </c>
      <c r="O819">
        <f>INDIRECT(ADDRESS(819,14))+INDIRECT(ADDRESS(817,15))-INDIRECT(ADDRESS(818,15))</f>
        <v>0</v>
      </c>
      <c r="P819">
        <f>INDIRECT(ADDRESS(819,15))+INDIRECT(ADDRESS(817,16))-INDIRECT(ADDRESS(818,16))</f>
        <v>0</v>
      </c>
      <c r="Q819">
        <f>INDIRECT(ADDRESS(819,16))+INDIRECT(ADDRESS(817,17))-INDIRECT(ADDRESS(818,17))</f>
        <v>0</v>
      </c>
      <c r="R819">
        <f>INDIRECT(ADDRESS(819,17))+INDIRECT(ADDRESS(817,18))-INDIRECT(ADDRESS(818,18))</f>
        <v>0</v>
      </c>
      <c r="S819">
        <f>INDIRECT(ADDRESS(819,18))+INDIRECT(ADDRESS(817,19))-INDIRECT(ADDRESS(818,19))</f>
        <v>0</v>
      </c>
      <c r="T819">
        <f>INDIRECT(ADDRESS(819,19))+INDIRECT(ADDRESS(817,20))-INDIRECT(ADDRESS(818,20))</f>
        <v>0</v>
      </c>
      <c r="U819">
        <f>INDIRECT(ADDRESS(819,20))+INDIRECT(ADDRESS(817,21))-INDIRECT(ADDRESS(818,21))</f>
        <v>0</v>
      </c>
      <c r="V819">
        <f>INDIRECT(ADDRESS(819,21))+INDIRECT(ADDRESS(817,22))-INDIRECT(ADDRESS(818,22))</f>
        <v>0</v>
      </c>
      <c r="W819">
        <f>INDIRECT(ADDRESS(819,22))+INDIRECT(ADDRESS(817,23))-INDIRECT(ADDRESS(818,23))</f>
        <v>0</v>
      </c>
      <c r="X819">
        <f>INDIRECT(ADDRESS(819,23))+INDIRECT(ADDRESS(817,24))-INDIRECT(ADDRESS(818,24))</f>
        <v>0</v>
      </c>
      <c r="Y819">
        <f>INDIRECT(ADDRESS(819,24))+INDIRECT(ADDRESS(817,25))-INDIRECT(ADDRESS(818,25))</f>
        <v>0</v>
      </c>
      <c r="Z819">
        <f>INDIRECT(ADDRESS(819,25))+INDIRECT(ADDRESS(817,26))-INDIRECT(ADDRESS(818,26))</f>
        <v>0</v>
      </c>
      <c r="AA819">
        <f>INDIRECT(ADDRESS(819,26))+INDIRECT(ADDRESS(817,27))-INDIRECT(ADDRESS(818,27))</f>
        <v>0</v>
      </c>
      <c r="AB819">
        <f>INDIRECT(ADDRESS(819,27))+INDIRECT(ADDRESS(817,28))-INDIRECT(ADDRESS(818,28))</f>
        <v>0</v>
      </c>
      <c r="AC819">
        <f>INDIRECT(ADDRESS(819,28))+INDIRECT(ADDRESS(817,29))-INDIRECT(ADDRESS(818,29))</f>
        <v>0</v>
      </c>
      <c r="AD819">
        <f>INDIRECT(ADDRESS(819,29))+INDIRECT(ADDRESS(817,30))-INDIRECT(ADDRESS(818,30))</f>
        <v>0</v>
      </c>
      <c r="AE819">
        <f>INDIRECT(ADDRESS(819,30))+INDIRECT(ADDRESS(817,31))-INDIRECT(ADDRESS(818,31))</f>
        <v>0</v>
      </c>
      <c r="AF819">
        <f>INDIRECT(ADDRESS(819,31))+INDIRECT(ADDRESS(817,32))-INDIRECT(ADDRESS(818,32))</f>
        <v>0</v>
      </c>
      <c r="AG819">
        <f>INDIRECT(ADDRESS(819,32))+INDIRECT(ADDRESS(817,33))-INDIRECT(ADDRESS(818,33))</f>
        <v>0</v>
      </c>
      <c r="AH819">
        <f>INDIRECT(ADDRESS(819,33))+INDIRECT(ADDRESS(817,34))-INDIRECT(ADDRESS(818,34))</f>
        <v>0</v>
      </c>
      <c r="AI819">
        <f>INDIRECT(ADDRESS(819,34))+INDIRECT(ADDRESS(817,35))-INDIRECT(ADDRESS(818,35))</f>
        <v>0</v>
      </c>
      <c r="AJ819">
        <f>INDIRECT(ADDRESS(819,35))+INDIRECT(ADDRESS(817,36))-INDIRECT(ADDRESS(818,36))</f>
        <v>0</v>
      </c>
      <c r="AK819">
        <f>INDIRECT(ADDRESS(819,36))+INDIRECT(ADDRESS(817,37))-INDIRECT(ADDRESS(818,37))</f>
        <v>0</v>
      </c>
      <c r="AL819">
        <f>INDIRECT(ADDRESS(819,37))+INDIRECT(ADDRESS(817,38))-INDIRECT(ADDRESS(818,38))</f>
        <v>0</v>
      </c>
      <c r="AM819">
        <f>INDIRECT(ADDRESS(819,38))+INDIRECT(ADDRESS(817,39))-INDIRECT(ADDRESS(818,39))</f>
        <v>0</v>
      </c>
      <c r="AN819">
        <f>INDIRECT(ADDRESS(819,39))+INDIRECT(ADDRESS(817,40))-INDIRECT(ADDRESS(818,40))</f>
        <v>0</v>
      </c>
      <c r="AO819">
        <f>SUM(INDIRECT(ADDRESS(818,8)):INDIRECT(ADDRESS(818,39)))</f>
        <v>0</v>
      </c>
    </row>
    <row r="820" spans="1:41">
      <c r="A820" t="s">
        <v>206</v>
      </c>
      <c r="B820" t="s">
        <v>467</v>
      </c>
      <c r="C820" t="s">
        <v>468</v>
      </c>
      <c r="E820">
        <v>0.17</v>
      </c>
      <c r="I820" t="s">
        <v>177</v>
      </c>
    </row>
    <row r="821" spans="1:41">
      <c r="I821" t="s">
        <v>178</v>
      </c>
      <c r="J821">
        <f>IFERROR(VLOOKUP("921-060000-200",B:AB,1+8,0),0)</f>
        <v>0</v>
      </c>
      <c r="K821">
        <f>IFERROR(VLOOKUP("921-060000-200",B:AB,2+8,0),0)</f>
        <v>0</v>
      </c>
      <c r="L821">
        <f>IFERROR(VLOOKUP("921-060000-200",B:AB,3+8,0),0)</f>
        <v>0</v>
      </c>
      <c r="M821">
        <f>IFERROR(VLOOKUP("921-060000-200",B:AB,4+8,0),0)</f>
        <v>0</v>
      </c>
      <c r="N821">
        <f>IFERROR(VLOOKUP("921-060000-200",B:AB,5+8,0),0)</f>
        <v>0</v>
      </c>
      <c r="O821">
        <f>IFERROR(VLOOKUP("921-060000-200",B:AB,6+8,0),0)</f>
        <v>0</v>
      </c>
      <c r="P821">
        <f>IFERROR(VLOOKUP("921-060000-200",B:AB,7+8,0),0)</f>
        <v>0</v>
      </c>
      <c r="Q821">
        <f>IFERROR(VLOOKUP("921-060000-200",B:AB,8+8,0),0)</f>
        <v>0</v>
      </c>
      <c r="R821">
        <f>IFERROR(VLOOKUP("921-060000-200",B:AB,9+8,0),0)</f>
        <v>0</v>
      </c>
      <c r="S821">
        <f>IFERROR(VLOOKUP("921-060000-200",B:AB,10+8,0),0)</f>
        <v>0</v>
      </c>
      <c r="T821">
        <f>IFERROR(VLOOKUP("921-060000-200",B:AB,11+8,0),0)</f>
        <v>0</v>
      </c>
      <c r="U821">
        <f>IFERROR(VLOOKUP("921-060000-200",B:AB,12+8,0),0)</f>
        <v>0</v>
      </c>
      <c r="V821">
        <f>IFERROR(VLOOKUP("921-060000-200",B:AB,13+8,0),0)</f>
        <v>0</v>
      </c>
      <c r="W821">
        <f>IFERROR(VLOOKUP("921-060000-200",B:AB,14+8,0),0)</f>
        <v>0</v>
      </c>
      <c r="X821">
        <f>IFERROR(VLOOKUP("921-060000-200",B:AB,15+8,0),0)</f>
        <v>0</v>
      </c>
      <c r="Y821">
        <f>IFERROR(VLOOKUP("921-060000-200",B:AB,16+8,0),0)</f>
        <v>0</v>
      </c>
      <c r="Z821">
        <f>IFERROR(VLOOKUP("921-060000-200",B:AB,17+8,0),0)</f>
        <v>0</v>
      </c>
      <c r="AA821">
        <f>IFERROR(VLOOKUP("921-060000-200",B:AB,18+8,0),0)</f>
        <v>0</v>
      </c>
      <c r="AB821">
        <f>IFERROR(VLOOKUP("921-060000-200",B:AB,19+8,0),0)</f>
        <v>0</v>
      </c>
      <c r="AC821">
        <f>IFERROR(VLOOKUP("921-060000-200",B:AB,20+8,0),0)</f>
        <v>0</v>
      </c>
      <c r="AD821">
        <f>IFERROR(VLOOKUP("921-060000-200",B:AB,21+8,0),0)</f>
        <v>0</v>
      </c>
      <c r="AE821">
        <f>IFERROR(VLOOKUP("921-060000-200",B:AB,22+8,0),0)</f>
        <v>0</v>
      </c>
      <c r="AF821">
        <f>IFERROR(VLOOKUP("921-060000-200",B:AB,23+8,0),0)</f>
        <v>0</v>
      </c>
      <c r="AG821">
        <f>IFERROR(VLOOKUP("921-060000-200",B:AB,24+8,0),0)</f>
        <v>0</v>
      </c>
      <c r="AH821">
        <f>IFERROR(VLOOKUP("921-060000-200",B:AB,25+8,0),0)</f>
        <v>0</v>
      </c>
      <c r="AI821">
        <f>IFERROR(VLOOKUP("921-060000-200",B:AB,26+8,0),0)</f>
        <v>0</v>
      </c>
      <c r="AJ821">
        <f>IFERROR(VLOOKUP("921-060000-200",B:AB,27+8,0),0)</f>
        <v>0</v>
      </c>
      <c r="AK821">
        <f>IFERROR(VLOOKUP("921-060000-200",B:AB,28+8,0),0)</f>
        <v>0</v>
      </c>
      <c r="AL821">
        <f>IFERROR(VLOOKUP("921-060000-200",B:AB,29+8,0),0)</f>
        <v>0</v>
      </c>
      <c r="AM821">
        <f>IFERROR(VLOOKUP("921-060000-200",B:AB,30+8,0),0)</f>
        <v>0</v>
      </c>
      <c r="AN821">
        <f>IFERROR(VLOOKUP("921-060000-200",B:AB,31+8,0),0)</f>
        <v>0</v>
      </c>
      <c r="AO821">
        <f>SUN(INDIRECT(ADDRESS(820,8)):INDIRECT(ADDRESS(820,39)))</f>
        <v>0</v>
      </c>
    </row>
    <row r="822" spans="1:41">
      <c r="H822" t="s">
        <v>179</v>
      </c>
      <c r="J822">
        <f>INDIRECT(ADDRESS(822,9))+INDIRECT(ADDRESS(820,10))-INDIRECT(ADDRESS(821,10))</f>
        <v>0</v>
      </c>
      <c r="K822">
        <f>INDIRECT(ADDRESS(822,10))+INDIRECT(ADDRESS(820,11))-INDIRECT(ADDRESS(821,11))</f>
        <v>0</v>
      </c>
      <c r="L822">
        <f>INDIRECT(ADDRESS(822,11))+INDIRECT(ADDRESS(820,12))-INDIRECT(ADDRESS(821,12))</f>
        <v>0</v>
      </c>
      <c r="M822">
        <f>INDIRECT(ADDRESS(822,12))+INDIRECT(ADDRESS(820,13))-INDIRECT(ADDRESS(821,13))</f>
        <v>0</v>
      </c>
      <c r="N822">
        <f>INDIRECT(ADDRESS(822,13))+INDIRECT(ADDRESS(820,14))-INDIRECT(ADDRESS(821,14))</f>
        <v>0</v>
      </c>
      <c r="O822">
        <f>INDIRECT(ADDRESS(822,14))+INDIRECT(ADDRESS(820,15))-INDIRECT(ADDRESS(821,15))</f>
        <v>0</v>
      </c>
      <c r="P822">
        <f>INDIRECT(ADDRESS(822,15))+INDIRECT(ADDRESS(820,16))-INDIRECT(ADDRESS(821,16))</f>
        <v>0</v>
      </c>
      <c r="Q822">
        <f>INDIRECT(ADDRESS(822,16))+INDIRECT(ADDRESS(820,17))-INDIRECT(ADDRESS(821,17))</f>
        <v>0</v>
      </c>
      <c r="R822">
        <f>INDIRECT(ADDRESS(822,17))+INDIRECT(ADDRESS(820,18))-INDIRECT(ADDRESS(821,18))</f>
        <v>0</v>
      </c>
      <c r="S822">
        <f>INDIRECT(ADDRESS(822,18))+INDIRECT(ADDRESS(820,19))-INDIRECT(ADDRESS(821,19))</f>
        <v>0</v>
      </c>
      <c r="T822">
        <f>INDIRECT(ADDRESS(822,19))+INDIRECT(ADDRESS(820,20))-INDIRECT(ADDRESS(821,20))</f>
        <v>0</v>
      </c>
      <c r="U822">
        <f>INDIRECT(ADDRESS(822,20))+INDIRECT(ADDRESS(820,21))-INDIRECT(ADDRESS(821,21))</f>
        <v>0</v>
      </c>
      <c r="V822">
        <f>INDIRECT(ADDRESS(822,21))+INDIRECT(ADDRESS(820,22))-INDIRECT(ADDRESS(821,22))</f>
        <v>0</v>
      </c>
      <c r="W822">
        <f>INDIRECT(ADDRESS(822,22))+INDIRECT(ADDRESS(820,23))-INDIRECT(ADDRESS(821,23))</f>
        <v>0</v>
      </c>
      <c r="X822">
        <f>INDIRECT(ADDRESS(822,23))+INDIRECT(ADDRESS(820,24))-INDIRECT(ADDRESS(821,24))</f>
        <v>0</v>
      </c>
      <c r="Y822">
        <f>INDIRECT(ADDRESS(822,24))+INDIRECT(ADDRESS(820,25))-INDIRECT(ADDRESS(821,25))</f>
        <v>0</v>
      </c>
      <c r="Z822">
        <f>INDIRECT(ADDRESS(822,25))+INDIRECT(ADDRESS(820,26))-INDIRECT(ADDRESS(821,26))</f>
        <v>0</v>
      </c>
      <c r="AA822">
        <f>INDIRECT(ADDRESS(822,26))+INDIRECT(ADDRESS(820,27))-INDIRECT(ADDRESS(821,27))</f>
        <v>0</v>
      </c>
      <c r="AB822">
        <f>INDIRECT(ADDRESS(822,27))+INDIRECT(ADDRESS(820,28))-INDIRECT(ADDRESS(821,28))</f>
        <v>0</v>
      </c>
      <c r="AC822">
        <f>INDIRECT(ADDRESS(822,28))+INDIRECT(ADDRESS(820,29))-INDIRECT(ADDRESS(821,29))</f>
        <v>0</v>
      </c>
      <c r="AD822">
        <f>INDIRECT(ADDRESS(822,29))+INDIRECT(ADDRESS(820,30))-INDIRECT(ADDRESS(821,30))</f>
        <v>0</v>
      </c>
      <c r="AE822">
        <f>INDIRECT(ADDRESS(822,30))+INDIRECT(ADDRESS(820,31))-INDIRECT(ADDRESS(821,31))</f>
        <v>0</v>
      </c>
      <c r="AF822">
        <f>INDIRECT(ADDRESS(822,31))+INDIRECT(ADDRESS(820,32))-INDIRECT(ADDRESS(821,32))</f>
        <v>0</v>
      </c>
      <c r="AG822">
        <f>INDIRECT(ADDRESS(822,32))+INDIRECT(ADDRESS(820,33))-INDIRECT(ADDRESS(821,33))</f>
        <v>0</v>
      </c>
      <c r="AH822">
        <f>INDIRECT(ADDRESS(822,33))+INDIRECT(ADDRESS(820,34))-INDIRECT(ADDRESS(821,34))</f>
        <v>0</v>
      </c>
      <c r="AI822">
        <f>INDIRECT(ADDRESS(822,34))+INDIRECT(ADDRESS(820,35))-INDIRECT(ADDRESS(821,35))</f>
        <v>0</v>
      </c>
      <c r="AJ822">
        <f>INDIRECT(ADDRESS(822,35))+INDIRECT(ADDRESS(820,36))-INDIRECT(ADDRESS(821,36))</f>
        <v>0</v>
      </c>
      <c r="AK822">
        <f>INDIRECT(ADDRESS(822,36))+INDIRECT(ADDRESS(820,37))-INDIRECT(ADDRESS(821,37))</f>
        <v>0</v>
      </c>
      <c r="AL822">
        <f>INDIRECT(ADDRESS(822,37))+INDIRECT(ADDRESS(820,38))-INDIRECT(ADDRESS(821,38))</f>
        <v>0</v>
      </c>
      <c r="AM822">
        <f>INDIRECT(ADDRESS(822,38))+INDIRECT(ADDRESS(820,39))-INDIRECT(ADDRESS(821,39))</f>
        <v>0</v>
      </c>
      <c r="AN822">
        <f>INDIRECT(ADDRESS(822,39))+INDIRECT(ADDRESS(820,40))-INDIRECT(ADDRESS(821,40))</f>
        <v>0</v>
      </c>
      <c r="AO822">
        <f>SUM(INDIRECT(ADDRESS(821,8)):INDIRECT(ADDRESS(821,39)))</f>
        <v>0</v>
      </c>
    </row>
    <row r="823" spans="1:41">
      <c r="A823" t="s">
        <v>204</v>
      </c>
      <c r="B823" t="s">
        <v>467</v>
      </c>
      <c r="C823" t="s">
        <v>468</v>
      </c>
      <c r="E823">
        <v>0.17</v>
      </c>
      <c r="I823" t="s">
        <v>177</v>
      </c>
    </row>
    <row r="824" spans="1:41">
      <c r="I824" t="s">
        <v>178</v>
      </c>
      <c r="J824">
        <f>IFERROR(VLOOKUP("921-060000-200",B:AB,1+8,0),0)</f>
        <v>0</v>
      </c>
      <c r="K824">
        <f>IFERROR(VLOOKUP("921-060000-200",B:AB,2+8,0),0)</f>
        <v>0</v>
      </c>
      <c r="L824">
        <f>IFERROR(VLOOKUP("921-060000-200",B:AB,3+8,0),0)</f>
        <v>0</v>
      </c>
      <c r="M824">
        <f>IFERROR(VLOOKUP("921-060000-200",B:AB,4+8,0),0)</f>
        <v>0</v>
      </c>
      <c r="N824">
        <f>IFERROR(VLOOKUP("921-060000-200",B:AB,5+8,0),0)</f>
        <v>0</v>
      </c>
      <c r="O824">
        <f>IFERROR(VLOOKUP("921-060000-200",B:AB,6+8,0),0)</f>
        <v>0</v>
      </c>
      <c r="P824">
        <f>IFERROR(VLOOKUP("921-060000-200",B:AB,7+8,0),0)</f>
        <v>0</v>
      </c>
      <c r="Q824">
        <f>IFERROR(VLOOKUP("921-060000-200",B:AB,8+8,0),0)</f>
        <v>0</v>
      </c>
      <c r="R824">
        <f>IFERROR(VLOOKUP("921-060000-200",B:AB,9+8,0),0)</f>
        <v>0</v>
      </c>
      <c r="S824">
        <f>IFERROR(VLOOKUP("921-060000-200",B:AB,10+8,0),0)</f>
        <v>0</v>
      </c>
      <c r="T824">
        <f>IFERROR(VLOOKUP("921-060000-200",B:AB,11+8,0),0)</f>
        <v>0</v>
      </c>
      <c r="U824">
        <f>IFERROR(VLOOKUP("921-060000-200",B:AB,12+8,0),0)</f>
        <v>0</v>
      </c>
      <c r="V824">
        <f>IFERROR(VLOOKUP("921-060000-200",B:AB,13+8,0),0)</f>
        <v>0</v>
      </c>
      <c r="W824">
        <f>IFERROR(VLOOKUP("921-060000-200",B:AB,14+8,0),0)</f>
        <v>0</v>
      </c>
      <c r="X824">
        <f>IFERROR(VLOOKUP("921-060000-200",B:AB,15+8,0),0)</f>
        <v>0</v>
      </c>
      <c r="Y824">
        <f>IFERROR(VLOOKUP("921-060000-200",B:AB,16+8,0),0)</f>
        <v>0</v>
      </c>
      <c r="Z824">
        <f>IFERROR(VLOOKUP("921-060000-200",B:AB,17+8,0),0)</f>
        <v>0</v>
      </c>
      <c r="AA824">
        <f>IFERROR(VLOOKUP("921-060000-200",B:AB,18+8,0),0)</f>
        <v>0</v>
      </c>
      <c r="AB824">
        <f>IFERROR(VLOOKUP("921-060000-200",B:AB,19+8,0),0)</f>
        <v>0</v>
      </c>
      <c r="AC824">
        <f>IFERROR(VLOOKUP("921-060000-200",B:AB,20+8,0),0)</f>
        <v>0</v>
      </c>
      <c r="AD824">
        <f>IFERROR(VLOOKUP("921-060000-200",B:AB,21+8,0),0)</f>
        <v>0</v>
      </c>
      <c r="AE824">
        <f>IFERROR(VLOOKUP("921-060000-200",B:AB,22+8,0),0)</f>
        <v>0</v>
      </c>
      <c r="AF824">
        <f>IFERROR(VLOOKUP("921-060000-200",B:AB,23+8,0),0)</f>
        <v>0</v>
      </c>
      <c r="AG824">
        <f>IFERROR(VLOOKUP("921-060000-200",B:AB,24+8,0),0)</f>
        <v>0</v>
      </c>
      <c r="AH824">
        <f>IFERROR(VLOOKUP("921-060000-200",B:AB,25+8,0),0)</f>
        <v>0</v>
      </c>
      <c r="AI824">
        <f>IFERROR(VLOOKUP("921-060000-200",B:AB,26+8,0),0)</f>
        <v>0</v>
      </c>
      <c r="AJ824">
        <f>IFERROR(VLOOKUP("921-060000-200",B:AB,27+8,0),0)</f>
        <v>0</v>
      </c>
      <c r="AK824">
        <f>IFERROR(VLOOKUP("921-060000-200",B:AB,28+8,0),0)</f>
        <v>0</v>
      </c>
      <c r="AL824">
        <f>IFERROR(VLOOKUP("921-060000-200",B:AB,29+8,0),0)</f>
        <v>0</v>
      </c>
      <c r="AM824">
        <f>IFERROR(VLOOKUP("921-060000-200",B:AB,30+8,0),0)</f>
        <v>0</v>
      </c>
      <c r="AN824">
        <f>IFERROR(VLOOKUP("921-060000-200",B:AB,31+8,0),0)</f>
        <v>0</v>
      </c>
      <c r="AO824">
        <f>SUN(INDIRECT(ADDRESS(823,8)):INDIRECT(ADDRESS(823,39)))</f>
        <v>0</v>
      </c>
    </row>
    <row r="825" spans="1:41">
      <c r="H825" t="s">
        <v>179</v>
      </c>
      <c r="J825">
        <f>INDIRECT(ADDRESS(825,9))+INDIRECT(ADDRESS(823,10))-INDIRECT(ADDRESS(824,10))</f>
        <v>0</v>
      </c>
      <c r="K825">
        <f>INDIRECT(ADDRESS(825,10))+INDIRECT(ADDRESS(823,11))-INDIRECT(ADDRESS(824,11))</f>
        <v>0</v>
      </c>
      <c r="L825">
        <f>INDIRECT(ADDRESS(825,11))+INDIRECT(ADDRESS(823,12))-INDIRECT(ADDRESS(824,12))</f>
        <v>0</v>
      </c>
      <c r="M825">
        <f>INDIRECT(ADDRESS(825,12))+INDIRECT(ADDRESS(823,13))-INDIRECT(ADDRESS(824,13))</f>
        <v>0</v>
      </c>
      <c r="N825">
        <f>INDIRECT(ADDRESS(825,13))+INDIRECT(ADDRESS(823,14))-INDIRECT(ADDRESS(824,14))</f>
        <v>0</v>
      </c>
      <c r="O825">
        <f>INDIRECT(ADDRESS(825,14))+INDIRECT(ADDRESS(823,15))-INDIRECT(ADDRESS(824,15))</f>
        <v>0</v>
      </c>
      <c r="P825">
        <f>INDIRECT(ADDRESS(825,15))+INDIRECT(ADDRESS(823,16))-INDIRECT(ADDRESS(824,16))</f>
        <v>0</v>
      </c>
      <c r="Q825">
        <f>INDIRECT(ADDRESS(825,16))+INDIRECT(ADDRESS(823,17))-INDIRECT(ADDRESS(824,17))</f>
        <v>0</v>
      </c>
      <c r="R825">
        <f>INDIRECT(ADDRESS(825,17))+INDIRECT(ADDRESS(823,18))-INDIRECT(ADDRESS(824,18))</f>
        <v>0</v>
      </c>
      <c r="S825">
        <f>INDIRECT(ADDRESS(825,18))+INDIRECT(ADDRESS(823,19))-INDIRECT(ADDRESS(824,19))</f>
        <v>0</v>
      </c>
      <c r="T825">
        <f>INDIRECT(ADDRESS(825,19))+INDIRECT(ADDRESS(823,20))-INDIRECT(ADDRESS(824,20))</f>
        <v>0</v>
      </c>
      <c r="U825">
        <f>INDIRECT(ADDRESS(825,20))+INDIRECT(ADDRESS(823,21))-INDIRECT(ADDRESS(824,21))</f>
        <v>0</v>
      </c>
      <c r="V825">
        <f>INDIRECT(ADDRESS(825,21))+INDIRECT(ADDRESS(823,22))-INDIRECT(ADDRESS(824,22))</f>
        <v>0</v>
      </c>
      <c r="W825">
        <f>INDIRECT(ADDRESS(825,22))+INDIRECT(ADDRESS(823,23))-INDIRECT(ADDRESS(824,23))</f>
        <v>0</v>
      </c>
      <c r="X825">
        <f>INDIRECT(ADDRESS(825,23))+INDIRECT(ADDRESS(823,24))-INDIRECT(ADDRESS(824,24))</f>
        <v>0</v>
      </c>
      <c r="Y825">
        <f>INDIRECT(ADDRESS(825,24))+INDIRECT(ADDRESS(823,25))-INDIRECT(ADDRESS(824,25))</f>
        <v>0</v>
      </c>
      <c r="Z825">
        <f>INDIRECT(ADDRESS(825,25))+INDIRECT(ADDRESS(823,26))-INDIRECT(ADDRESS(824,26))</f>
        <v>0</v>
      </c>
      <c r="AA825">
        <f>INDIRECT(ADDRESS(825,26))+INDIRECT(ADDRESS(823,27))-INDIRECT(ADDRESS(824,27))</f>
        <v>0</v>
      </c>
      <c r="AB825">
        <f>INDIRECT(ADDRESS(825,27))+INDIRECT(ADDRESS(823,28))-INDIRECT(ADDRESS(824,28))</f>
        <v>0</v>
      </c>
      <c r="AC825">
        <f>INDIRECT(ADDRESS(825,28))+INDIRECT(ADDRESS(823,29))-INDIRECT(ADDRESS(824,29))</f>
        <v>0</v>
      </c>
      <c r="AD825">
        <f>INDIRECT(ADDRESS(825,29))+INDIRECT(ADDRESS(823,30))-INDIRECT(ADDRESS(824,30))</f>
        <v>0</v>
      </c>
      <c r="AE825">
        <f>INDIRECT(ADDRESS(825,30))+INDIRECT(ADDRESS(823,31))-INDIRECT(ADDRESS(824,31))</f>
        <v>0</v>
      </c>
      <c r="AF825">
        <f>INDIRECT(ADDRESS(825,31))+INDIRECT(ADDRESS(823,32))-INDIRECT(ADDRESS(824,32))</f>
        <v>0</v>
      </c>
      <c r="AG825">
        <f>INDIRECT(ADDRESS(825,32))+INDIRECT(ADDRESS(823,33))-INDIRECT(ADDRESS(824,33))</f>
        <v>0</v>
      </c>
      <c r="AH825">
        <f>INDIRECT(ADDRESS(825,33))+INDIRECT(ADDRESS(823,34))-INDIRECT(ADDRESS(824,34))</f>
        <v>0</v>
      </c>
      <c r="AI825">
        <f>INDIRECT(ADDRESS(825,34))+INDIRECT(ADDRESS(823,35))-INDIRECT(ADDRESS(824,35))</f>
        <v>0</v>
      </c>
      <c r="AJ825">
        <f>INDIRECT(ADDRESS(825,35))+INDIRECT(ADDRESS(823,36))-INDIRECT(ADDRESS(824,36))</f>
        <v>0</v>
      </c>
      <c r="AK825">
        <f>INDIRECT(ADDRESS(825,36))+INDIRECT(ADDRESS(823,37))-INDIRECT(ADDRESS(824,37))</f>
        <v>0</v>
      </c>
      <c r="AL825">
        <f>INDIRECT(ADDRESS(825,37))+INDIRECT(ADDRESS(823,38))-INDIRECT(ADDRESS(824,38))</f>
        <v>0</v>
      </c>
      <c r="AM825">
        <f>INDIRECT(ADDRESS(825,38))+INDIRECT(ADDRESS(823,39))-INDIRECT(ADDRESS(824,39))</f>
        <v>0</v>
      </c>
      <c r="AN825">
        <f>INDIRECT(ADDRESS(825,39))+INDIRECT(ADDRESS(823,40))-INDIRECT(ADDRESS(824,40))</f>
        <v>0</v>
      </c>
      <c r="AO825">
        <f>SUM(INDIRECT(ADDRESS(824,8)):INDIRECT(ADDRESS(824,39)))</f>
        <v>0</v>
      </c>
    </row>
    <row r="826" spans="1:41">
      <c r="A826" t="s">
        <v>8</v>
      </c>
      <c r="B826" t="s">
        <v>69</v>
      </c>
      <c r="C826" t="s">
        <v>70</v>
      </c>
      <c r="E826">
        <v>1</v>
      </c>
      <c r="I826" t="s">
        <v>177</v>
      </c>
    </row>
    <row r="827" spans="1:41">
      <c r="I827" t="s">
        <v>178</v>
      </c>
      <c r="J827">
        <f>IFERROR(VLOOKUP("921-059000-200",Out!B:AB,1+8,0),0)</f>
        <v>0</v>
      </c>
      <c r="K827">
        <f>IFERROR(VLOOKUP("921-059000-200",Out!B:AB,2+8,0),0)</f>
        <v>0</v>
      </c>
      <c r="L827">
        <f>IFERROR(VLOOKUP("921-059000-200",Out!B:AB,3+8,0),0)</f>
        <v>0</v>
      </c>
      <c r="M827">
        <f>IFERROR(VLOOKUP("921-059000-200",Out!B:AB,4+8,0),0)</f>
        <v>0</v>
      </c>
      <c r="N827">
        <f>IFERROR(VLOOKUP("921-059000-200",Out!B:AB,5+8,0),0)</f>
        <v>0</v>
      </c>
      <c r="O827">
        <f>IFERROR(VLOOKUP("921-059000-200",Out!B:AB,6+8,0),0)</f>
        <v>0</v>
      </c>
      <c r="P827">
        <f>IFERROR(VLOOKUP("921-059000-200",Out!B:AB,7+8,0),0)</f>
        <v>0</v>
      </c>
      <c r="Q827">
        <f>IFERROR(VLOOKUP("921-059000-200",Out!B:AB,8+8,0),0)</f>
        <v>0</v>
      </c>
      <c r="R827">
        <f>IFERROR(VLOOKUP("921-059000-200",Out!B:AB,9+8,0),0)</f>
        <v>0</v>
      </c>
      <c r="S827">
        <f>IFERROR(VLOOKUP("921-059000-200",Out!B:AB,10+8,0),0)</f>
        <v>0</v>
      </c>
      <c r="T827">
        <f>IFERROR(VLOOKUP("921-059000-200",Out!B:AB,11+8,0),0)</f>
        <v>0</v>
      </c>
      <c r="U827">
        <f>IFERROR(VLOOKUP("921-059000-200",Out!B:AB,12+8,0),0)</f>
        <v>0</v>
      </c>
      <c r="V827">
        <f>IFERROR(VLOOKUP("921-059000-200",Out!B:AB,13+8,0),0)</f>
        <v>0</v>
      </c>
      <c r="W827">
        <f>IFERROR(VLOOKUP("921-059000-200",Out!B:AB,14+8,0),0)</f>
        <v>0</v>
      </c>
      <c r="X827">
        <f>IFERROR(VLOOKUP("921-059000-200",Out!B:AB,15+8,0),0)</f>
        <v>0</v>
      </c>
      <c r="Y827">
        <f>IFERROR(VLOOKUP("921-059000-200",Out!B:AB,16+8,0),0)</f>
        <v>0</v>
      </c>
      <c r="Z827">
        <f>IFERROR(VLOOKUP("921-059000-200",Out!B:AB,17+8,0),0)</f>
        <v>0</v>
      </c>
      <c r="AA827">
        <f>IFERROR(VLOOKUP("921-059000-200",Out!B:AB,18+8,0),0)</f>
        <v>0</v>
      </c>
      <c r="AB827">
        <f>IFERROR(VLOOKUP("921-059000-200",Out!B:AB,19+8,0),0)</f>
        <v>0</v>
      </c>
      <c r="AC827">
        <f>IFERROR(VLOOKUP("921-059000-200",Out!B:AB,20+8,0),0)</f>
        <v>0</v>
      </c>
      <c r="AD827">
        <f>IFERROR(VLOOKUP("921-059000-200",Out!B:AB,21+8,0),0)</f>
        <v>0</v>
      </c>
      <c r="AE827">
        <f>IFERROR(VLOOKUP("921-059000-200",Out!B:AB,22+8,0),0)</f>
        <v>0</v>
      </c>
      <c r="AF827">
        <f>IFERROR(VLOOKUP("921-059000-200",Out!B:AB,23+8,0),0)</f>
        <v>0</v>
      </c>
      <c r="AG827">
        <f>IFERROR(VLOOKUP("921-059000-200",Out!B:AB,24+8,0),0)</f>
        <v>0</v>
      </c>
      <c r="AH827">
        <f>IFERROR(VLOOKUP("921-059000-200",Out!B:AB,25+8,0),0)</f>
        <v>0</v>
      </c>
      <c r="AI827">
        <f>IFERROR(VLOOKUP("921-059000-200",Out!B:AB,26+8,0),0)</f>
        <v>0</v>
      </c>
      <c r="AJ827">
        <f>IFERROR(VLOOKUP("921-059000-200",Out!B:AB,27+8,0),0)</f>
        <v>0</v>
      </c>
      <c r="AK827">
        <f>IFERROR(VLOOKUP("921-059000-200",Out!B:AB,28+8,0),0)</f>
        <v>0</v>
      </c>
      <c r="AL827">
        <f>IFERROR(VLOOKUP("921-059000-200",Out!B:AB,29+8,0),0)</f>
        <v>0</v>
      </c>
      <c r="AM827">
        <f>IFERROR(VLOOKUP("921-059000-200",Out!B:AB,30+8,0),0)</f>
        <v>0</v>
      </c>
      <c r="AN827">
        <f>IFERROR(VLOOKUP("921-059000-200",Out!B:AB,31+8,0),0)</f>
        <v>0</v>
      </c>
      <c r="AO827">
        <f>SUN(INDIRECT(ADDRESS(826,8)):INDIRECT(ADDRESS(826,39)))</f>
        <v>0</v>
      </c>
    </row>
    <row r="828" spans="1:41">
      <c r="H828" t="s">
        <v>179</v>
      </c>
      <c r="J828">
        <f>INDIRECT(ADDRESS(828,9))+INDIRECT(ADDRESS(826,10))-INDIRECT(ADDRESS(827,10))</f>
        <v>0</v>
      </c>
      <c r="K828">
        <f>INDIRECT(ADDRESS(828,10))+INDIRECT(ADDRESS(826,11))-INDIRECT(ADDRESS(827,11))</f>
        <v>0</v>
      </c>
      <c r="L828">
        <f>INDIRECT(ADDRESS(828,11))+INDIRECT(ADDRESS(826,12))-INDIRECT(ADDRESS(827,12))</f>
        <v>0</v>
      </c>
      <c r="M828">
        <f>INDIRECT(ADDRESS(828,12))+INDIRECT(ADDRESS(826,13))-INDIRECT(ADDRESS(827,13))</f>
        <v>0</v>
      </c>
      <c r="N828">
        <f>INDIRECT(ADDRESS(828,13))+INDIRECT(ADDRESS(826,14))-INDIRECT(ADDRESS(827,14))</f>
        <v>0</v>
      </c>
      <c r="O828">
        <f>INDIRECT(ADDRESS(828,14))+INDIRECT(ADDRESS(826,15))-INDIRECT(ADDRESS(827,15))</f>
        <v>0</v>
      </c>
      <c r="P828">
        <f>INDIRECT(ADDRESS(828,15))+INDIRECT(ADDRESS(826,16))-INDIRECT(ADDRESS(827,16))</f>
        <v>0</v>
      </c>
      <c r="Q828">
        <f>INDIRECT(ADDRESS(828,16))+INDIRECT(ADDRESS(826,17))-INDIRECT(ADDRESS(827,17))</f>
        <v>0</v>
      </c>
      <c r="R828">
        <f>INDIRECT(ADDRESS(828,17))+INDIRECT(ADDRESS(826,18))-INDIRECT(ADDRESS(827,18))</f>
        <v>0</v>
      </c>
      <c r="S828">
        <f>INDIRECT(ADDRESS(828,18))+INDIRECT(ADDRESS(826,19))-INDIRECT(ADDRESS(827,19))</f>
        <v>0</v>
      </c>
      <c r="T828">
        <f>INDIRECT(ADDRESS(828,19))+INDIRECT(ADDRESS(826,20))-INDIRECT(ADDRESS(827,20))</f>
        <v>0</v>
      </c>
      <c r="U828">
        <f>INDIRECT(ADDRESS(828,20))+INDIRECT(ADDRESS(826,21))-INDIRECT(ADDRESS(827,21))</f>
        <v>0</v>
      </c>
      <c r="V828">
        <f>INDIRECT(ADDRESS(828,21))+INDIRECT(ADDRESS(826,22))-INDIRECT(ADDRESS(827,22))</f>
        <v>0</v>
      </c>
      <c r="W828">
        <f>INDIRECT(ADDRESS(828,22))+INDIRECT(ADDRESS(826,23))-INDIRECT(ADDRESS(827,23))</f>
        <v>0</v>
      </c>
      <c r="X828">
        <f>INDIRECT(ADDRESS(828,23))+INDIRECT(ADDRESS(826,24))-INDIRECT(ADDRESS(827,24))</f>
        <v>0</v>
      </c>
      <c r="Y828">
        <f>INDIRECT(ADDRESS(828,24))+INDIRECT(ADDRESS(826,25))-INDIRECT(ADDRESS(827,25))</f>
        <v>0</v>
      </c>
      <c r="Z828">
        <f>INDIRECT(ADDRESS(828,25))+INDIRECT(ADDRESS(826,26))-INDIRECT(ADDRESS(827,26))</f>
        <v>0</v>
      </c>
      <c r="AA828">
        <f>INDIRECT(ADDRESS(828,26))+INDIRECT(ADDRESS(826,27))-INDIRECT(ADDRESS(827,27))</f>
        <v>0</v>
      </c>
      <c r="AB828">
        <f>INDIRECT(ADDRESS(828,27))+INDIRECT(ADDRESS(826,28))-INDIRECT(ADDRESS(827,28))</f>
        <v>0</v>
      </c>
      <c r="AC828">
        <f>INDIRECT(ADDRESS(828,28))+INDIRECT(ADDRESS(826,29))-INDIRECT(ADDRESS(827,29))</f>
        <v>0</v>
      </c>
      <c r="AD828">
        <f>INDIRECT(ADDRESS(828,29))+INDIRECT(ADDRESS(826,30))-INDIRECT(ADDRESS(827,30))</f>
        <v>0</v>
      </c>
      <c r="AE828">
        <f>INDIRECT(ADDRESS(828,30))+INDIRECT(ADDRESS(826,31))-INDIRECT(ADDRESS(827,31))</f>
        <v>0</v>
      </c>
      <c r="AF828">
        <f>INDIRECT(ADDRESS(828,31))+INDIRECT(ADDRESS(826,32))-INDIRECT(ADDRESS(827,32))</f>
        <v>0</v>
      </c>
      <c r="AG828">
        <f>INDIRECT(ADDRESS(828,32))+INDIRECT(ADDRESS(826,33))-INDIRECT(ADDRESS(827,33))</f>
        <v>0</v>
      </c>
      <c r="AH828">
        <f>INDIRECT(ADDRESS(828,33))+INDIRECT(ADDRESS(826,34))-INDIRECT(ADDRESS(827,34))</f>
        <v>0</v>
      </c>
      <c r="AI828">
        <f>INDIRECT(ADDRESS(828,34))+INDIRECT(ADDRESS(826,35))-INDIRECT(ADDRESS(827,35))</f>
        <v>0</v>
      </c>
      <c r="AJ828">
        <f>INDIRECT(ADDRESS(828,35))+INDIRECT(ADDRESS(826,36))-INDIRECT(ADDRESS(827,36))</f>
        <v>0</v>
      </c>
      <c r="AK828">
        <f>INDIRECT(ADDRESS(828,36))+INDIRECT(ADDRESS(826,37))-INDIRECT(ADDRESS(827,37))</f>
        <v>0</v>
      </c>
      <c r="AL828">
        <f>INDIRECT(ADDRESS(828,37))+INDIRECT(ADDRESS(826,38))-INDIRECT(ADDRESS(827,38))</f>
        <v>0</v>
      </c>
      <c r="AM828">
        <f>INDIRECT(ADDRESS(828,38))+INDIRECT(ADDRESS(826,39))-INDIRECT(ADDRESS(827,39))</f>
        <v>0</v>
      </c>
      <c r="AN828">
        <f>INDIRECT(ADDRESS(828,39))+INDIRECT(ADDRESS(826,40))-INDIRECT(ADDRESS(827,40))</f>
        <v>0</v>
      </c>
      <c r="AO828">
        <f>SUM(INDIRECT(ADDRESS(827,8)):INDIRECT(ADDRESS(827,39)))</f>
        <v>0</v>
      </c>
    </row>
    <row r="829" spans="1:41">
      <c r="A829" t="s">
        <v>180</v>
      </c>
      <c r="B829" t="s">
        <v>469</v>
      </c>
      <c r="C829" t="s">
        <v>470</v>
      </c>
      <c r="E829">
        <v>1</v>
      </c>
      <c r="I829" t="s">
        <v>177</v>
      </c>
    </row>
    <row r="830" spans="1:41">
      <c r="I830" t="s">
        <v>178</v>
      </c>
      <c r="J830">
        <f>IFERROR(VLOOKUP("921-059000-200",B:AB,1+8,0),0)</f>
        <v>0</v>
      </c>
      <c r="K830">
        <f>IFERROR(VLOOKUP("921-059000-200",B:AB,2+8,0),0)</f>
        <v>0</v>
      </c>
      <c r="L830">
        <f>IFERROR(VLOOKUP("921-059000-200",B:AB,3+8,0),0)</f>
        <v>0</v>
      </c>
      <c r="M830">
        <f>IFERROR(VLOOKUP("921-059000-200",B:AB,4+8,0),0)</f>
        <v>0</v>
      </c>
      <c r="N830">
        <f>IFERROR(VLOOKUP("921-059000-200",B:AB,5+8,0),0)</f>
        <v>0</v>
      </c>
      <c r="O830">
        <f>IFERROR(VLOOKUP("921-059000-200",B:AB,6+8,0),0)</f>
        <v>0</v>
      </c>
      <c r="P830">
        <f>IFERROR(VLOOKUP("921-059000-200",B:AB,7+8,0),0)</f>
        <v>0</v>
      </c>
      <c r="Q830">
        <f>IFERROR(VLOOKUP("921-059000-200",B:AB,8+8,0),0)</f>
        <v>0</v>
      </c>
      <c r="R830">
        <f>IFERROR(VLOOKUP("921-059000-200",B:AB,9+8,0),0)</f>
        <v>0</v>
      </c>
      <c r="S830">
        <f>IFERROR(VLOOKUP("921-059000-200",B:AB,10+8,0),0)</f>
        <v>0</v>
      </c>
      <c r="T830">
        <f>IFERROR(VLOOKUP("921-059000-200",B:AB,11+8,0),0)</f>
        <v>0</v>
      </c>
      <c r="U830">
        <f>IFERROR(VLOOKUP("921-059000-200",B:AB,12+8,0),0)</f>
        <v>0</v>
      </c>
      <c r="V830">
        <f>IFERROR(VLOOKUP("921-059000-200",B:AB,13+8,0),0)</f>
        <v>0</v>
      </c>
      <c r="W830">
        <f>IFERROR(VLOOKUP("921-059000-200",B:AB,14+8,0),0)</f>
        <v>0</v>
      </c>
      <c r="X830">
        <f>IFERROR(VLOOKUP("921-059000-200",B:AB,15+8,0),0)</f>
        <v>0</v>
      </c>
      <c r="Y830">
        <f>IFERROR(VLOOKUP("921-059000-200",B:AB,16+8,0),0)</f>
        <v>0</v>
      </c>
      <c r="Z830">
        <f>IFERROR(VLOOKUP("921-059000-200",B:AB,17+8,0),0)</f>
        <v>0</v>
      </c>
      <c r="AA830">
        <f>IFERROR(VLOOKUP("921-059000-200",B:AB,18+8,0),0)</f>
        <v>0</v>
      </c>
      <c r="AB830">
        <f>IFERROR(VLOOKUP("921-059000-200",B:AB,19+8,0),0)</f>
        <v>0</v>
      </c>
      <c r="AC830">
        <f>IFERROR(VLOOKUP("921-059000-200",B:AB,20+8,0),0)</f>
        <v>0</v>
      </c>
      <c r="AD830">
        <f>IFERROR(VLOOKUP("921-059000-200",B:AB,21+8,0),0)</f>
        <v>0</v>
      </c>
      <c r="AE830">
        <f>IFERROR(VLOOKUP("921-059000-200",B:AB,22+8,0),0)</f>
        <v>0</v>
      </c>
      <c r="AF830">
        <f>IFERROR(VLOOKUP("921-059000-200",B:AB,23+8,0),0)</f>
        <v>0</v>
      </c>
      <c r="AG830">
        <f>IFERROR(VLOOKUP("921-059000-200",B:AB,24+8,0),0)</f>
        <v>0</v>
      </c>
      <c r="AH830">
        <f>IFERROR(VLOOKUP("921-059000-200",B:AB,25+8,0),0)</f>
        <v>0</v>
      </c>
      <c r="AI830">
        <f>IFERROR(VLOOKUP("921-059000-200",B:AB,26+8,0),0)</f>
        <v>0</v>
      </c>
      <c r="AJ830">
        <f>IFERROR(VLOOKUP("921-059000-200",B:AB,27+8,0),0)</f>
        <v>0</v>
      </c>
      <c r="AK830">
        <f>IFERROR(VLOOKUP("921-059000-200",B:AB,28+8,0),0)</f>
        <v>0</v>
      </c>
      <c r="AL830">
        <f>IFERROR(VLOOKUP("921-059000-200",B:AB,29+8,0),0)</f>
        <v>0</v>
      </c>
      <c r="AM830">
        <f>IFERROR(VLOOKUP("921-059000-200",B:AB,30+8,0),0)</f>
        <v>0</v>
      </c>
      <c r="AN830">
        <f>IFERROR(VLOOKUP("921-059000-200",B:AB,31+8,0),0)</f>
        <v>0</v>
      </c>
      <c r="AO830">
        <f>SUN(INDIRECT(ADDRESS(829,8)):INDIRECT(ADDRESS(829,39)))</f>
        <v>0</v>
      </c>
    </row>
    <row r="831" spans="1:41">
      <c r="H831" t="s">
        <v>179</v>
      </c>
      <c r="J831">
        <f>INDIRECT(ADDRESS(831,9))+INDIRECT(ADDRESS(829,10))-INDIRECT(ADDRESS(830,10))</f>
        <v>0</v>
      </c>
      <c r="K831">
        <f>INDIRECT(ADDRESS(831,10))+INDIRECT(ADDRESS(829,11))-INDIRECT(ADDRESS(830,11))</f>
        <v>0</v>
      </c>
      <c r="L831">
        <f>INDIRECT(ADDRESS(831,11))+INDIRECT(ADDRESS(829,12))-INDIRECT(ADDRESS(830,12))</f>
        <v>0</v>
      </c>
      <c r="M831">
        <f>INDIRECT(ADDRESS(831,12))+INDIRECT(ADDRESS(829,13))-INDIRECT(ADDRESS(830,13))</f>
        <v>0</v>
      </c>
      <c r="N831">
        <f>INDIRECT(ADDRESS(831,13))+INDIRECT(ADDRESS(829,14))-INDIRECT(ADDRESS(830,14))</f>
        <v>0</v>
      </c>
      <c r="O831">
        <f>INDIRECT(ADDRESS(831,14))+INDIRECT(ADDRESS(829,15))-INDIRECT(ADDRESS(830,15))</f>
        <v>0</v>
      </c>
      <c r="P831">
        <f>INDIRECT(ADDRESS(831,15))+INDIRECT(ADDRESS(829,16))-INDIRECT(ADDRESS(830,16))</f>
        <v>0</v>
      </c>
      <c r="Q831">
        <f>INDIRECT(ADDRESS(831,16))+INDIRECT(ADDRESS(829,17))-INDIRECT(ADDRESS(830,17))</f>
        <v>0</v>
      </c>
      <c r="R831">
        <f>INDIRECT(ADDRESS(831,17))+INDIRECT(ADDRESS(829,18))-INDIRECT(ADDRESS(830,18))</f>
        <v>0</v>
      </c>
      <c r="S831">
        <f>INDIRECT(ADDRESS(831,18))+INDIRECT(ADDRESS(829,19))-INDIRECT(ADDRESS(830,19))</f>
        <v>0</v>
      </c>
      <c r="T831">
        <f>INDIRECT(ADDRESS(831,19))+INDIRECT(ADDRESS(829,20))-INDIRECT(ADDRESS(830,20))</f>
        <v>0</v>
      </c>
      <c r="U831">
        <f>INDIRECT(ADDRESS(831,20))+INDIRECT(ADDRESS(829,21))-INDIRECT(ADDRESS(830,21))</f>
        <v>0</v>
      </c>
      <c r="V831">
        <f>INDIRECT(ADDRESS(831,21))+INDIRECT(ADDRESS(829,22))-INDIRECT(ADDRESS(830,22))</f>
        <v>0</v>
      </c>
      <c r="W831">
        <f>INDIRECT(ADDRESS(831,22))+INDIRECT(ADDRESS(829,23))-INDIRECT(ADDRESS(830,23))</f>
        <v>0</v>
      </c>
      <c r="X831">
        <f>INDIRECT(ADDRESS(831,23))+INDIRECT(ADDRESS(829,24))-INDIRECT(ADDRESS(830,24))</f>
        <v>0</v>
      </c>
      <c r="Y831">
        <f>INDIRECT(ADDRESS(831,24))+INDIRECT(ADDRESS(829,25))-INDIRECT(ADDRESS(830,25))</f>
        <v>0</v>
      </c>
      <c r="Z831">
        <f>INDIRECT(ADDRESS(831,25))+INDIRECT(ADDRESS(829,26))-INDIRECT(ADDRESS(830,26))</f>
        <v>0</v>
      </c>
      <c r="AA831">
        <f>INDIRECT(ADDRESS(831,26))+INDIRECT(ADDRESS(829,27))-INDIRECT(ADDRESS(830,27))</f>
        <v>0</v>
      </c>
      <c r="AB831">
        <f>INDIRECT(ADDRESS(831,27))+INDIRECT(ADDRESS(829,28))-INDIRECT(ADDRESS(830,28))</f>
        <v>0</v>
      </c>
      <c r="AC831">
        <f>INDIRECT(ADDRESS(831,28))+INDIRECT(ADDRESS(829,29))-INDIRECT(ADDRESS(830,29))</f>
        <v>0</v>
      </c>
      <c r="AD831">
        <f>INDIRECT(ADDRESS(831,29))+INDIRECT(ADDRESS(829,30))-INDIRECT(ADDRESS(830,30))</f>
        <v>0</v>
      </c>
      <c r="AE831">
        <f>INDIRECT(ADDRESS(831,30))+INDIRECT(ADDRESS(829,31))-INDIRECT(ADDRESS(830,31))</f>
        <v>0</v>
      </c>
      <c r="AF831">
        <f>INDIRECT(ADDRESS(831,31))+INDIRECT(ADDRESS(829,32))-INDIRECT(ADDRESS(830,32))</f>
        <v>0</v>
      </c>
      <c r="AG831">
        <f>INDIRECT(ADDRESS(831,32))+INDIRECT(ADDRESS(829,33))-INDIRECT(ADDRESS(830,33))</f>
        <v>0</v>
      </c>
      <c r="AH831">
        <f>INDIRECT(ADDRESS(831,33))+INDIRECT(ADDRESS(829,34))-INDIRECT(ADDRESS(830,34))</f>
        <v>0</v>
      </c>
      <c r="AI831">
        <f>INDIRECT(ADDRESS(831,34))+INDIRECT(ADDRESS(829,35))-INDIRECT(ADDRESS(830,35))</f>
        <v>0</v>
      </c>
      <c r="AJ831">
        <f>INDIRECT(ADDRESS(831,35))+INDIRECT(ADDRESS(829,36))-INDIRECT(ADDRESS(830,36))</f>
        <v>0</v>
      </c>
      <c r="AK831">
        <f>INDIRECT(ADDRESS(831,36))+INDIRECT(ADDRESS(829,37))-INDIRECT(ADDRESS(830,37))</f>
        <v>0</v>
      </c>
      <c r="AL831">
        <f>INDIRECT(ADDRESS(831,37))+INDIRECT(ADDRESS(829,38))-INDIRECT(ADDRESS(830,38))</f>
        <v>0</v>
      </c>
      <c r="AM831">
        <f>INDIRECT(ADDRESS(831,38))+INDIRECT(ADDRESS(829,39))-INDIRECT(ADDRESS(830,39))</f>
        <v>0</v>
      </c>
      <c r="AN831">
        <f>INDIRECT(ADDRESS(831,39))+INDIRECT(ADDRESS(829,40))-INDIRECT(ADDRESS(830,40))</f>
        <v>0</v>
      </c>
      <c r="AO831">
        <f>SUM(INDIRECT(ADDRESS(830,8)):INDIRECT(ADDRESS(830,39)))</f>
        <v>0</v>
      </c>
    </row>
    <row r="832" spans="1:41">
      <c r="A832" t="s">
        <v>180</v>
      </c>
      <c r="B832" t="s">
        <v>471</v>
      </c>
      <c r="C832" t="s">
        <v>472</v>
      </c>
      <c r="E832">
        <v>1</v>
      </c>
      <c r="I832" t="s">
        <v>177</v>
      </c>
    </row>
    <row r="833" spans="1:41">
      <c r="I833" t="s">
        <v>178</v>
      </c>
      <c r="J833">
        <f>IFERROR(VLOOKUP("921-059000-200",B:AB,1+8,0),0)</f>
        <v>0</v>
      </c>
      <c r="K833">
        <f>IFERROR(VLOOKUP("921-059000-200",B:AB,2+8,0),0)</f>
        <v>0</v>
      </c>
      <c r="L833">
        <f>IFERROR(VLOOKUP("921-059000-200",B:AB,3+8,0),0)</f>
        <v>0</v>
      </c>
      <c r="M833">
        <f>IFERROR(VLOOKUP("921-059000-200",B:AB,4+8,0),0)</f>
        <v>0</v>
      </c>
      <c r="N833">
        <f>IFERROR(VLOOKUP("921-059000-200",B:AB,5+8,0),0)</f>
        <v>0</v>
      </c>
      <c r="O833">
        <f>IFERROR(VLOOKUP("921-059000-200",B:AB,6+8,0),0)</f>
        <v>0</v>
      </c>
      <c r="P833">
        <f>IFERROR(VLOOKUP("921-059000-200",B:AB,7+8,0),0)</f>
        <v>0</v>
      </c>
      <c r="Q833">
        <f>IFERROR(VLOOKUP("921-059000-200",B:AB,8+8,0),0)</f>
        <v>0</v>
      </c>
      <c r="R833">
        <f>IFERROR(VLOOKUP("921-059000-200",B:AB,9+8,0),0)</f>
        <v>0</v>
      </c>
      <c r="S833">
        <f>IFERROR(VLOOKUP("921-059000-200",B:AB,10+8,0),0)</f>
        <v>0</v>
      </c>
      <c r="T833">
        <f>IFERROR(VLOOKUP("921-059000-200",B:AB,11+8,0),0)</f>
        <v>0</v>
      </c>
      <c r="U833">
        <f>IFERROR(VLOOKUP("921-059000-200",B:AB,12+8,0),0)</f>
        <v>0</v>
      </c>
      <c r="V833">
        <f>IFERROR(VLOOKUP("921-059000-200",B:AB,13+8,0),0)</f>
        <v>0</v>
      </c>
      <c r="W833">
        <f>IFERROR(VLOOKUP("921-059000-200",B:AB,14+8,0),0)</f>
        <v>0</v>
      </c>
      <c r="X833">
        <f>IFERROR(VLOOKUP("921-059000-200",B:AB,15+8,0),0)</f>
        <v>0</v>
      </c>
      <c r="Y833">
        <f>IFERROR(VLOOKUP("921-059000-200",B:AB,16+8,0),0)</f>
        <v>0</v>
      </c>
      <c r="Z833">
        <f>IFERROR(VLOOKUP("921-059000-200",B:AB,17+8,0),0)</f>
        <v>0</v>
      </c>
      <c r="AA833">
        <f>IFERROR(VLOOKUP("921-059000-200",B:AB,18+8,0),0)</f>
        <v>0</v>
      </c>
      <c r="AB833">
        <f>IFERROR(VLOOKUP("921-059000-200",B:AB,19+8,0),0)</f>
        <v>0</v>
      </c>
      <c r="AC833">
        <f>IFERROR(VLOOKUP("921-059000-200",B:AB,20+8,0),0)</f>
        <v>0</v>
      </c>
      <c r="AD833">
        <f>IFERROR(VLOOKUP("921-059000-200",B:AB,21+8,0),0)</f>
        <v>0</v>
      </c>
      <c r="AE833">
        <f>IFERROR(VLOOKUP("921-059000-200",B:AB,22+8,0),0)</f>
        <v>0</v>
      </c>
      <c r="AF833">
        <f>IFERROR(VLOOKUP("921-059000-200",B:AB,23+8,0),0)</f>
        <v>0</v>
      </c>
      <c r="AG833">
        <f>IFERROR(VLOOKUP("921-059000-200",B:AB,24+8,0),0)</f>
        <v>0</v>
      </c>
      <c r="AH833">
        <f>IFERROR(VLOOKUP("921-059000-200",B:AB,25+8,0),0)</f>
        <v>0</v>
      </c>
      <c r="AI833">
        <f>IFERROR(VLOOKUP("921-059000-200",B:AB,26+8,0),0)</f>
        <v>0</v>
      </c>
      <c r="AJ833">
        <f>IFERROR(VLOOKUP("921-059000-200",B:AB,27+8,0),0)</f>
        <v>0</v>
      </c>
      <c r="AK833">
        <f>IFERROR(VLOOKUP("921-059000-200",B:AB,28+8,0),0)</f>
        <v>0</v>
      </c>
      <c r="AL833">
        <f>IFERROR(VLOOKUP("921-059000-200",B:AB,29+8,0),0)</f>
        <v>0</v>
      </c>
      <c r="AM833">
        <f>IFERROR(VLOOKUP("921-059000-200",B:AB,30+8,0),0)</f>
        <v>0</v>
      </c>
      <c r="AN833">
        <f>IFERROR(VLOOKUP("921-059000-200",B:AB,31+8,0),0)</f>
        <v>0</v>
      </c>
      <c r="AO833">
        <f>SUN(INDIRECT(ADDRESS(832,8)):INDIRECT(ADDRESS(832,39)))</f>
        <v>0</v>
      </c>
    </row>
    <row r="834" spans="1:41">
      <c r="H834" t="s">
        <v>179</v>
      </c>
      <c r="J834">
        <f>INDIRECT(ADDRESS(834,9))+INDIRECT(ADDRESS(832,10))-INDIRECT(ADDRESS(833,10))</f>
        <v>0</v>
      </c>
      <c r="K834">
        <f>INDIRECT(ADDRESS(834,10))+INDIRECT(ADDRESS(832,11))-INDIRECT(ADDRESS(833,11))</f>
        <v>0</v>
      </c>
      <c r="L834">
        <f>INDIRECT(ADDRESS(834,11))+INDIRECT(ADDRESS(832,12))-INDIRECT(ADDRESS(833,12))</f>
        <v>0</v>
      </c>
      <c r="M834">
        <f>INDIRECT(ADDRESS(834,12))+INDIRECT(ADDRESS(832,13))-INDIRECT(ADDRESS(833,13))</f>
        <v>0</v>
      </c>
      <c r="N834">
        <f>INDIRECT(ADDRESS(834,13))+INDIRECT(ADDRESS(832,14))-INDIRECT(ADDRESS(833,14))</f>
        <v>0</v>
      </c>
      <c r="O834">
        <f>INDIRECT(ADDRESS(834,14))+INDIRECT(ADDRESS(832,15))-INDIRECT(ADDRESS(833,15))</f>
        <v>0</v>
      </c>
      <c r="P834">
        <f>INDIRECT(ADDRESS(834,15))+INDIRECT(ADDRESS(832,16))-INDIRECT(ADDRESS(833,16))</f>
        <v>0</v>
      </c>
      <c r="Q834">
        <f>INDIRECT(ADDRESS(834,16))+INDIRECT(ADDRESS(832,17))-INDIRECT(ADDRESS(833,17))</f>
        <v>0</v>
      </c>
      <c r="R834">
        <f>INDIRECT(ADDRESS(834,17))+INDIRECT(ADDRESS(832,18))-INDIRECT(ADDRESS(833,18))</f>
        <v>0</v>
      </c>
      <c r="S834">
        <f>INDIRECT(ADDRESS(834,18))+INDIRECT(ADDRESS(832,19))-INDIRECT(ADDRESS(833,19))</f>
        <v>0</v>
      </c>
      <c r="T834">
        <f>INDIRECT(ADDRESS(834,19))+INDIRECT(ADDRESS(832,20))-INDIRECT(ADDRESS(833,20))</f>
        <v>0</v>
      </c>
      <c r="U834">
        <f>INDIRECT(ADDRESS(834,20))+INDIRECT(ADDRESS(832,21))-INDIRECT(ADDRESS(833,21))</f>
        <v>0</v>
      </c>
      <c r="V834">
        <f>INDIRECT(ADDRESS(834,21))+INDIRECT(ADDRESS(832,22))-INDIRECT(ADDRESS(833,22))</f>
        <v>0</v>
      </c>
      <c r="W834">
        <f>INDIRECT(ADDRESS(834,22))+INDIRECT(ADDRESS(832,23))-INDIRECT(ADDRESS(833,23))</f>
        <v>0</v>
      </c>
      <c r="X834">
        <f>INDIRECT(ADDRESS(834,23))+INDIRECT(ADDRESS(832,24))-INDIRECT(ADDRESS(833,24))</f>
        <v>0</v>
      </c>
      <c r="Y834">
        <f>INDIRECT(ADDRESS(834,24))+INDIRECT(ADDRESS(832,25))-INDIRECT(ADDRESS(833,25))</f>
        <v>0</v>
      </c>
      <c r="Z834">
        <f>INDIRECT(ADDRESS(834,25))+INDIRECT(ADDRESS(832,26))-INDIRECT(ADDRESS(833,26))</f>
        <v>0</v>
      </c>
      <c r="AA834">
        <f>INDIRECT(ADDRESS(834,26))+INDIRECT(ADDRESS(832,27))-INDIRECT(ADDRESS(833,27))</f>
        <v>0</v>
      </c>
      <c r="AB834">
        <f>INDIRECT(ADDRESS(834,27))+INDIRECT(ADDRESS(832,28))-INDIRECT(ADDRESS(833,28))</f>
        <v>0</v>
      </c>
      <c r="AC834">
        <f>INDIRECT(ADDRESS(834,28))+INDIRECT(ADDRESS(832,29))-INDIRECT(ADDRESS(833,29))</f>
        <v>0</v>
      </c>
      <c r="AD834">
        <f>INDIRECT(ADDRESS(834,29))+INDIRECT(ADDRESS(832,30))-INDIRECT(ADDRESS(833,30))</f>
        <v>0</v>
      </c>
      <c r="AE834">
        <f>INDIRECT(ADDRESS(834,30))+INDIRECT(ADDRESS(832,31))-INDIRECT(ADDRESS(833,31))</f>
        <v>0</v>
      </c>
      <c r="AF834">
        <f>INDIRECT(ADDRESS(834,31))+INDIRECT(ADDRESS(832,32))-INDIRECT(ADDRESS(833,32))</f>
        <v>0</v>
      </c>
      <c r="AG834">
        <f>INDIRECT(ADDRESS(834,32))+INDIRECT(ADDRESS(832,33))-INDIRECT(ADDRESS(833,33))</f>
        <v>0</v>
      </c>
      <c r="AH834">
        <f>INDIRECT(ADDRESS(834,33))+INDIRECT(ADDRESS(832,34))-INDIRECT(ADDRESS(833,34))</f>
        <v>0</v>
      </c>
      <c r="AI834">
        <f>INDIRECT(ADDRESS(834,34))+INDIRECT(ADDRESS(832,35))-INDIRECT(ADDRESS(833,35))</f>
        <v>0</v>
      </c>
      <c r="AJ834">
        <f>INDIRECT(ADDRESS(834,35))+INDIRECT(ADDRESS(832,36))-INDIRECT(ADDRESS(833,36))</f>
        <v>0</v>
      </c>
      <c r="AK834">
        <f>INDIRECT(ADDRESS(834,36))+INDIRECT(ADDRESS(832,37))-INDIRECT(ADDRESS(833,37))</f>
        <v>0</v>
      </c>
      <c r="AL834">
        <f>INDIRECT(ADDRESS(834,37))+INDIRECT(ADDRESS(832,38))-INDIRECT(ADDRESS(833,38))</f>
        <v>0</v>
      </c>
      <c r="AM834">
        <f>INDIRECT(ADDRESS(834,38))+INDIRECT(ADDRESS(832,39))-INDIRECT(ADDRESS(833,39))</f>
        <v>0</v>
      </c>
      <c r="AN834">
        <f>INDIRECT(ADDRESS(834,39))+INDIRECT(ADDRESS(832,40))-INDIRECT(ADDRESS(833,40))</f>
        <v>0</v>
      </c>
      <c r="AO834">
        <f>SUM(INDIRECT(ADDRESS(833,8)):INDIRECT(ADDRESS(833,39)))</f>
        <v>0</v>
      </c>
    </row>
    <row r="835" spans="1:41">
      <c r="A835" t="s">
        <v>180</v>
      </c>
      <c r="B835" t="s">
        <v>473</v>
      </c>
      <c r="C835" t="s">
        <v>474</v>
      </c>
      <c r="E835">
        <v>1</v>
      </c>
      <c r="I835" t="s">
        <v>177</v>
      </c>
    </row>
    <row r="836" spans="1:41">
      <c r="I836" t="s">
        <v>178</v>
      </c>
      <c r="J836">
        <f>IFERROR(VLOOKUP("921-059000-200",B:AB,1+8,0),0)</f>
        <v>0</v>
      </c>
      <c r="K836">
        <f>IFERROR(VLOOKUP("921-059000-200",B:AB,2+8,0),0)</f>
        <v>0</v>
      </c>
      <c r="L836">
        <f>IFERROR(VLOOKUP("921-059000-200",B:AB,3+8,0),0)</f>
        <v>0</v>
      </c>
      <c r="M836">
        <f>IFERROR(VLOOKUP("921-059000-200",B:AB,4+8,0),0)</f>
        <v>0</v>
      </c>
      <c r="N836">
        <f>IFERROR(VLOOKUP("921-059000-200",B:AB,5+8,0),0)</f>
        <v>0</v>
      </c>
      <c r="O836">
        <f>IFERROR(VLOOKUP("921-059000-200",B:AB,6+8,0),0)</f>
        <v>0</v>
      </c>
      <c r="P836">
        <f>IFERROR(VLOOKUP("921-059000-200",B:AB,7+8,0),0)</f>
        <v>0</v>
      </c>
      <c r="Q836">
        <f>IFERROR(VLOOKUP("921-059000-200",B:AB,8+8,0),0)</f>
        <v>0</v>
      </c>
      <c r="R836">
        <f>IFERROR(VLOOKUP("921-059000-200",B:AB,9+8,0),0)</f>
        <v>0</v>
      </c>
      <c r="S836">
        <f>IFERROR(VLOOKUP("921-059000-200",B:AB,10+8,0),0)</f>
        <v>0</v>
      </c>
      <c r="T836">
        <f>IFERROR(VLOOKUP("921-059000-200",B:AB,11+8,0),0)</f>
        <v>0</v>
      </c>
      <c r="U836">
        <f>IFERROR(VLOOKUP("921-059000-200",B:AB,12+8,0),0)</f>
        <v>0</v>
      </c>
      <c r="V836">
        <f>IFERROR(VLOOKUP("921-059000-200",B:AB,13+8,0),0)</f>
        <v>0</v>
      </c>
      <c r="W836">
        <f>IFERROR(VLOOKUP("921-059000-200",B:AB,14+8,0),0)</f>
        <v>0</v>
      </c>
      <c r="X836">
        <f>IFERROR(VLOOKUP("921-059000-200",B:AB,15+8,0),0)</f>
        <v>0</v>
      </c>
      <c r="Y836">
        <f>IFERROR(VLOOKUP("921-059000-200",B:AB,16+8,0),0)</f>
        <v>0</v>
      </c>
      <c r="Z836">
        <f>IFERROR(VLOOKUP("921-059000-200",B:AB,17+8,0),0)</f>
        <v>0</v>
      </c>
      <c r="AA836">
        <f>IFERROR(VLOOKUP("921-059000-200",B:AB,18+8,0),0)</f>
        <v>0</v>
      </c>
      <c r="AB836">
        <f>IFERROR(VLOOKUP("921-059000-200",B:AB,19+8,0),0)</f>
        <v>0</v>
      </c>
      <c r="AC836">
        <f>IFERROR(VLOOKUP("921-059000-200",B:AB,20+8,0),0)</f>
        <v>0</v>
      </c>
      <c r="AD836">
        <f>IFERROR(VLOOKUP("921-059000-200",B:AB,21+8,0),0)</f>
        <v>0</v>
      </c>
      <c r="AE836">
        <f>IFERROR(VLOOKUP("921-059000-200",B:AB,22+8,0),0)</f>
        <v>0</v>
      </c>
      <c r="AF836">
        <f>IFERROR(VLOOKUP("921-059000-200",B:AB,23+8,0),0)</f>
        <v>0</v>
      </c>
      <c r="AG836">
        <f>IFERROR(VLOOKUP("921-059000-200",B:AB,24+8,0),0)</f>
        <v>0</v>
      </c>
      <c r="AH836">
        <f>IFERROR(VLOOKUP("921-059000-200",B:AB,25+8,0),0)</f>
        <v>0</v>
      </c>
      <c r="AI836">
        <f>IFERROR(VLOOKUP("921-059000-200",B:AB,26+8,0),0)</f>
        <v>0</v>
      </c>
      <c r="AJ836">
        <f>IFERROR(VLOOKUP("921-059000-200",B:AB,27+8,0),0)</f>
        <v>0</v>
      </c>
      <c r="AK836">
        <f>IFERROR(VLOOKUP("921-059000-200",B:AB,28+8,0),0)</f>
        <v>0</v>
      </c>
      <c r="AL836">
        <f>IFERROR(VLOOKUP("921-059000-200",B:AB,29+8,0),0)</f>
        <v>0</v>
      </c>
      <c r="AM836">
        <f>IFERROR(VLOOKUP("921-059000-200",B:AB,30+8,0),0)</f>
        <v>0</v>
      </c>
      <c r="AN836">
        <f>IFERROR(VLOOKUP("921-059000-200",B:AB,31+8,0),0)</f>
        <v>0</v>
      </c>
      <c r="AO836">
        <f>SUN(INDIRECT(ADDRESS(835,8)):INDIRECT(ADDRESS(835,39)))</f>
        <v>0</v>
      </c>
    </row>
    <row r="837" spans="1:41">
      <c r="H837" t="s">
        <v>179</v>
      </c>
      <c r="J837">
        <f>INDIRECT(ADDRESS(837,9))+INDIRECT(ADDRESS(835,10))-INDIRECT(ADDRESS(836,10))</f>
        <v>0</v>
      </c>
      <c r="K837">
        <f>INDIRECT(ADDRESS(837,10))+INDIRECT(ADDRESS(835,11))-INDIRECT(ADDRESS(836,11))</f>
        <v>0</v>
      </c>
      <c r="L837">
        <f>INDIRECT(ADDRESS(837,11))+INDIRECT(ADDRESS(835,12))-INDIRECT(ADDRESS(836,12))</f>
        <v>0</v>
      </c>
      <c r="M837">
        <f>INDIRECT(ADDRESS(837,12))+INDIRECT(ADDRESS(835,13))-INDIRECT(ADDRESS(836,13))</f>
        <v>0</v>
      </c>
      <c r="N837">
        <f>INDIRECT(ADDRESS(837,13))+INDIRECT(ADDRESS(835,14))-INDIRECT(ADDRESS(836,14))</f>
        <v>0</v>
      </c>
      <c r="O837">
        <f>INDIRECT(ADDRESS(837,14))+INDIRECT(ADDRESS(835,15))-INDIRECT(ADDRESS(836,15))</f>
        <v>0</v>
      </c>
      <c r="P837">
        <f>INDIRECT(ADDRESS(837,15))+INDIRECT(ADDRESS(835,16))-INDIRECT(ADDRESS(836,16))</f>
        <v>0</v>
      </c>
      <c r="Q837">
        <f>INDIRECT(ADDRESS(837,16))+INDIRECT(ADDRESS(835,17))-INDIRECT(ADDRESS(836,17))</f>
        <v>0</v>
      </c>
      <c r="R837">
        <f>INDIRECT(ADDRESS(837,17))+INDIRECT(ADDRESS(835,18))-INDIRECT(ADDRESS(836,18))</f>
        <v>0</v>
      </c>
      <c r="S837">
        <f>INDIRECT(ADDRESS(837,18))+INDIRECT(ADDRESS(835,19))-INDIRECT(ADDRESS(836,19))</f>
        <v>0</v>
      </c>
      <c r="T837">
        <f>INDIRECT(ADDRESS(837,19))+INDIRECT(ADDRESS(835,20))-INDIRECT(ADDRESS(836,20))</f>
        <v>0</v>
      </c>
      <c r="U837">
        <f>INDIRECT(ADDRESS(837,20))+INDIRECT(ADDRESS(835,21))-INDIRECT(ADDRESS(836,21))</f>
        <v>0</v>
      </c>
      <c r="V837">
        <f>INDIRECT(ADDRESS(837,21))+INDIRECT(ADDRESS(835,22))-INDIRECT(ADDRESS(836,22))</f>
        <v>0</v>
      </c>
      <c r="W837">
        <f>INDIRECT(ADDRESS(837,22))+INDIRECT(ADDRESS(835,23))-INDIRECT(ADDRESS(836,23))</f>
        <v>0</v>
      </c>
      <c r="X837">
        <f>INDIRECT(ADDRESS(837,23))+INDIRECT(ADDRESS(835,24))-INDIRECT(ADDRESS(836,24))</f>
        <v>0</v>
      </c>
      <c r="Y837">
        <f>INDIRECT(ADDRESS(837,24))+INDIRECT(ADDRESS(835,25))-INDIRECT(ADDRESS(836,25))</f>
        <v>0</v>
      </c>
      <c r="Z837">
        <f>INDIRECT(ADDRESS(837,25))+INDIRECT(ADDRESS(835,26))-INDIRECT(ADDRESS(836,26))</f>
        <v>0</v>
      </c>
      <c r="AA837">
        <f>INDIRECT(ADDRESS(837,26))+INDIRECT(ADDRESS(835,27))-INDIRECT(ADDRESS(836,27))</f>
        <v>0</v>
      </c>
      <c r="AB837">
        <f>INDIRECT(ADDRESS(837,27))+INDIRECT(ADDRESS(835,28))-INDIRECT(ADDRESS(836,28))</f>
        <v>0</v>
      </c>
      <c r="AC837">
        <f>INDIRECT(ADDRESS(837,28))+INDIRECT(ADDRESS(835,29))-INDIRECT(ADDRESS(836,29))</f>
        <v>0</v>
      </c>
      <c r="AD837">
        <f>INDIRECT(ADDRESS(837,29))+INDIRECT(ADDRESS(835,30))-INDIRECT(ADDRESS(836,30))</f>
        <v>0</v>
      </c>
      <c r="AE837">
        <f>INDIRECT(ADDRESS(837,30))+INDIRECT(ADDRESS(835,31))-INDIRECT(ADDRESS(836,31))</f>
        <v>0</v>
      </c>
      <c r="AF837">
        <f>INDIRECT(ADDRESS(837,31))+INDIRECT(ADDRESS(835,32))-INDIRECT(ADDRESS(836,32))</f>
        <v>0</v>
      </c>
      <c r="AG837">
        <f>INDIRECT(ADDRESS(837,32))+INDIRECT(ADDRESS(835,33))-INDIRECT(ADDRESS(836,33))</f>
        <v>0</v>
      </c>
      <c r="AH837">
        <f>INDIRECT(ADDRESS(837,33))+INDIRECT(ADDRESS(835,34))-INDIRECT(ADDRESS(836,34))</f>
        <v>0</v>
      </c>
      <c r="AI837">
        <f>INDIRECT(ADDRESS(837,34))+INDIRECT(ADDRESS(835,35))-INDIRECT(ADDRESS(836,35))</f>
        <v>0</v>
      </c>
      <c r="AJ837">
        <f>INDIRECT(ADDRESS(837,35))+INDIRECT(ADDRESS(835,36))-INDIRECT(ADDRESS(836,36))</f>
        <v>0</v>
      </c>
      <c r="AK837">
        <f>INDIRECT(ADDRESS(837,36))+INDIRECT(ADDRESS(835,37))-INDIRECT(ADDRESS(836,37))</f>
        <v>0</v>
      </c>
      <c r="AL837">
        <f>INDIRECT(ADDRESS(837,37))+INDIRECT(ADDRESS(835,38))-INDIRECT(ADDRESS(836,38))</f>
        <v>0</v>
      </c>
      <c r="AM837">
        <f>INDIRECT(ADDRESS(837,38))+INDIRECT(ADDRESS(835,39))-INDIRECT(ADDRESS(836,39))</f>
        <v>0</v>
      </c>
      <c r="AN837">
        <f>INDIRECT(ADDRESS(837,39))+INDIRECT(ADDRESS(835,40))-INDIRECT(ADDRESS(836,40))</f>
        <v>0</v>
      </c>
      <c r="AO837">
        <f>SUM(INDIRECT(ADDRESS(836,8)):INDIRECT(ADDRESS(836,39)))</f>
        <v>0</v>
      </c>
    </row>
    <row r="838" spans="1:41">
      <c r="A838" t="s">
        <v>180</v>
      </c>
      <c r="B838" t="s">
        <v>475</v>
      </c>
      <c r="C838" t="s">
        <v>476</v>
      </c>
      <c r="E838">
        <v>1</v>
      </c>
      <c r="I838" t="s">
        <v>177</v>
      </c>
    </row>
    <row r="839" spans="1:41">
      <c r="I839" t="s">
        <v>178</v>
      </c>
      <c r="J839">
        <f>IFERROR(VLOOKUP("921-059000-200",B:AB,1+8,0),0)</f>
        <v>0</v>
      </c>
      <c r="K839">
        <f>IFERROR(VLOOKUP("921-059000-200",B:AB,2+8,0),0)</f>
        <v>0</v>
      </c>
      <c r="L839">
        <f>IFERROR(VLOOKUP("921-059000-200",B:AB,3+8,0),0)</f>
        <v>0</v>
      </c>
      <c r="M839">
        <f>IFERROR(VLOOKUP("921-059000-200",B:AB,4+8,0),0)</f>
        <v>0</v>
      </c>
      <c r="N839">
        <f>IFERROR(VLOOKUP("921-059000-200",B:AB,5+8,0),0)</f>
        <v>0</v>
      </c>
      <c r="O839">
        <f>IFERROR(VLOOKUP("921-059000-200",B:AB,6+8,0),0)</f>
        <v>0</v>
      </c>
      <c r="P839">
        <f>IFERROR(VLOOKUP("921-059000-200",B:AB,7+8,0),0)</f>
        <v>0</v>
      </c>
      <c r="Q839">
        <f>IFERROR(VLOOKUP("921-059000-200",B:AB,8+8,0),0)</f>
        <v>0</v>
      </c>
      <c r="R839">
        <f>IFERROR(VLOOKUP("921-059000-200",B:AB,9+8,0),0)</f>
        <v>0</v>
      </c>
      <c r="S839">
        <f>IFERROR(VLOOKUP("921-059000-200",B:AB,10+8,0),0)</f>
        <v>0</v>
      </c>
      <c r="T839">
        <f>IFERROR(VLOOKUP("921-059000-200",B:AB,11+8,0),0)</f>
        <v>0</v>
      </c>
      <c r="U839">
        <f>IFERROR(VLOOKUP("921-059000-200",B:AB,12+8,0),0)</f>
        <v>0</v>
      </c>
      <c r="V839">
        <f>IFERROR(VLOOKUP("921-059000-200",B:AB,13+8,0),0)</f>
        <v>0</v>
      </c>
      <c r="W839">
        <f>IFERROR(VLOOKUP("921-059000-200",B:AB,14+8,0),0)</f>
        <v>0</v>
      </c>
      <c r="X839">
        <f>IFERROR(VLOOKUP("921-059000-200",B:AB,15+8,0),0)</f>
        <v>0</v>
      </c>
      <c r="Y839">
        <f>IFERROR(VLOOKUP("921-059000-200",B:AB,16+8,0),0)</f>
        <v>0</v>
      </c>
      <c r="Z839">
        <f>IFERROR(VLOOKUP("921-059000-200",B:AB,17+8,0),0)</f>
        <v>0</v>
      </c>
      <c r="AA839">
        <f>IFERROR(VLOOKUP("921-059000-200",B:AB,18+8,0),0)</f>
        <v>0</v>
      </c>
      <c r="AB839">
        <f>IFERROR(VLOOKUP("921-059000-200",B:AB,19+8,0),0)</f>
        <v>0</v>
      </c>
      <c r="AC839">
        <f>IFERROR(VLOOKUP("921-059000-200",B:AB,20+8,0),0)</f>
        <v>0</v>
      </c>
      <c r="AD839">
        <f>IFERROR(VLOOKUP("921-059000-200",B:AB,21+8,0),0)</f>
        <v>0</v>
      </c>
      <c r="AE839">
        <f>IFERROR(VLOOKUP("921-059000-200",B:AB,22+8,0),0)</f>
        <v>0</v>
      </c>
      <c r="AF839">
        <f>IFERROR(VLOOKUP("921-059000-200",B:AB,23+8,0),0)</f>
        <v>0</v>
      </c>
      <c r="AG839">
        <f>IFERROR(VLOOKUP("921-059000-200",B:AB,24+8,0),0)</f>
        <v>0</v>
      </c>
      <c r="AH839">
        <f>IFERROR(VLOOKUP("921-059000-200",B:AB,25+8,0),0)</f>
        <v>0</v>
      </c>
      <c r="AI839">
        <f>IFERROR(VLOOKUP("921-059000-200",B:AB,26+8,0),0)</f>
        <v>0</v>
      </c>
      <c r="AJ839">
        <f>IFERROR(VLOOKUP("921-059000-200",B:AB,27+8,0),0)</f>
        <v>0</v>
      </c>
      <c r="AK839">
        <f>IFERROR(VLOOKUP("921-059000-200",B:AB,28+8,0),0)</f>
        <v>0</v>
      </c>
      <c r="AL839">
        <f>IFERROR(VLOOKUP("921-059000-200",B:AB,29+8,0),0)</f>
        <v>0</v>
      </c>
      <c r="AM839">
        <f>IFERROR(VLOOKUP("921-059000-200",B:AB,30+8,0),0)</f>
        <v>0</v>
      </c>
      <c r="AN839">
        <f>IFERROR(VLOOKUP("921-059000-200",B:AB,31+8,0),0)</f>
        <v>0</v>
      </c>
      <c r="AO839">
        <f>SUN(INDIRECT(ADDRESS(838,8)):INDIRECT(ADDRESS(838,39)))</f>
        <v>0</v>
      </c>
    </row>
    <row r="840" spans="1:41">
      <c r="H840" t="s">
        <v>179</v>
      </c>
      <c r="J840">
        <f>INDIRECT(ADDRESS(840,9))+INDIRECT(ADDRESS(838,10))-INDIRECT(ADDRESS(839,10))</f>
        <v>0</v>
      </c>
      <c r="K840">
        <f>INDIRECT(ADDRESS(840,10))+INDIRECT(ADDRESS(838,11))-INDIRECT(ADDRESS(839,11))</f>
        <v>0</v>
      </c>
      <c r="L840">
        <f>INDIRECT(ADDRESS(840,11))+INDIRECT(ADDRESS(838,12))-INDIRECT(ADDRESS(839,12))</f>
        <v>0</v>
      </c>
      <c r="M840">
        <f>INDIRECT(ADDRESS(840,12))+INDIRECT(ADDRESS(838,13))-INDIRECT(ADDRESS(839,13))</f>
        <v>0</v>
      </c>
      <c r="N840">
        <f>INDIRECT(ADDRESS(840,13))+INDIRECT(ADDRESS(838,14))-INDIRECT(ADDRESS(839,14))</f>
        <v>0</v>
      </c>
      <c r="O840">
        <f>INDIRECT(ADDRESS(840,14))+INDIRECT(ADDRESS(838,15))-INDIRECT(ADDRESS(839,15))</f>
        <v>0</v>
      </c>
      <c r="P840">
        <f>INDIRECT(ADDRESS(840,15))+INDIRECT(ADDRESS(838,16))-INDIRECT(ADDRESS(839,16))</f>
        <v>0</v>
      </c>
      <c r="Q840">
        <f>INDIRECT(ADDRESS(840,16))+INDIRECT(ADDRESS(838,17))-INDIRECT(ADDRESS(839,17))</f>
        <v>0</v>
      </c>
      <c r="R840">
        <f>INDIRECT(ADDRESS(840,17))+INDIRECT(ADDRESS(838,18))-INDIRECT(ADDRESS(839,18))</f>
        <v>0</v>
      </c>
      <c r="S840">
        <f>INDIRECT(ADDRESS(840,18))+INDIRECT(ADDRESS(838,19))-INDIRECT(ADDRESS(839,19))</f>
        <v>0</v>
      </c>
      <c r="T840">
        <f>INDIRECT(ADDRESS(840,19))+INDIRECT(ADDRESS(838,20))-INDIRECT(ADDRESS(839,20))</f>
        <v>0</v>
      </c>
      <c r="U840">
        <f>INDIRECT(ADDRESS(840,20))+INDIRECT(ADDRESS(838,21))-INDIRECT(ADDRESS(839,21))</f>
        <v>0</v>
      </c>
      <c r="V840">
        <f>INDIRECT(ADDRESS(840,21))+INDIRECT(ADDRESS(838,22))-INDIRECT(ADDRESS(839,22))</f>
        <v>0</v>
      </c>
      <c r="W840">
        <f>INDIRECT(ADDRESS(840,22))+INDIRECT(ADDRESS(838,23))-INDIRECT(ADDRESS(839,23))</f>
        <v>0</v>
      </c>
      <c r="X840">
        <f>INDIRECT(ADDRESS(840,23))+INDIRECT(ADDRESS(838,24))-INDIRECT(ADDRESS(839,24))</f>
        <v>0</v>
      </c>
      <c r="Y840">
        <f>INDIRECT(ADDRESS(840,24))+INDIRECT(ADDRESS(838,25))-INDIRECT(ADDRESS(839,25))</f>
        <v>0</v>
      </c>
      <c r="Z840">
        <f>INDIRECT(ADDRESS(840,25))+INDIRECT(ADDRESS(838,26))-INDIRECT(ADDRESS(839,26))</f>
        <v>0</v>
      </c>
      <c r="AA840">
        <f>INDIRECT(ADDRESS(840,26))+INDIRECT(ADDRESS(838,27))-INDIRECT(ADDRESS(839,27))</f>
        <v>0</v>
      </c>
      <c r="AB840">
        <f>INDIRECT(ADDRESS(840,27))+INDIRECT(ADDRESS(838,28))-INDIRECT(ADDRESS(839,28))</f>
        <v>0</v>
      </c>
      <c r="AC840">
        <f>INDIRECT(ADDRESS(840,28))+INDIRECT(ADDRESS(838,29))-INDIRECT(ADDRESS(839,29))</f>
        <v>0</v>
      </c>
      <c r="AD840">
        <f>INDIRECT(ADDRESS(840,29))+INDIRECT(ADDRESS(838,30))-INDIRECT(ADDRESS(839,30))</f>
        <v>0</v>
      </c>
      <c r="AE840">
        <f>INDIRECT(ADDRESS(840,30))+INDIRECT(ADDRESS(838,31))-INDIRECT(ADDRESS(839,31))</f>
        <v>0</v>
      </c>
      <c r="AF840">
        <f>INDIRECT(ADDRESS(840,31))+INDIRECT(ADDRESS(838,32))-INDIRECT(ADDRESS(839,32))</f>
        <v>0</v>
      </c>
      <c r="AG840">
        <f>INDIRECT(ADDRESS(840,32))+INDIRECT(ADDRESS(838,33))-INDIRECT(ADDRESS(839,33))</f>
        <v>0</v>
      </c>
      <c r="AH840">
        <f>INDIRECT(ADDRESS(840,33))+INDIRECT(ADDRESS(838,34))-INDIRECT(ADDRESS(839,34))</f>
        <v>0</v>
      </c>
      <c r="AI840">
        <f>INDIRECT(ADDRESS(840,34))+INDIRECT(ADDRESS(838,35))-INDIRECT(ADDRESS(839,35))</f>
        <v>0</v>
      </c>
      <c r="AJ840">
        <f>INDIRECT(ADDRESS(840,35))+INDIRECT(ADDRESS(838,36))-INDIRECT(ADDRESS(839,36))</f>
        <v>0</v>
      </c>
      <c r="AK840">
        <f>INDIRECT(ADDRESS(840,36))+INDIRECT(ADDRESS(838,37))-INDIRECT(ADDRESS(839,37))</f>
        <v>0</v>
      </c>
      <c r="AL840">
        <f>INDIRECT(ADDRESS(840,37))+INDIRECT(ADDRESS(838,38))-INDIRECT(ADDRESS(839,38))</f>
        <v>0</v>
      </c>
      <c r="AM840">
        <f>INDIRECT(ADDRESS(840,38))+INDIRECT(ADDRESS(838,39))-INDIRECT(ADDRESS(839,39))</f>
        <v>0</v>
      </c>
      <c r="AN840">
        <f>INDIRECT(ADDRESS(840,39))+INDIRECT(ADDRESS(838,40))-INDIRECT(ADDRESS(839,40))</f>
        <v>0</v>
      </c>
      <c r="AO840">
        <f>SUM(INDIRECT(ADDRESS(839,8)):INDIRECT(ADDRESS(839,39)))</f>
        <v>0</v>
      </c>
    </row>
    <row r="841" spans="1:41">
      <c r="A841" t="s">
        <v>185</v>
      </c>
      <c r="B841" t="s">
        <v>477</v>
      </c>
      <c r="C841" t="s">
        <v>478</v>
      </c>
      <c r="E841">
        <v>2</v>
      </c>
      <c r="I841" t="s">
        <v>177</v>
      </c>
    </row>
    <row r="842" spans="1:41">
      <c r="I842" t="s">
        <v>178</v>
      </c>
      <c r="J842">
        <f>IFERROR(VLOOKUP("921-059000-200",B:AB,1+8,0),0)</f>
        <v>0</v>
      </c>
      <c r="K842">
        <f>IFERROR(VLOOKUP("921-059000-200",B:AB,2+8,0),0)</f>
        <v>0</v>
      </c>
      <c r="L842">
        <f>IFERROR(VLOOKUP("921-059000-200",B:AB,3+8,0),0)</f>
        <v>0</v>
      </c>
      <c r="M842">
        <f>IFERROR(VLOOKUP("921-059000-200",B:AB,4+8,0),0)</f>
        <v>0</v>
      </c>
      <c r="N842">
        <f>IFERROR(VLOOKUP("921-059000-200",B:AB,5+8,0),0)</f>
        <v>0</v>
      </c>
      <c r="O842">
        <f>IFERROR(VLOOKUP("921-059000-200",B:AB,6+8,0),0)</f>
        <v>0</v>
      </c>
      <c r="P842">
        <f>IFERROR(VLOOKUP("921-059000-200",B:AB,7+8,0),0)</f>
        <v>0</v>
      </c>
      <c r="Q842">
        <f>IFERROR(VLOOKUP("921-059000-200",B:AB,8+8,0),0)</f>
        <v>0</v>
      </c>
      <c r="R842">
        <f>IFERROR(VLOOKUP("921-059000-200",B:AB,9+8,0),0)</f>
        <v>0</v>
      </c>
      <c r="S842">
        <f>IFERROR(VLOOKUP("921-059000-200",B:AB,10+8,0),0)</f>
        <v>0</v>
      </c>
      <c r="T842">
        <f>IFERROR(VLOOKUP("921-059000-200",B:AB,11+8,0),0)</f>
        <v>0</v>
      </c>
      <c r="U842">
        <f>IFERROR(VLOOKUP("921-059000-200",B:AB,12+8,0),0)</f>
        <v>0</v>
      </c>
      <c r="V842">
        <f>IFERROR(VLOOKUP("921-059000-200",B:AB,13+8,0),0)</f>
        <v>0</v>
      </c>
      <c r="W842">
        <f>IFERROR(VLOOKUP("921-059000-200",B:AB,14+8,0),0)</f>
        <v>0</v>
      </c>
      <c r="X842">
        <f>IFERROR(VLOOKUP("921-059000-200",B:AB,15+8,0),0)</f>
        <v>0</v>
      </c>
      <c r="Y842">
        <f>IFERROR(VLOOKUP("921-059000-200",B:AB,16+8,0),0)</f>
        <v>0</v>
      </c>
      <c r="Z842">
        <f>IFERROR(VLOOKUP("921-059000-200",B:AB,17+8,0),0)</f>
        <v>0</v>
      </c>
      <c r="AA842">
        <f>IFERROR(VLOOKUP("921-059000-200",B:AB,18+8,0),0)</f>
        <v>0</v>
      </c>
      <c r="AB842">
        <f>IFERROR(VLOOKUP("921-059000-200",B:AB,19+8,0),0)</f>
        <v>0</v>
      </c>
      <c r="AC842">
        <f>IFERROR(VLOOKUP("921-059000-200",B:AB,20+8,0),0)</f>
        <v>0</v>
      </c>
      <c r="AD842">
        <f>IFERROR(VLOOKUP("921-059000-200",B:AB,21+8,0),0)</f>
        <v>0</v>
      </c>
      <c r="AE842">
        <f>IFERROR(VLOOKUP("921-059000-200",B:AB,22+8,0),0)</f>
        <v>0</v>
      </c>
      <c r="AF842">
        <f>IFERROR(VLOOKUP("921-059000-200",B:AB,23+8,0),0)</f>
        <v>0</v>
      </c>
      <c r="AG842">
        <f>IFERROR(VLOOKUP("921-059000-200",B:AB,24+8,0),0)</f>
        <v>0</v>
      </c>
      <c r="AH842">
        <f>IFERROR(VLOOKUP("921-059000-200",B:AB,25+8,0),0)</f>
        <v>0</v>
      </c>
      <c r="AI842">
        <f>IFERROR(VLOOKUP("921-059000-200",B:AB,26+8,0),0)</f>
        <v>0</v>
      </c>
      <c r="AJ842">
        <f>IFERROR(VLOOKUP("921-059000-200",B:AB,27+8,0),0)</f>
        <v>0</v>
      </c>
      <c r="AK842">
        <f>IFERROR(VLOOKUP("921-059000-200",B:AB,28+8,0),0)</f>
        <v>0</v>
      </c>
      <c r="AL842">
        <f>IFERROR(VLOOKUP("921-059000-200",B:AB,29+8,0),0)</f>
        <v>0</v>
      </c>
      <c r="AM842">
        <f>IFERROR(VLOOKUP("921-059000-200",B:AB,30+8,0),0)</f>
        <v>0</v>
      </c>
      <c r="AN842">
        <f>IFERROR(VLOOKUP("921-059000-200",B:AB,31+8,0),0)</f>
        <v>0</v>
      </c>
      <c r="AO842">
        <f>SUN(INDIRECT(ADDRESS(841,8)):INDIRECT(ADDRESS(841,39)))</f>
        <v>0</v>
      </c>
    </row>
    <row r="843" spans="1:41">
      <c r="H843" t="s">
        <v>179</v>
      </c>
      <c r="J843">
        <f>INDIRECT(ADDRESS(843,9))+INDIRECT(ADDRESS(841,10))-INDIRECT(ADDRESS(842,10))</f>
        <v>0</v>
      </c>
      <c r="K843">
        <f>INDIRECT(ADDRESS(843,10))+INDIRECT(ADDRESS(841,11))-INDIRECT(ADDRESS(842,11))</f>
        <v>0</v>
      </c>
      <c r="L843">
        <f>INDIRECT(ADDRESS(843,11))+INDIRECT(ADDRESS(841,12))-INDIRECT(ADDRESS(842,12))</f>
        <v>0</v>
      </c>
      <c r="M843">
        <f>INDIRECT(ADDRESS(843,12))+INDIRECT(ADDRESS(841,13))-INDIRECT(ADDRESS(842,13))</f>
        <v>0</v>
      </c>
      <c r="N843">
        <f>INDIRECT(ADDRESS(843,13))+INDIRECT(ADDRESS(841,14))-INDIRECT(ADDRESS(842,14))</f>
        <v>0</v>
      </c>
      <c r="O843">
        <f>INDIRECT(ADDRESS(843,14))+INDIRECT(ADDRESS(841,15))-INDIRECT(ADDRESS(842,15))</f>
        <v>0</v>
      </c>
      <c r="P843">
        <f>INDIRECT(ADDRESS(843,15))+INDIRECT(ADDRESS(841,16))-INDIRECT(ADDRESS(842,16))</f>
        <v>0</v>
      </c>
      <c r="Q843">
        <f>INDIRECT(ADDRESS(843,16))+INDIRECT(ADDRESS(841,17))-INDIRECT(ADDRESS(842,17))</f>
        <v>0</v>
      </c>
      <c r="R843">
        <f>INDIRECT(ADDRESS(843,17))+INDIRECT(ADDRESS(841,18))-INDIRECT(ADDRESS(842,18))</f>
        <v>0</v>
      </c>
      <c r="S843">
        <f>INDIRECT(ADDRESS(843,18))+INDIRECT(ADDRESS(841,19))-INDIRECT(ADDRESS(842,19))</f>
        <v>0</v>
      </c>
      <c r="T843">
        <f>INDIRECT(ADDRESS(843,19))+INDIRECT(ADDRESS(841,20))-INDIRECT(ADDRESS(842,20))</f>
        <v>0</v>
      </c>
      <c r="U843">
        <f>INDIRECT(ADDRESS(843,20))+INDIRECT(ADDRESS(841,21))-INDIRECT(ADDRESS(842,21))</f>
        <v>0</v>
      </c>
      <c r="V843">
        <f>INDIRECT(ADDRESS(843,21))+INDIRECT(ADDRESS(841,22))-INDIRECT(ADDRESS(842,22))</f>
        <v>0</v>
      </c>
      <c r="W843">
        <f>INDIRECT(ADDRESS(843,22))+INDIRECT(ADDRESS(841,23))-INDIRECT(ADDRESS(842,23))</f>
        <v>0</v>
      </c>
      <c r="X843">
        <f>INDIRECT(ADDRESS(843,23))+INDIRECT(ADDRESS(841,24))-INDIRECT(ADDRESS(842,24))</f>
        <v>0</v>
      </c>
      <c r="Y843">
        <f>INDIRECT(ADDRESS(843,24))+INDIRECT(ADDRESS(841,25))-INDIRECT(ADDRESS(842,25))</f>
        <v>0</v>
      </c>
      <c r="Z843">
        <f>INDIRECT(ADDRESS(843,25))+INDIRECT(ADDRESS(841,26))-INDIRECT(ADDRESS(842,26))</f>
        <v>0</v>
      </c>
      <c r="AA843">
        <f>INDIRECT(ADDRESS(843,26))+INDIRECT(ADDRESS(841,27))-INDIRECT(ADDRESS(842,27))</f>
        <v>0</v>
      </c>
      <c r="AB843">
        <f>INDIRECT(ADDRESS(843,27))+INDIRECT(ADDRESS(841,28))-INDIRECT(ADDRESS(842,28))</f>
        <v>0</v>
      </c>
      <c r="AC843">
        <f>INDIRECT(ADDRESS(843,28))+INDIRECT(ADDRESS(841,29))-INDIRECT(ADDRESS(842,29))</f>
        <v>0</v>
      </c>
      <c r="AD843">
        <f>INDIRECT(ADDRESS(843,29))+INDIRECT(ADDRESS(841,30))-INDIRECT(ADDRESS(842,30))</f>
        <v>0</v>
      </c>
      <c r="AE843">
        <f>INDIRECT(ADDRESS(843,30))+INDIRECT(ADDRESS(841,31))-INDIRECT(ADDRESS(842,31))</f>
        <v>0</v>
      </c>
      <c r="AF843">
        <f>INDIRECT(ADDRESS(843,31))+INDIRECT(ADDRESS(841,32))-INDIRECT(ADDRESS(842,32))</f>
        <v>0</v>
      </c>
      <c r="AG843">
        <f>INDIRECT(ADDRESS(843,32))+INDIRECT(ADDRESS(841,33))-INDIRECT(ADDRESS(842,33))</f>
        <v>0</v>
      </c>
      <c r="AH843">
        <f>INDIRECT(ADDRESS(843,33))+INDIRECT(ADDRESS(841,34))-INDIRECT(ADDRESS(842,34))</f>
        <v>0</v>
      </c>
      <c r="AI843">
        <f>INDIRECT(ADDRESS(843,34))+INDIRECT(ADDRESS(841,35))-INDIRECT(ADDRESS(842,35))</f>
        <v>0</v>
      </c>
      <c r="AJ843">
        <f>INDIRECT(ADDRESS(843,35))+INDIRECT(ADDRESS(841,36))-INDIRECT(ADDRESS(842,36))</f>
        <v>0</v>
      </c>
      <c r="AK843">
        <f>INDIRECT(ADDRESS(843,36))+INDIRECT(ADDRESS(841,37))-INDIRECT(ADDRESS(842,37))</f>
        <v>0</v>
      </c>
      <c r="AL843">
        <f>INDIRECT(ADDRESS(843,37))+INDIRECT(ADDRESS(841,38))-INDIRECT(ADDRESS(842,38))</f>
        <v>0</v>
      </c>
      <c r="AM843">
        <f>INDIRECT(ADDRESS(843,38))+INDIRECT(ADDRESS(841,39))-INDIRECT(ADDRESS(842,39))</f>
        <v>0</v>
      </c>
      <c r="AN843">
        <f>INDIRECT(ADDRESS(843,39))+INDIRECT(ADDRESS(841,40))-INDIRECT(ADDRESS(842,40))</f>
        <v>0</v>
      </c>
      <c r="AO843">
        <f>SUM(INDIRECT(ADDRESS(842,8)):INDIRECT(ADDRESS(842,39)))</f>
        <v>0</v>
      </c>
    </row>
    <row r="844" spans="1:41">
      <c r="A844" t="s">
        <v>185</v>
      </c>
      <c r="B844" t="s">
        <v>479</v>
      </c>
      <c r="C844" t="s">
        <v>480</v>
      </c>
      <c r="E844">
        <v>1</v>
      </c>
      <c r="I844" t="s">
        <v>177</v>
      </c>
    </row>
    <row r="845" spans="1:41">
      <c r="I845" t="s">
        <v>178</v>
      </c>
      <c r="J845">
        <f>IFERROR(VLOOKUP("921-059000-200",B:AB,1+8,0),0)</f>
        <v>0</v>
      </c>
      <c r="K845">
        <f>IFERROR(VLOOKUP("921-059000-200",B:AB,2+8,0),0)</f>
        <v>0</v>
      </c>
      <c r="L845">
        <f>IFERROR(VLOOKUP("921-059000-200",B:AB,3+8,0),0)</f>
        <v>0</v>
      </c>
      <c r="M845">
        <f>IFERROR(VLOOKUP("921-059000-200",B:AB,4+8,0),0)</f>
        <v>0</v>
      </c>
      <c r="N845">
        <f>IFERROR(VLOOKUP("921-059000-200",B:AB,5+8,0),0)</f>
        <v>0</v>
      </c>
      <c r="O845">
        <f>IFERROR(VLOOKUP("921-059000-200",B:AB,6+8,0),0)</f>
        <v>0</v>
      </c>
      <c r="P845">
        <f>IFERROR(VLOOKUP("921-059000-200",B:AB,7+8,0),0)</f>
        <v>0</v>
      </c>
      <c r="Q845">
        <f>IFERROR(VLOOKUP("921-059000-200",B:AB,8+8,0),0)</f>
        <v>0</v>
      </c>
      <c r="R845">
        <f>IFERROR(VLOOKUP("921-059000-200",B:AB,9+8,0),0)</f>
        <v>0</v>
      </c>
      <c r="S845">
        <f>IFERROR(VLOOKUP("921-059000-200",B:AB,10+8,0),0)</f>
        <v>0</v>
      </c>
      <c r="T845">
        <f>IFERROR(VLOOKUP("921-059000-200",B:AB,11+8,0),0)</f>
        <v>0</v>
      </c>
      <c r="U845">
        <f>IFERROR(VLOOKUP("921-059000-200",B:AB,12+8,0),0)</f>
        <v>0</v>
      </c>
      <c r="V845">
        <f>IFERROR(VLOOKUP("921-059000-200",B:AB,13+8,0),0)</f>
        <v>0</v>
      </c>
      <c r="W845">
        <f>IFERROR(VLOOKUP("921-059000-200",B:AB,14+8,0),0)</f>
        <v>0</v>
      </c>
      <c r="X845">
        <f>IFERROR(VLOOKUP("921-059000-200",B:AB,15+8,0),0)</f>
        <v>0</v>
      </c>
      <c r="Y845">
        <f>IFERROR(VLOOKUP("921-059000-200",B:AB,16+8,0),0)</f>
        <v>0</v>
      </c>
      <c r="Z845">
        <f>IFERROR(VLOOKUP("921-059000-200",B:AB,17+8,0),0)</f>
        <v>0</v>
      </c>
      <c r="AA845">
        <f>IFERROR(VLOOKUP("921-059000-200",B:AB,18+8,0),0)</f>
        <v>0</v>
      </c>
      <c r="AB845">
        <f>IFERROR(VLOOKUP("921-059000-200",B:AB,19+8,0),0)</f>
        <v>0</v>
      </c>
      <c r="AC845">
        <f>IFERROR(VLOOKUP("921-059000-200",B:AB,20+8,0),0)</f>
        <v>0</v>
      </c>
      <c r="AD845">
        <f>IFERROR(VLOOKUP("921-059000-200",B:AB,21+8,0),0)</f>
        <v>0</v>
      </c>
      <c r="AE845">
        <f>IFERROR(VLOOKUP("921-059000-200",B:AB,22+8,0),0)</f>
        <v>0</v>
      </c>
      <c r="AF845">
        <f>IFERROR(VLOOKUP("921-059000-200",B:AB,23+8,0),0)</f>
        <v>0</v>
      </c>
      <c r="AG845">
        <f>IFERROR(VLOOKUP("921-059000-200",B:AB,24+8,0),0)</f>
        <v>0</v>
      </c>
      <c r="AH845">
        <f>IFERROR(VLOOKUP("921-059000-200",B:AB,25+8,0),0)</f>
        <v>0</v>
      </c>
      <c r="AI845">
        <f>IFERROR(VLOOKUP("921-059000-200",B:AB,26+8,0),0)</f>
        <v>0</v>
      </c>
      <c r="AJ845">
        <f>IFERROR(VLOOKUP("921-059000-200",B:AB,27+8,0),0)</f>
        <v>0</v>
      </c>
      <c r="AK845">
        <f>IFERROR(VLOOKUP("921-059000-200",B:AB,28+8,0),0)</f>
        <v>0</v>
      </c>
      <c r="AL845">
        <f>IFERROR(VLOOKUP("921-059000-200",B:AB,29+8,0),0)</f>
        <v>0</v>
      </c>
      <c r="AM845">
        <f>IFERROR(VLOOKUP("921-059000-200",B:AB,30+8,0),0)</f>
        <v>0</v>
      </c>
      <c r="AN845">
        <f>IFERROR(VLOOKUP("921-059000-200",B:AB,31+8,0),0)</f>
        <v>0</v>
      </c>
      <c r="AO845">
        <f>SUN(INDIRECT(ADDRESS(844,8)):INDIRECT(ADDRESS(844,39)))</f>
        <v>0</v>
      </c>
    </row>
    <row r="846" spans="1:41">
      <c r="H846" t="s">
        <v>179</v>
      </c>
      <c r="J846">
        <f>INDIRECT(ADDRESS(846,9))+INDIRECT(ADDRESS(844,10))-INDIRECT(ADDRESS(845,10))</f>
        <v>0</v>
      </c>
      <c r="K846">
        <f>INDIRECT(ADDRESS(846,10))+INDIRECT(ADDRESS(844,11))-INDIRECT(ADDRESS(845,11))</f>
        <v>0</v>
      </c>
      <c r="L846">
        <f>INDIRECT(ADDRESS(846,11))+INDIRECT(ADDRESS(844,12))-INDIRECT(ADDRESS(845,12))</f>
        <v>0</v>
      </c>
      <c r="M846">
        <f>INDIRECT(ADDRESS(846,12))+INDIRECT(ADDRESS(844,13))-INDIRECT(ADDRESS(845,13))</f>
        <v>0</v>
      </c>
      <c r="N846">
        <f>INDIRECT(ADDRESS(846,13))+INDIRECT(ADDRESS(844,14))-INDIRECT(ADDRESS(845,14))</f>
        <v>0</v>
      </c>
      <c r="O846">
        <f>INDIRECT(ADDRESS(846,14))+INDIRECT(ADDRESS(844,15))-INDIRECT(ADDRESS(845,15))</f>
        <v>0</v>
      </c>
      <c r="P846">
        <f>INDIRECT(ADDRESS(846,15))+INDIRECT(ADDRESS(844,16))-INDIRECT(ADDRESS(845,16))</f>
        <v>0</v>
      </c>
      <c r="Q846">
        <f>INDIRECT(ADDRESS(846,16))+INDIRECT(ADDRESS(844,17))-INDIRECT(ADDRESS(845,17))</f>
        <v>0</v>
      </c>
      <c r="R846">
        <f>INDIRECT(ADDRESS(846,17))+INDIRECT(ADDRESS(844,18))-INDIRECT(ADDRESS(845,18))</f>
        <v>0</v>
      </c>
      <c r="S846">
        <f>INDIRECT(ADDRESS(846,18))+INDIRECT(ADDRESS(844,19))-INDIRECT(ADDRESS(845,19))</f>
        <v>0</v>
      </c>
      <c r="T846">
        <f>INDIRECT(ADDRESS(846,19))+INDIRECT(ADDRESS(844,20))-INDIRECT(ADDRESS(845,20))</f>
        <v>0</v>
      </c>
      <c r="U846">
        <f>INDIRECT(ADDRESS(846,20))+INDIRECT(ADDRESS(844,21))-INDIRECT(ADDRESS(845,21))</f>
        <v>0</v>
      </c>
      <c r="V846">
        <f>INDIRECT(ADDRESS(846,21))+INDIRECT(ADDRESS(844,22))-INDIRECT(ADDRESS(845,22))</f>
        <v>0</v>
      </c>
      <c r="W846">
        <f>INDIRECT(ADDRESS(846,22))+INDIRECT(ADDRESS(844,23))-INDIRECT(ADDRESS(845,23))</f>
        <v>0</v>
      </c>
      <c r="X846">
        <f>INDIRECT(ADDRESS(846,23))+INDIRECT(ADDRESS(844,24))-INDIRECT(ADDRESS(845,24))</f>
        <v>0</v>
      </c>
      <c r="Y846">
        <f>INDIRECT(ADDRESS(846,24))+INDIRECT(ADDRESS(844,25))-INDIRECT(ADDRESS(845,25))</f>
        <v>0</v>
      </c>
      <c r="Z846">
        <f>INDIRECT(ADDRESS(846,25))+INDIRECT(ADDRESS(844,26))-INDIRECT(ADDRESS(845,26))</f>
        <v>0</v>
      </c>
      <c r="AA846">
        <f>INDIRECT(ADDRESS(846,26))+INDIRECT(ADDRESS(844,27))-INDIRECT(ADDRESS(845,27))</f>
        <v>0</v>
      </c>
      <c r="AB846">
        <f>INDIRECT(ADDRESS(846,27))+INDIRECT(ADDRESS(844,28))-INDIRECT(ADDRESS(845,28))</f>
        <v>0</v>
      </c>
      <c r="AC846">
        <f>INDIRECT(ADDRESS(846,28))+INDIRECT(ADDRESS(844,29))-INDIRECT(ADDRESS(845,29))</f>
        <v>0</v>
      </c>
      <c r="AD846">
        <f>INDIRECT(ADDRESS(846,29))+INDIRECT(ADDRESS(844,30))-INDIRECT(ADDRESS(845,30))</f>
        <v>0</v>
      </c>
      <c r="AE846">
        <f>INDIRECT(ADDRESS(846,30))+INDIRECT(ADDRESS(844,31))-INDIRECT(ADDRESS(845,31))</f>
        <v>0</v>
      </c>
      <c r="AF846">
        <f>INDIRECT(ADDRESS(846,31))+INDIRECT(ADDRESS(844,32))-INDIRECT(ADDRESS(845,32))</f>
        <v>0</v>
      </c>
      <c r="AG846">
        <f>INDIRECT(ADDRESS(846,32))+INDIRECT(ADDRESS(844,33))-INDIRECT(ADDRESS(845,33))</f>
        <v>0</v>
      </c>
      <c r="AH846">
        <f>INDIRECT(ADDRESS(846,33))+INDIRECT(ADDRESS(844,34))-INDIRECT(ADDRESS(845,34))</f>
        <v>0</v>
      </c>
      <c r="AI846">
        <f>INDIRECT(ADDRESS(846,34))+INDIRECT(ADDRESS(844,35))-INDIRECT(ADDRESS(845,35))</f>
        <v>0</v>
      </c>
      <c r="AJ846">
        <f>INDIRECT(ADDRESS(846,35))+INDIRECT(ADDRESS(844,36))-INDIRECT(ADDRESS(845,36))</f>
        <v>0</v>
      </c>
      <c r="AK846">
        <f>INDIRECT(ADDRESS(846,36))+INDIRECT(ADDRESS(844,37))-INDIRECT(ADDRESS(845,37))</f>
        <v>0</v>
      </c>
      <c r="AL846">
        <f>INDIRECT(ADDRESS(846,37))+INDIRECT(ADDRESS(844,38))-INDIRECT(ADDRESS(845,38))</f>
        <v>0</v>
      </c>
      <c r="AM846">
        <f>INDIRECT(ADDRESS(846,38))+INDIRECT(ADDRESS(844,39))-INDIRECT(ADDRESS(845,39))</f>
        <v>0</v>
      </c>
      <c r="AN846">
        <f>INDIRECT(ADDRESS(846,39))+INDIRECT(ADDRESS(844,40))-INDIRECT(ADDRESS(845,40))</f>
        <v>0</v>
      </c>
      <c r="AO846">
        <f>SUM(INDIRECT(ADDRESS(845,8)):INDIRECT(ADDRESS(845,39)))</f>
        <v>0</v>
      </c>
    </row>
    <row r="847" spans="1:41">
      <c r="A847" t="s">
        <v>185</v>
      </c>
      <c r="B847" t="s">
        <v>481</v>
      </c>
      <c r="C847" t="s">
        <v>482</v>
      </c>
      <c r="E847">
        <v>1</v>
      </c>
      <c r="I847" t="s">
        <v>177</v>
      </c>
    </row>
    <row r="848" spans="1:41">
      <c r="I848" t="s">
        <v>178</v>
      </c>
      <c r="J848">
        <f>IFERROR(VLOOKUP("921-059000-200",B:AB,1+8,0),0)</f>
        <v>0</v>
      </c>
      <c r="K848">
        <f>IFERROR(VLOOKUP("921-059000-200",B:AB,2+8,0),0)</f>
        <v>0</v>
      </c>
      <c r="L848">
        <f>IFERROR(VLOOKUP("921-059000-200",B:AB,3+8,0),0)</f>
        <v>0</v>
      </c>
      <c r="M848">
        <f>IFERROR(VLOOKUP("921-059000-200",B:AB,4+8,0),0)</f>
        <v>0</v>
      </c>
      <c r="N848">
        <f>IFERROR(VLOOKUP("921-059000-200",B:AB,5+8,0),0)</f>
        <v>0</v>
      </c>
      <c r="O848">
        <f>IFERROR(VLOOKUP("921-059000-200",B:AB,6+8,0),0)</f>
        <v>0</v>
      </c>
      <c r="P848">
        <f>IFERROR(VLOOKUP("921-059000-200",B:AB,7+8,0),0)</f>
        <v>0</v>
      </c>
      <c r="Q848">
        <f>IFERROR(VLOOKUP("921-059000-200",B:AB,8+8,0),0)</f>
        <v>0</v>
      </c>
      <c r="R848">
        <f>IFERROR(VLOOKUP("921-059000-200",B:AB,9+8,0),0)</f>
        <v>0</v>
      </c>
      <c r="S848">
        <f>IFERROR(VLOOKUP("921-059000-200",B:AB,10+8,0),0)</f>
        <v>0</v>
      </c>
      <c r="T848">
        <f>IFERROR(VLOOKUP("921-059000-200",B:AB,11+8,0),0)</f>
        <v>0</v>
      </c>
      <c r="U848">
        <f>IFERROR(VLOOKUP("921-059000-200",B:AB,12+8,0),0)</f>
        <v>0</v>
      </c>
      <c r="V848">
        <f>IFERROR(VLOOKUP("921-059000-200",B:AB,13+8,0),0)</f>
        <v>0</v>
      </c>
      <c r="W848">
        <f>IFERROR(VLOOKUP("921-059000-200",B:AB,14+8,0),0)</f>
        <v>0</v>
      </c>
      <c r="X848">
        <f>IFERROR(VLOOKUP("921-059000-200",B:AB,15+8,0),0)</f>
        <v>0</v>
      </c>
      <c r="Y848">
        <f>IFERROR(VLOOKUP("921-059000-200",B:AB,16+8,0),0)</f>
        <v>0</v>
      </c>
      <c r="Z848">
        <f>IFERROR(VLOOKUP("921-059000-200",B:AB,17+8,0),0)</f>
        <v>0</v>
      </c>
      <c r="AA848">
        <f>IFERROR(VLOOKUP("921-059000-200",B:AB,18+8,0),0)</f>
        <v>0</v>
      </c>
      <c r="AB848">
        <f>IFERROR(VLOOKUP("921-059000-200",B:AB,19+8,0),0)</f>
        <v>0</v>
      </c>
      <c r="AC848">
        <f>IFERROR(VLOOKUP("921-059000-200",B:AB,20+8,0),0)</f>
        <v>0</v>
      </c>
      <c r="AD848">
        <f>IFERROR(VLOOKUP("921-059000-200",B:AB,21+8,0),0)</f>
        <v>0</v>
      </c>
      <c r="AE848">
        <f>IFERROR(VLOOKUP("921-059000-200",B:AB,22+8,0),0)</f>
        <v>0</v>
      </c>
      <c r="AF848">
        <f>IFERROR(VLOOKUP("921-059000-200",B:AB,23+8,0),0)</f>
        <v>0</v>
      </c>
      <c r="AG848">
        <f>IFERROR(VLOOKUP("921-059000-200",B:AB,24+8,0),0)</f>
        <v>0</v>
      </c>
      <c r="AH848">
        <f>IFERROR(VLOOKUP("921-059000-200",B:AB,25+8,0),0)</f>
        <v>0</v>
      </c>
      <c r="AI848">
        <f>IFERROR(VLOOKUP("921-059000-200",B:AB,26+8,0),0)</f>
        <v>0</v>
      </c>
      <c r="AJ848">
        <f>IFERROR(VLOOKUP("921-059000-200",B:AB,27+8,0),0)</f>
        <v>0</v>
      </c>
      <c r="AK848">
        <f>IFERROR(VLOOKUP("921-059000-200",B:AB,28+8,0),0)</f>
        <v>0</v>
      </c>
      <c r="AL848">
        <f>IFERROR(VLOOKUP("921-059000-200",B:AB,29+8,0),0)</f>
        <v>0</v>
      </c>
      <c r="AM848">
        <f>IFERROR(VLOOKUP("921-059000-200",B:AB,30+8,0),0)</f>
        <v>0</v>
      </c>
      <c r="AN848">
        <f>IFERROR(VLOOKUP("921-059000-200",B:AB,31+8,0),0)</f>
        <v>0</v>
      </c>
      <c r="AO848">
        <f>SUN(INDIRECT(ADDRESS(847,8)):INDIRECT(ADDRESS(847,39)))</f>
        <v>0</v>
      </c>
    </row>
    <row r="849" spans="1:41">
      <c r="H849" t="s">
        <v>179</v>
      </c>
      <c r="J849">
        <f>INDIRECT(ADDRESS(849,9))+INDIRECT(ADDRESS(847,10))-INDIRECT(ADDRESS(848,10))</f>
        <v>0</v>
      </c>
      <c r="K849">
        <f>INDIRECT(ADDRESS(849,10))+INDIRECT(ADDRESS(847,11))-INDIRECT(ADDRESS(848,11))</f>
        <v>0</v>
      </c>
      <c r="L849">
        <f>INDIRECT(ADDRESS(849,11))+INDIRECT(ADDRESS(847,12))-INDIRECT(ADDRESS(848,12))</f>
        <v>0</v>
      </c>
      <c r="M849">
        <f>INDIRECT(ADDRESS(849,12))+INDIRECT(ADDRESS(847,13))-INDIRECT(ADDRESS(848,13))</f>
        <v>0</v>
      </c>
      <c r="N849">
        <f>INDIRECT(ADDRESS(849,13))+INDIRECT(ADDRESS(847,14))-INDIRECT(ADDRESS(848,14))</f>
        <v>0</v>
      </c>
      <c r="O849">
        <f>INDIRECT(ADDRESS(849,14))+INDIRECT(ADDRESS(847,15))-INDIRECT(ADDRESS(848,15))</f>
        <v>0</v>
      </c>
      <c r="P849">
        <f>INDIRECT(ADDRESS(849,15))+INDIRECT(ADDRESS(847,16))-INDIRECT(ADDRESS(848,16))</f>
        <v>0</v>
      </c>
      <c r="Q849">
        <f>INDIRECT(ADDRESS(849,16))+INDIRECT(ADDRESS(847,17))-INDIRECT(ADDRESS(848,17))</f>
        <v>0</v>
      </c>
      <c r="R849">
        <f>INDIRECT(ADDRESS(849,17))+INDIRECT(ADDRESS(847,18))-INDIRECT(ADDRESS(848,18))</f>
        <v>0</v>
      </c>
      <c r="S849">
        <f>INDIRECT(ADDRESS(849,18))+INDIRECT(ADDRESS(847,19))-INDIRECT(ADDRESS(848,19))</f>
        <v>0</v>
      </c>
      <c r="T849">
        <f>INDIRECT(ADDRESS(849,19))+INDIRECT(ADDRESS(847,20))-INDIRECT(ADDRESS(848,20))</f>
        <v>0</v>
      </c>
      <c r="U849">
        <f>INDIRECT(ADDRESS(849,20))+INDIRECT(ADDRESS(847,21))-INDIRECT(ADDRESS(848,21))</f>
        <v>0</v>
      </c>
      <c r="V849">
        <f>INDIRECT(ADDRESS(849,21))+INDIRECT(ADDRESS(847,22))-INDIRECT(ADDRESS(848,22))</f>
        <v>0</v>
      </c>
      <c r="W849">
        <f>INDIRECT(ADDRESS(849,22))+INDIRECT(ADDRESS(847,23))-INDIRECT(ADDRESS(848,23))</f>
        <v>0</v>
      </c>
      <c r="X849">
        <f>INDIRECT(ADDRESS(849,23))+INDIRECT(ADDRESS(847,24))-INDIRECT(ADDRESS(848,24))</f>
        <v>0</v>
      </c>
      <c r="Y849">
        <f>INDIRECT(ADDRESS(849,24))+INDIRECT(ADDRESS(847,25))-INDIRECT(ADDRESS(848,25))</f>
        <v>0</v>
      </c>
      <c r="Z849">
        <f>INDIRECT(ADDRESS(849,25))+INDIRECT(ADDRESS(847,26))-INDIRECT(ADDRESS(848,26))</f>
        <v>0</v>
      </c>
      <c r="AA849">
        <f>INDIRECT(ADDRESS(849,26))+INDIRECT(ADDRESS(847,27))-INDIRECT(ADDRESS(848,27))</f>
        <v>0</v>
      </c>
      <c r="AB849">
        <f>INDIRECT(ADDRESS(849,27))+INDIRECT(ADDRESS(847,28))-INDIRECT(ADDRESS(848,28))</f>
        <v>0</v>
      </c>
      <c r="AC849">
        <f>INDIRECT(ADDRESS(849,28))+INDIRECT(ADDRESS(847,29))-INDIRECT(ADDRESS(848,29))</f>
        <v>0</v>
      </c>
      <c r="AD849">
        <f>INDIRECT(ADDRESS(849,29))+INDIRECT(ADDRESS(847,30))-INDIRECT(ADDRESS(848,30))</f>
        <v>0</v>
      </c>
      <c r="AE849">
        <f>INDIRECT(ADDRESS(849,30))+INDIRECT(ADDRESS(847,31))-INDIRECT(ADDRESS(848,31))</f>
        <v>0</v>
      </c>
      <c r="AF849">
        <f>INDIRECT(ADDRESS(849,31))+INDIRECT(ADDRESS(847,32))-INDIRECT(ADDRESS(848,32))</f>
        <v>0</v>
      </c>
      <c r="AG849">
        <f>INDIRECT(ADDRESS(849,32))+INDIRECT(ADDRESS(847,33))-INDIRECT(ADDRESS(848,33))</f>
        <v>0</v>
      </c>
      <c r="AH849">
        <f>INDIRECT(ADDRESS(849,33))+INDIRECT(ADDRESS(847,34))-INDIRECT(ADDRESS(848,34))</f>
        <v>0</v>
      </c>
      <c r="AI849">
        <f>INDIRECT(ADDRESS(849,34))+INDIRECT(ADDRESS(847,35))-INDIRECT(ADDRESS(848,35))</f>
        <v>0</v>
      </c>
      <c r="AJ849">
        <f>INDIRECT(ADDRESS(849,35))+INDIRECT(ADDRESS(847,36))-INDIRECT(ADDRESS(848,36))</f>
        <v>0</v>
      </c>
      <c r="AK849">
        <f>INDIRECT(ADDRESS(849,36))+INDIRECT(ADDRESS(847,37))-INDIRECT(ADDRESS(848,37))</f>
        <v>0</v>
      </c>
      <c r="AL849">
        <f>INDIRECT(ADDRESS(849,37))+INDIRECT(ADDRESS(847,38))-INDIRECT(ADDRESS(848,38))</f>
        <v>0</v>
      </c>
      <c r="AM849">
        <f>INDIRECT(ADDRESS(849,38))+INDIRECT(ADDRESS(847,39))-INDIRECT(ADDRESS(848,39))</f>
        <v>0</v>
      </c>
      <c r="AN849">
        <f>INDIRECT(ADDRESS(849,39))+INDIRECT(ADDRESS(847,40))-INDIRECT(ADDRESS(848,40))</f>
        <v>0</v>
      </c>
      <c r="AO849">
        <f>SUM(INDIRECT(ADDRESS(848,8)):INDIRECT(ADDRESS(848,39)))</f>
        <v>0</v>
      </c>
    </row>
    <row r="850" spans="1:41">
      <c r="A850" t="s">
        <v>185</v>
      </c>
      <c r="B850" t="s">
        <v>483</v>
      </c>
      <c r="C850" t="s">
        <v>484</v>
      </c>
      <c r="E850">
        <v>1</v>
      </c>
      <c r="I850" t="s">
        <v>177</v>
      </c>
    </row>
    <row r="851" spans="1:41">
      <c r="I851" t="s">
        <v>178</v>
      </c>
      <c r="J851">
        <f>IFERROR(VLOOKUP("921-059000-200",B:AB,1+8,0),0)</f>
        <v>0</v>
      </c>
      <c r="K851">
        <f>IFERROR(VLOOKUP("921-059000-200",B:AB,2+8,0),0)</f>
        <v>0</v>
      </c>
      <c r="L851">
        <f>IFERROR(VLOOKUP("921-059000-200",B:AB,3+8,0),0)</f>
        <v>0</v>
      </c>
      <c r="M851">
        <f>IFERROR(VLOOKUP("921-059000-200",B:AB,4+8,0),0)</f>
        <v>0</v>
      </c>
      <c r="N851">
        <f>IFERROR(VLOOKUP("921-059000-200",B:AB,5+8,0),0)</f>
        <v>0</v>
      </c>
      <c r="O851">
        <f>IFERROR(VLOOKUP("921-059000-200",B:AB,6+8,0),0)</f>
        <v>0</v>
      </c>
      <c r="P851">
        <f>IFERROR(VLOOKUP("921-059000-200",B:AB,7+8,0),0)</f>
        <v>0</v>
      </c>
      <c r="Q851">
        <f>IFERROR(VLOOKUP("921-059000-200",B:AB,8+8,0),0)</f>
        <v>0</v>
      </c>
      <c r="R851">
        <f>IFERROR(VLOOKUP("921-059000-200",B:AB,9+8,0),0)</f>
        <v>0</v>
      </c>
      <c r="S851">
        <f>IFERROR(VLOOKUP("921-059000-200",B:AB,10+8,0),0)</f>
        <v>0</v>
      </c>
      <c r="T851">
        <f>IFERROR(VLOOKUP("921-059000-200",B:AB,11+8,0),0)</f>
        <v>0</v>
      </c>
      <c r="U851">
        <f>IFERROR(VLOOKUP("921-059000-200",B:AB,12+8,0),0)</f>
        <v>0</v>
      </c>
      <c r="V851">
        <f>IFERROR(VLOOKUP("921-059000-200",B:AB,13+8,0),0)</f>
        <v>0</v>
      </c>
      <c r="W851">
        <f>IFERROR(VLOOKUP("921-059000-200",B:AB,14+8,0),0)</f>
        <v>0</v>
      </c>
      <c r="X851">
        <f>IFERROR(VLOOKUP("921-059000-200",B:AB,15+8,0),0)</f>
        <v>0</v>
      </c>
      <c r="Y851">
        <f>IFERROR(VLOOKUP("921-059000-200",B:AB,16+8,0),0)</f>
        <v>0</v>
      </c>
      <c r="Z851">
        <f>IFERROR(VLOOKUP("921-059000-200",B:AB,17+8,0),0)</f>
        <v>0</v>
      </c>
      <c r="AA851">
        <f>IFERROR(VLOOKUP("921-059000-200",B:AB,18+8,0),0)</f>
        <v>0</v>
      </c>
      <c r="AB851">
        <f>IFERROR(VLOOKUP("921-059000-200",B:AB,19+8,0),0)</f>
        <v>0</v>
      </c>
      <c r="AC851">
        <f>IFERROR(VLOOKUP("921-059000-200",B:AB,20+8,0),0)</f>
        <v>0</v>
      </c>
      <c r="AD851">
        <f>IFERROR(VLOOKUP("921-059000-200",B:AB,21+8,0),0)</f>
        <v>0</v>
      </c>
      <c r="AE851">
        <f>IFERROR(VLOOKUP("921-059000-200",B:AB,22+8,0),0)</f>
        <v>0</v>
      </c>
      <c r="AF851">
        <f>IFERROR(VLOOKUP("921-059000-200",B:AB,23+8,0),0)</f>
        <v>0</v>
      </c>
      <c r="AG851">
        <f>IFERROR(VLOOKUP("921-059000-200",B:AB,24+8,0),0)</f>
        <v>0</v>
      </c>
      <c r="AH851">
        <f>IFERROR(VLOOKUP("921-059000-200",B:AB,25+8,0),0)</f>
        <v>0</v>
      </c>
      <c r="AI851">
        <f>IFERROR(VLOOKUP("921-059000-200",B:AB,26+8,0),0)</f>
        <v>0</v>
      </c>
      <c r="AJ851">
        <f>IFERROR(VLOOKUP("921-059000-200",B:AB,27+8,0),0)</f>
        <v>0</v>
      </c>
      <c r="AK851">
        <f>IFERROR(VLOOKUP("921-059000-200",B:AB,28+8,0),0)</f>
        <v>0</v>
      </c>
      <c r="AL851">
        <f>IFERROR(VLOOKUP("921-059000-200",B:AB,29+8,0),0)</f>
        <v>0</v>
      </c>
      <c r="AM851">
        <f>IFERROR(VLOOKUP("921-059000-200",B:AB,30+8,0),0)</f>
        <v>0</v>
      </c>
      <c r="AN851">
        <f>IFERROR(VLOOKUP("921-059000-200",B:AB,31+8,0),0)</f>
        <v>0</v>
      </c>
      <c r="AO851">
        <f>SUN(INDIRECT(ADDRESS(850,8)):INDIRECT(ADDRESS(850,39)))</f>
        <v>0</v>
      </c>
    </row>
    <row r="852" spans="1:41">
      <c r="H852" t="s">
        <v>179</v>
      </c>
      <c r="J852">
        <f>INDIRECT(ADDRESS(852,9))+INDIRECT(ADDRESS(850,10))-INDIRECT(ADDRESS(851,10))</f>
        <v>0</v>
      </c>
      <c r="K852">
        <f>INDIRECT(ADDRESS(852,10))+INDIRECT(ADDRESS(850,11))-INDIRECT(ADDRESS(851,11))</f>
        <v>0</v>
      </c>
      <c r="L852">
        <f>INDIRECT(ADDRESS(852,11))+INDIRECT(ADDRESS(850,12))-INDIRECT(ADDRESS(851,12))</f>
        <v>0</v>
      </c>
      <c r="M852">
        <f>INDIRECT(ADDRESS(852,12))+INDIRECT(ADDRESS(850,13))-INDIRECT(ADDRESS(851,13))</f>
        <v>0</v>
      </c>
      <c r="N852">
        <f>INDIRECT(ADDRESS(852,13))+INDIRECT(ADDRESS(850,14))-INDIRECT(ADDRESS(851,14))</f>
        <v>0</v>
      </c>
      <c r="O852">
        <f>INDIRECT(ADDRESS(852,14))+INDIRECT(ADDRESS(850,15))-INDIRECT(ADDRESS(851,15))</f>
        <v>0</v>
      </c>
      <c r="P852">
        <f>INDIRECT(ADDRESS(852,15))+INDIRECT(ADDRESS(850,16))-INDIRECT(ADDRESS(851,16))</f>
        <v>0</v>
      </c>
      <c r="Q852">
        <f>INDIRECT(ADDRESS(852,16))+INDIRECT(ADDRESS(850,17))-INDIRECT(ADDRESS(851,17))</f>
        <v>0</v>
      </c>
      <c r="R852">
        <f>INDIRECT(ADDRESS(852,17))+INDIRECT(ADDRESS(850,18))-INDIRECT(ADDRESS(851,18))</f>
        <v>0</v>
      </c>
      <c r="S852">
        <f>INDIRECT(ADDRESS(852,18))+INDIRECT(ADDRESS(850,19))-INDIRECT(ADDRESS(851,19))</f>
        <v>0</v>
      </c>
      <c r="T852">
        <f>INDIRECT(ADDRESS(852,19))+INDIRECT(ADDRESS(850,20))-INDIRECT(ADDRESS(851,20))</f>
        <v>0</v>
      </c>
      <c r="U852">
        <f>INDIRECT(ADDRESS(852,20))+INDIRECT(ADDRESS(850,21))-INDIRECT(ADDRESS(851,21))</f>
        <v>0</v>
      </c>
      <c r="V852">
        <f>INDIRECT(ADDRESS(852,21))+INDIRECT(ADDRESS(850,22))-INDIRECT(ADDRESS(851,22))</f>
        <v>0</v>
      </c>
      <c r="W852">
        <f>INDIRECT(ADDRESS(852,22))+INDIRECT(ADDRESS(850,23))-INDIRECT(ADDRESS(851,23))</f>
        <v>0</v>
      </c>
      <c r="X852">
        <f>INDIRECT(ADDRESS(852,23))+INDIRECT(ADDRESS(850,24))-INDIRECT(ADDRESS(851,24))</f>
        <v>0</v>
      </c>
      <c r="Y852">
        <f>INDIRECT(ADDRESS(852,24))+INDIRECT(ADDRESS(850,25))-INDIRECT(ADDRESS(851,25))</f>
        <v>0</v>
      </c>
      <c r="Z852">
        <f>INDIRECT(ADDRESS(852,25))+INDIRECT(ADDRESS(850,26))-INDIRECT(ADDRESS(851,26))</f>
        <v>0</v>
      </c>
      <c r="AA852">
        <f>INDIRECT(ADDRESS(852,26))+INDIRECT(ADDRESS(850,27))-INDIRECT(ADDRESS(851,27))</f>
        <v>0</v>
      </c>
      <c r="AB852">
        <f>INDIRECT(ADDRESS(852,27))+INDIRECT(ADDRESS(850,28))-INDIRECT(ADDRESS(851,28))</f>
        <v>0</v>
      </c>
      <c r="AC852">
        <f>INDIRECT(ADDRESS(852,28))+INDIRECT(ADDRESS(850,29))-INDIRECT(ADDRESS(851,29))</f>
        <v>0</v>
      </c>
      <c r="AD852">
        <f>INDIRECT(ADDRESS(852,29))+INDIRECT(ADDRESS(850,30))-INDIRECT(ADDRESS(851,30))</f>
        <v>0</v>
      </c>
      <c r="AE852">
        <f>INDIRECT(ADDRESS(852,30))+INDIRECT(ADDRESS(850,31))-INDIRECT(ADDRESS(851,31))</f>
        <v>0</v>
      </c>
      <c r="AF852">
        <f>INDIRECT(ADDRESS(852,31))+INDIRECT(ADDRESS(850,32))-INDIRECT(ADDRESS(851,32))</f>
        <v>0</v>
      </c>
      <c r="AG852">
        <f>INDIRECT(ADDRESS(852,32))+INDIRECT(ADDRESS(850,33))-INDIRECT(ADDRESS(851,33))</f>
        <v>0</v>
      </c>
      <c r="AH852">
        <f>INDIRECT(ADDRESS(852,33))+INDIRECT(ADDRESS(850,34))-INDIRECT(ADDRESS(851,34))</f>
        <v>0</v>
      </c>
      <c r="AI852">
        <f>INDIRECT(ADDRESS(852,34))+INDIRECT(ADDRESS(850,35))-INDIRECT(ADDRESS(851,35))</f>
        <v>0</v>
      </c>
      <c r="AJ852">
        <f>INDIRECT(ADDRESS(852,35))+INDIRECT(ADDRESS(850,36))-INDIRECT(ADDRESS(851,36))</f>
        <v>0</v>
      </c>
      <c r="AK852">
        <f>INDIRECT(ADDRESS(852,36))+INDIRECT(ADDRESS(850,37))-INDIRECT(ADDRESS(851,37))</f>
        <v>0</v>
      </c>
      <c r="AL852">
        <f>INDIRECT(ADDRESS(852,37))+INDIRECT(ADDRESS(850,38))-INDIRECT(ADDRESS(851,38))</f>
        <v>0</v>
      </c>
      <c r="AM852">
        <f>INDIRECT(ADDRESS(852,38))+INDIRECT(ADDRESS(850,39))-INDIRECT(ADDRESS(851,39))</f>
        <v>0</v>
      </c>
      <c r="AN852">
        <f>INDIRECT(ADDRESS(852,39))+INDIRECT(ADDRESS(850,40))-INDIRECT(ADDRESS(851,40))</f>
        <v>0</v>
      </c>
      <c r="AO852">
        <f>SUM(INDIRECT(ADDRESS(851,8)):INDIRECT(ADDRESS(851,39)))</f>
        <v>0</v>
      </c>
    </row>
    <row r="853" spans="1:41">
      <c r="A853" t="s">
        <v>185</v>
      </c>
      <c r="B853" t="s">
        <v>485</v>
      </c>
      <c r="C853" t="s">
        <v>486</v>
      </c>
      <c r="E853">
        <v>1</v>
      </c>
      <c r="I853" t="s">
        <v>177</v>
      </c>
    </row>
    <row r="854" spans="1:41">
      <c r="I854" t="s">
        <v>178</v>
      </c>
      <c r="J854">
        <f>IFERROR(VLOOKUP("921-059000-200",B:AB,1+8,0),0)</f>
        <v>0</v>
      </c>
      <c r="K854">
        <f>IFERROR(VLOOKUP("921-059000-200",B:AB,2+8,0),0)</f>
        <v>0</v>
      </c>
      <c r="L854">
        <f>IFERROR(VLOOKUP("921-059000-200",B:AB,3+8,0),0)</f>
        <v>0</v>
      </c>
      <c r="M854">
        <f>IFERROR(VLOOKUP("921-059000-200",B:AB,4+8,0),0)</f>
        <v>0</v>
      </c>
      <c r="N854">
        <f>IFERROR(VLOOKUP("921-059000-200",B:AB,5+8,0),0)</f>
        <v>0</v>
      </c>
      <c r="O854">
        <f>IFERROR(VLOOKUP("921-059000-200",B:AB,6+8,0),0)</f>
        <v>0</v>
      </c>
      <c r="P854">
        <f>IFERROR(VLOOKUP("921-059000-200",B:AB,7+8,0),0)</f>
        <v>0</v>
      </c>
      <c r="Q854">
        <f>IFERROR(VLOOKUP("921-059000-200",B:AB,8+8,0),0)</f>
        <v>0</v>
      </c>
      <c r="R854">
        <f>IFERROR(VLOOKUP("921-059000-200",B:AB,9+8,0),0)</f>
        <v>0</v>
      </c>
      <c r="S854">
        <f>IFERROR(VLOOKUP("921-059000-200",B:AB,10+8,0),0)</f>
        <v>0</v>
      </c>
      <c r="T854">
        <f>IFERROR(VLOOKUP("921-059000-200",B:AB,11+8,0),0)</f>
        <v>0</v>
      </c>
      <c r="U854">
        <f>IFERROR(VLOOKUP("921-059000-200",B:AB,12+8,0),0)</f>
        <v>0</v>
      </c>
      <c r="V854">
        <f>IFERROR(VLOOKUP("921-059000-200",B:AB,13+8,0),0)</f>
        <v>0</v>
      </c>
      <c r="W854">
        <f>IFERROR(VLOOKUP("921-059000-200",B:AB,14+8,0),0)</f>
        <v>0</v>
      </c>
      <c r="X854">
        <f>IFERROR(VLOOKUP("921-059000-200",B:AB,15+8,0),0)</f>
        <v>0</v>
      </c>
      <c r="Y854">
        <f>IFERROR(VLOOKUP("921-059000-200",B:AB,16+8,0),0)</f>
        <v>0</v>
      </c>
      <c r="Z854">
        <f>IFERROR(VLOOKUP("921-059000-200",B:AB,17+8,0),0)</f>
        <v>0</v>
      </c>
      <c r="AA854">
        <f>IFERROR(VLOOKUP("921-059000-200",B:AB,18+8,0),0)</f>
        <v>0</v>
      </c>
      <c r="AB854">
        <f>IFERROR(VLOOKUP("921-059000-200",B:AB,19+8,0),0)</f>
        <v>0</v>
      </c>
      <c r="AC854">
        <f>IFERROR(VLOOKUP("921-059000-200",B:AB,20+8,0),0)</f>
        <v>0</v>
      </c>
      <c r="AD854">
        <f>IFERROR(VLOOKUP("921-059000-200",B:AB,21+8,0),0)</f>
        <v>0</v>
      </c>
      <c r="AE854">
        <f>IFERROR(VLOOKUP("921-059000-200",B:AB,22+8,0),0)</f>
        <v>0</v>
      </c>
      <c r="AF854">
        <f>IFERROR(VLOOKUP("921-059000-200",B:AB,23+8,0),0)</f>
        <v>0</v>
      </c>
      <c r="AG854">
        <f>IFERROR(VLOOKUP("921-059000-200",B:AB,24+8,0),0)</f>
        <v>0</v>
      </c>
      <c r="AH854">
        <f>IFERROR(VLOOKUP("921-059000-200",B:AB,25+8,0),0)</f>
        <v>0</v>
      </c>
      <c r="AI854">
        <f>IFERROR(VLOOKUP("921-059000-200",B:AB,26+8,0),0)</f>
        <v>0</v>
      </c>
      <c r="AJ854">
        <f>IFERROR(VLOOKUP("921-059000-200",B:AB,27+8,0),0)</f>
        <v>0</v>
      </c>
      <c r="AK854">
        <f>IFERROR(VLOOKUP("921-059000-200",B:AB,28+8,0),0)</f>
        <v>0</v>
      </c>
      <c r="AL854">
        <f>IFERROR(VLOOKUP("921-059000-200",B:AB,29+8,0),0)</f>
        <v>0</v>
      </c>
      <c r="AM854">
        <f>IFERROR(VLOOKUP("921-059000-200",B:AB,30+8,0),0)</f>
        <v>0</v>
      </c>
      <c r="AN854">
        <f>IFERROR(VLOOKUP("921-059000-200",B:AB,31+8,0),0)</f>
        <v>0</v>
      </c>
      <c r="AO854">
        <f>SUN(INDIRECT(ADDRESS(853,8)):INDIRECT(ADDRESS(853,39)))</f>
        <v>0</v>
      </c>
    </row>
    <row r="855" spans="1:41">
      <c r="H855" t="s">
        <v>179</v>
      </c>
      <c r="J855">
        <f>INDIRECT(ADDRESS(855,9))+INDIRECT(ADDRESS(853,10))-INDIRECT(ADDRESS(854,10))</f>
        <v>0</v>
      </c>
      <c r="K855">
        <f>INDIRECT(ADDRESS(855,10))+INDIRECT(ADDRESS(853,11))-INDIRECT(ADDRESS(854,11))</f>
        <v>0</v>
      </c>
      <c r="L855">
        <f>INDIRECT(ADDRESS(855,11))+INDIRECT(ADDRESS(853,12))-INDIRECT(ADDRESS(854,12))</f>
        <v>0</v>
      </c>
      <c r="M855">
        <f>INDIRECT(ADDRESS(855,12))+INDIRECT(ADDRESS(853,13))-INDIRECT(ADDRESS(854,13))</f>
        <v>0</v>
      </c>
      <c r="N855">
        <f>INDIRECT(ADDRESS(855,13))+INDIRECT(ADDRESS(853,14))-INDIRECT(ADDRESS(854,14))</f>
        <v>0</v>
      </c>
      <c r="O855">
        <f>INDIRECT(ADDRESS(855,14))+INDIRECT(ADDRESS(853,15))-INDIRECT(ADDRESS(854,15))</f>
        <v>0</v>
      </c>
      <c r="P855">
        <f>INDIRECT(ADDRESS(855,15))+INDIRECT(ADDRESS(853,16))-INDIRECT(ADDRESS(854,16))</f>
        <v>0</v>
      </c>
      <c r="Q855">
        <f>INDIRECT(ADDRESS(855,16))+INDIRECT(ADDRESS(853,17))-INDIRECT(ADDRESS(854,17))</f>
        <v>0</v>
      </c>
      <c r="R855">
        <f>INDIRECT(ADDRESS(855,17))+INDIRECT(ADDRESS(853,18))-INDIRECT(ADDRESS(854,18))</f>
        <v>0</v>
      </c>
      <c r="S855">
        <f>INDIRECT(ADDRESS(855,18))+INDIRECT(ADDRESS(853,19))-INDIRECT(ADDRESS(854,19))</f>
        <v>0</v>
      </c>
      <c r="T855">
        <f>INDIRECT(ADDRESS(855,19))+INDIRECT(ADDRESS(853,20))-INDIRECT(ADDRESS(854,20))</f>
        <v>0</v>
      </c>
      <c r="U855">
        <f>INDIRECT(ADDRESS(855,20))+INDIRECT(ADDRESS(853,21))-INDIRECT(ADDRESS(854,21))</f>
        <v>0</v>
      </c>
      <c r="V855">
        <f>INDIRECT(ADDRESS(855,21))+INDIRECT(ADDRESS(853,22))-INDIRECT(ADDRESS(854,22))</f>
        <v>0</v>
      </c>
      <c r="W855">
        <f>INDIRECT(ADDRESS(855,22))+INDIRECT(ADDRESS(853,23))-INDIRECT(ADDRESS(854,23))</f>
        <v>0</v>
      </c>
      <c r="X855">
        <f>INDIRECT(ADDRESS(855,23))+INDIRECT(ADDRESS(853,24))-INDIRECT(ADDRESS(854,24))</f>
        <v>0</v>
      </c>
      <c r="Y855">
        <f>INDIRECT(ADDRESS(855,24))+INDIRECT(ADDRESS(853,25))-INDIRECT(ADDRESS(854,25))</f>
        <v>0</v>
      </c>
      <c r="Z855">
        <f>INDIRECT(ADDRESS(855,25))+INDIRECT(ADDRESS(853,26))-INDIRECT(ADDRESS(854,26))</f>
        <v>0</v>
      </c>
      <c r="AA855">
        <f>INDIRECT(ADDRESS(855,26))+INDIRECT(ADDRESS(853,27))-INDIRECT(ADDRESS(854,27))</f>
        <v>0</v>
      </c>
      <c r="AB855">
        <f>INDIRECT(ADDRESS(855,27))+INDIRECT(ADDRESS(853,28))-INDIRECT(ADDRESS(854,28))</f>
        <v>0</v>
      </c>
      <c r="AC855">
        <f>INDIRECT(ADDRESS(855,28))+INDIRECT(ADDRESS(853,29))-INDIRECT(ADDRESS(854,29))</f>
        <v>0</v>
      </c>
      <c r="AD855">
        <f>INDIRECT(ADDRESS(855,29))+INDIRECT(ADDRESS(853,30))-INDIRECT(ADDRESS(854,30))</f>
        <v>0</v>
      </c>
      <c r="AE855">
        <f>INDIRECT(ADDRESS(855,30))+INDIRECT(ADDRESS(853,31))-INDIRECT(ADDRESS(854,31))</f>
        <v>0</v>
      </c>
      <c r="AF855">
        <f>INDIRECT(ADDRESS(855,31))+INDIRECT(ADDRESS(853,32))-INDIRECT(ADDRESS(854,32))</f>
        <v>0</v>
      </c>
      <c r="AG855">
        <f>INDIRECT(ADDRESS(855,32))+INDIRECT(ADDRESS(853,33))-INDIRECT(ADDRESS(854,33))</f>
        <v>0</v>
      </c>
      <c r="AH855">
        <f>INDIRECT(ADDRESS(855,33))+INDIRECT(ADDRESS(853,34))-INDIRECT(ADDRESS(854,34))</f>
        <v>0</v>
      </c>
      <c r="AI855">
        <f>INDIRECT(ADDRESS(855,34))+INDIRECT(ADDRESS(853,35))-INDIRECT(ADDRESS(854,35))</f>
        <v>0</v>
      </c>
      <c r="AJ855">
        <f>INDIRECT(ADDRESS(855,35))+INDIRECT(ADDRESS(853,36))-INDIRECT(ADDRESS(854,36))</f>
        <v>0</v>
      </c>
      <c r="AK855">
        <f>INDIRECT(ADDRESS(855,36))+INDIRECT(ADDRESS(853,37))-INDIRECT(ADDRESS(854,37))</f>
        <v>0</v>
      </c>
      <c r="AL855">
        <f>INDIRECT(ADDRESS(855,37))+INDIRECT(ADDRESS(853,38))-INDIRECT(ADDRESS(854,38))</f>
        <v>0</v>
      </c>
      <c r="AM855">
        <f>INDIRECT(ADDRESS(855,38))+INDIRECT(ADDRESS(853,39))-INDIRECT(ADDRESS(854,39))</f>
        <v>0</v>
      </c>
      <c r="AN855">
        <f>INDIRECT(ADDRESS(855,39))+INDIRECT(ADDRESS(853,40))-INDIRECT(ADDRESS(854,40))</f>
        <v>0</v>
      </c>
      <c r="AO855">
        <f>SUM(INDIRECT(ADDRESS(854,8)):INDIRECT(ADDRESS(854,39)))</f>
        <v>0</v>
      </c>
    </row>
    <row r="856" spans="1:41">
      <c r="A856" t="s">
        <v>185</v>
      </c>
      <c r="B856" t="s">
        <v>487</v>
      </c>
      <c r="C856" t="s">
        <v>488</v>
      </c>
      <c r="E856">
        <v>1</v>
      </c>
      <c r="I856" t="s">
        <v>177</v>
      </c>
    </row>
    <row r="857" spans="1:41">
      <c r="I857" t="s">
        <v>178</v>
      </c>
      <c r="J857">
        <f>IFERROR(VLOOKUP("921-059000-200",B:AB,1+8,0),0)</f>
        <v>0</v>
      </c>
      <c r="K857">
        <f>IFERROR(VLOOKUP("921-059000-200",B:AB,2+8,0),0)</f>
        <v>0</v>
      </c>
      <c r="L857">
        <f>IFERROR(VLOOKUP("921-059000-200",B:AB,3+8,0),0)</f>
        <v>0</v>
      </c>
      <c r="M857">
        <f>IFERROR(VLOOKUP("921-059000-200",B:AB,4+8,0),0)</f>
        <v>0</v>
      </c>
      <c r="N857">
        <f>IFERROR(VLOOKUP("921-059000-200",B:AB,5+8,0),0)</f>
        <v>0</v>
      </c>
      <c r="O857">
        <f>IFERROR(VLOOKUP("921-059000-200",B:AB,6+8,0),0)</f>
        <v>0</v>
      </c>
      <c r="P857">
        <f>IFERROR(VLOOKUP("921-059000-200",B:AB,7+8,0),0)</f>
        <v>0</v>
      </c>
      <c r="Q857">
        <f>IFERROR(VLOOKUP("921-059000-200",B:AB,8+8,0),0)</f>
        <v>0</v>
      </c>
      <c r="R857">
        <f>IFERROR(VLOOKUP("921-059000-200",B:AB,9+8,0),0)</f>
        <v>0</v>
      </c>
      <c r="S857">
        <f>IFERROR(VLOOKUP("921-059000-200",B:AB,10+8,0),0)</f>
        <v>0</v>
      </c>
      <c r="T857">
        <f>IFERROR(VLOOKUP("921-059000-200",B:AB,11+8,0),0)</f>
        <v>0</v>
      </c>
      <c r="U857">
        <f>IFERROR(VLOOKUP("921-059000-200",B:AB,12+8,0),0)</f>
        <v>0</v>
      </c>
      <c r="V857">
        <f>IFERROR(VLOOKUP("921-059000-200",B:AB,13+8,0),0)</f>
        <v>0</v>
      </c>
      <c r="W857">
        <f>IFERROR(VLOOKUP("921-059000-200",B:AB,14+8,0),0)</f>
        <v>0</v>
      </c>
      <c r="X857">
        <f>IFERROR(VLOOKUP("921-059000-200",B:AB,15+8,0),0)</f>
        <v>0</v>
      </c>
      <c r="Y857">
        <f>IFERROR(VLOOKUP("921-059000-200",B:AB,16+8,0),0)</f>
        <v>0</v>
      </c>
      <c r="Z857">
        <f>IFERROR(VLOOKUP("921-059000-200",B:AB,17+8,0),0)</f>
        <v>0</v>
      </c>
      <c r="AA857">
        <f>IFERROR(VLOOKUP("921-059000-200",B:AB,18+8,0),0)</f>
        <v>0</v>
      </c>
      <c r="AB857">
        <f>IFERROR(VLOOKUP("921-059000-200",B:AB,19+8,0),0)</f>
        <v>0</v>
      </c>
      <c r="AC857">
        <f>IFERROR(VLOOKUP("921-059000-200",B:AB,20+8,0),0)</f>
        <v>0</v>
      </c>
      <c r="AD857">
        <f>IFERROR(VLOOKUP("921-059000-200",B:AB,21+8,0),0)</f>
        <v>0</v>
      </c>
      <c r="AE857">
        <f>IFERROR(VLOOKUP("921-059000-200",B:AB,22+8,0),0)</f>
        <v>0</v>
      </c>
      <c r="AF857">
        <f>IFERROR(VLOOKUP("921-059000-200",B:AB,23+8,0),0)</f>
        <v>0</v>
      </c>
      <c r="AG857">
        <f>IFERROR(VLOOKUP("921-059000-200",B:AB,24+8,0),0)</f>
        <v>0</v>
      </c>
      <c r="AH857">
        <f>IFERROR(VLOOKUP("921-059000-200",B:AB,25+8,0),0)</f>
        <v>0</v>
      </c>
      <c r="AI857">
        <f>IFERROR(VLOOKUP("921-059000-200",B:AB,26+8,0),0)</f>
        <v>0</v>
      </c>
      <c r="AJ857">
        <f>IFERROR(VLOOKUP("921-059000-200",B:AB,27+8,0),0)</f>
        <v>0</v>
      </c>
      <c r="AK857">
        <f>IFERROR(VLOOKUP("921-059000-200",B:AB,28+8,0),0)</f>
        <v>0</v>
      </c>
      <c r="AL857">
        <f>IFERROR(VLOOKUP("921-059000-200",B:AB,29+8,0),0)</f>
        <v>0</v>
      </c>
      <c r="AM857">
        <f>IFERROR(VLOOKUP("921-059000-200",B:AB,30+8,0),0)</f>
        <v>0</v>
      </c>
      <c r="AN857">
        <f>IFERROR(VLOOKUP("921-059000-200",B:AB,31+8,0),0)</f>
        <v>0</v>
      </c>
      <c r="AO857">
        <f>SUN(INDIRECT(ADDRESS(856,8)):INDIRECT(ADDRESS(856,39)))</f>
        <v>0</v>
      </c>
    </row>
    <row r="858" spans="1:41">
      <c r="H858" t="s">
        <v>179</v>
      </c>
      <c r="J858">
        <f>INDIRECT(ADDRESS(858,9))+INDIRECT(ADDRESS(856,10))-INDIRECT(ADDRESS(857,10))</f>
        <v>0</v>
      </c>
      <c r="K858">
        <f>INDIRECT(ADDRESS(858,10))+INDIRECT(ADDRESS(856,11))-INDIRECT(ADDRESS(857,11))</f>
        <v>0</v>
      </c>
      <c r="L858">
        <f>INDIRECT(ADDRESS(858,11))+INDIRECT(ADDRESS(856,12))-INDIRECT(ADDRESS(857,12))</f>
        <v>0</v>
      </c>
      <c r="M858">
        <f>INDIRECT(ADDRESS(858,12))+INDIRECT(ADDRESS(856,13))-INDIRECT(ADDRESS(857,13))</f>
        <v>0</v>
      </c>
      <c r="N858">
        <f>INDIRECT(ADDRESS(858,13))+INDIRECT(ADDRESS(856,14))-INDIRECT(ADDRESS(857,14))</f>
        <v>0</v>
      </c>
      <c r="O858">
        <f>INDIRECT(ADDRESS(858,14))+INDIRECT(ADDRESS(856,15))-INDIRECT(ADDRESS(857,15))</f>
        <v>0</v>
      </c>
      <c r="P858">
        <f>INDIRECT(ADDRESS(858,15))+INDIRECT(ADDRESS(856,16))-INDIRECT(ADDRESS(857,16))</f>
        <v>0</v>
      </c>
      <c r="Q858">
        <f>INDIRECT(ADDRESS(858,16))+INDIRECT(ADDRESS(856,17))-INDIRECT(ADDRESS(857,17))</f>
        <v>0</v>
      </c>
      <c r="R858">
        <f>INDIRECT(ADDRESS(858,17))+INDIRECT(ADDRESS(856,18))-INDIRECT(ADDRESS(857,18))</f>
        <v>0</v>
      </c>
      <c r="S858">
        <f>INDIRECT(ADDRESS(858,18))+INDIRECT(ADDRESS(856,19))-INDIRECT(ADDRESS(857,19))</f>
        <v>0</v>
      </c>
      <c r="T858">
        <f>INDIRECT(ADDRESS(858,19))+INDIRECT(ADDRESS(856,20))-INDIRECT(ADDRESS(857,20))</f>
        <v>0</v>
      </c>
      <c r="U858">
        <f>INDIRECT(ADDRESS(858,20))+INDIRECT(ADDRESS(856,21))-INDIRECT(ADDRESS(857,21))</f>
        <v>0</v>
      </c>
      <c r="V858">
        <f>INDIRECT(ADDRESS(858,21))+INDIRECT(ADDRESS(856,22))-INDIRECT(ADDRESS(857,22))</f>
        <v>0</v>
      </c>
      <c r="W858">
        <f>INDIRECT(ADDRESS(858,22))+INDIRECT(ADDRESS(856,23))-INDIRECT(ADDRESS(857,23))</f>
        <v>0</v>
      </c>
      <c r="X858">
        <f>INDIRECT(ADDRESS(858,23))+INDIRECT(ADDRESS(856,24))-INDIRECT(ADDRESS(857,24))</f>
        <v>0</v>
      </c>
      <c r="Y858">
        <f>INDIRECT(ADDRESS(858,24))+INDIRECT(ADDRESS(856,25))-INDIRECT(ADDRESS(857,25))</f>
        <v>0</v>
      </c>
      <c r="Z858">
        <f>INDIRECT(ADDRESS(858,25))+INDIRECT(ADDRESS(856,26))-INDIRECT(ADDRESS(857,26))</f>
        <v>0</v>
      </c>
      <c r="AA858">
        <f>INDIRECT(ADDRESS(858,26))+INDIRECT(ADDRESS(856,27))-INDIRECT(ADDRESS(857,27))</f>
        <v>0</v>
      </c>
      <c r="AB858">
        <f>INDIRECT(ADDRESS(858,27))+INDIRECT(ADDRESS(856,28))-INDIRECT(ADDRESS(857,28))</f>
        <v>0</v>
      </c>
      <c r="AC858">
        <f>INDIRECT(ADDRESS(858,28))+INDIRECT(ADDRESS(856,29))-INDIRECT(ADDRESS(857,29))</f>
        <v>0</v>
      </c>
      <c r="AD858">
        <f>INDIRECT(ADDRESS(858,29))+INDIRECT(ADDRESS(856,30))-INDIRECT(ADDRESS(857,30))</f>
        <v>0</v>
      </c>
      <c r="AE858">
        <f>INDIRECT(ADDRESS(858,30))+INDIRECT(ADDRESS(856,31))-INDIRECT(ADDRESS(857,31))</f>
        <v>0</v>
      </c>
      <c r="AF858">
        <f>INDIRECT(ADDRESS(858,31))+INDIRECT(ADDRESS(856,32))-INDIRECT(ADDRESS(857,32))</f>
        <v>0</v>
      </c>
      <c r="AG858">
        <f>INDIRECT(ADDRESS(858,32))+INDIRECT(ADDRESS(856,33))-INDIRECT(ADDRESS(857,33))</f>
        <v>0</v>
      </c>
      <c r="AH858">
        <f>INDIRECT(ADDRESS(858,33))+INDIRECT(ADDRESS(856,34))-INDIRECT(ADDRESS(857,34))</f>
        <v>0</v>
      </c>
      <c r="AI858">
        <f>INDIRECT(ADDRESS(858,34))+INDIRECT(ADDRESS(856,35))-INDIRECT(ADDRESS(857,35))</f>
        <v>0</v>
      </c>
      <c r="AJ858">
        <f>INDIRECT(ADDRESS(858,35))+INDIRECT(ADDRESS(856,36))-INDIRECT(ADDRESS(857,36))</f>
        <v>0</v>
      </c>
      <c r="AK858">
        <f>INDIRECT(ADDRESS(858,36))+INDIRECT(ADDRESS(856,37))-INDIRECT(ADDRESS(857,37))</f>
        <v>0</v>
      </c>
      <c r="AL858">
        <f>INDIRECT(ADDRESS(858,37))+INDIRECT(ADDRESS(856,38))-INDIRECT(ADDRESS(857,38))</f>
        <v>0</v>
      </c>
      <c r="AM858">
        <f>INDIRECT(ADDRESS(858,38))+INDIRECT(ADDRESS(856,39))-INDIRECT(ADDRESS(857,39))</f>
        <v>0</v>
      </c>
      <c r="AN858">
        <f>INDIRECT(ADDRESS(858,39))+INDIRECT(ADDRESS(856,40))-INDIRECT(ADDRESS(857,40))</f>
        <v>0</v>
      </c>
      <c r="AO858">
        <f>SUM(INDIRECT(ADDRESS(857,8)):INDIRECT(ADDRESS(857,39)))</f>
        <v>0</v>
      </c>
    </row>
    <row r="859" spans="1:41">
      <c r="A859" t="s">
        <v>185</v>
      </c>
      <c r="B859" t="s">
        <v>489</v>
      </c>
      <c r="C859" t="s">
        <v>490</v>
      </c>
      <c r="E859">
        <v>5</v>
      </c>
      <c r="I859" t="s">
        <v>177</v>
      </c>
    </row>
    <row r="860" spans="1:41">
      <c r="I860" t="s">
        <v>178</v>
      </c>
      <c r="J860">
        <f>IFERROR(VLOOKUP("921-059000-200",B:AB,1+8,0),0)</f>
        <v>0</v>
      </c>
      <c r="K860">
        <f>IFERROR(VLOOKUP("921-059000-200",B:AB,2+8,0),0)</f>
        <v>0</v>
      </c>
      <c r="L860">
        <f>IFERROR(VLOOKUP("921-059000-200",B:AB,3+8,0),0)</f>
        <v>0</v>
      </c>
      <c r="M860">
        <f>IFERROR(VLOOKUP("921-059000-200",B:AB,4+8,0),0)</f>
        <v>0</v>
      </c>
      <c r="N860">
        <f>IFERROR(VLOOKUP("921-059000-200",B:AB,5+8,0),0)</f>
        <v>0</v>
      </c>
      <c r="O860">
        <f>IFERROR(VLOOKUP("921-059000-200",B:AB,6+8,0),0)</f>
        <v>0</v>
      </c>
      <c r="P860">
        <f>IFERROR(VLOOKUP("921-059000-200",B:AB,7+8,0),0)</f>
        <v>0</v>
      </c>
      <c r="Q860">
        <f>IFERROR(VLOOKUP("921-059000-200",B:AB,8+8,0),0)</f>
        <v>0</v>
      </c>
      <c r="R860">
        <f>IFERROR(VLOOKUP("921-059000-200",B:AB,9+8,0),0)</f>
        <v>0</v>
      </c>
      <c r="S860">
        <f>IFERROR(VLOOKUP("921-059000-200",B:AB,10+8,0),0)</f>
        <v>0</v>
      </c>
      <c r="T860">
        <f>IFERROR(VLOOKUP("921-059000-200",B:AB,11+8,0),0)</f>
        <v>0</v>
      </c>
      <c r="U860">
        <f>IFERROR(VLOOKUP("921-059000-200",B:AB,12+8,0),0)</f>
        <v>0</v>
      </c>
      <c r="V860">
        <f>IFERROR(VLOOKUP("921-059000-200",B:AB,13+8,0),0)</f>
        <v>0</v>
      </c>
      <c r="W860">
        <f>IFERROR(VLOOKUP("921-059000-200",B:AB,14+8,0),0)</f>
        <v>0</v>
      </c>
      <c r="X860">
        <f>IFERROR(VLOOKUP("921-059000-200",B:AB,15+8,0),0)</f>
        <v>0</v>
      </c>
      <c r="Y860">
        <f>IFERROR(VLOOKUP("921-059000-200",B:AB,16+8,0),0)</f>
        <v>0</v>
      </c>
      <c r="Z860">
        <f>IFERROR(VLOOKUP("921-059000-200",B:AB,17+8,0),0)</f>
        <v>0</v>
      </c>
      <c r="AA860">
        <f>IFERROR(VLOOKUP("921-059000-200",B:AB,18+8,0),0)</f>
        <v>0</v>
      </c>
      <c r="AB860">
        <f>IFERROR(VLOOKUP("921-059000-200",B:AB,19+8,0),0)</f>
        <v>0</v>
      </c>
      <c r="AC860">
        <f>IFERROR(VLOOKUP("921-059000-200",B:AB,20+8,0),0)</f>
        <v>0</v>
      </c>
      <c r="AD860">
        <f>IFERROR(VLOOKUP("921-059000-200",B:AB,21+8,0),0)</f>
        <v>0</v>
      </c>
      <c r="AE860">
        <f>IFERROR(VLOOKUP("921-059000-200",B:AB,22+8,0),0)</f>
        <v>0</v>
      </c>
      <c r="AF860">
        <f>IFERROR(VLOOKUP("921-059000-200",B:AB,23+8,0),0)</f>
        <v>0</v>
      </c>
      <c r="AG860">
        <f>IFERROR(VLOOKUP("921-059000-200",B:AB,24+8,0),0)</f>
        <v>0</v>
      </c>
      <c r="AH860">
        <f>IFERROR(VLOOKUP("921-059000-200",B:AB,25+8,0),0)</f>
        <v>0</v>
      </c>
      <c r="AI860">
        <f>IFERROR(VLOOKUP("921-059000-200",B:AB,26+8,0),0)</f>
        <v>0</v>
      </c>
      <c r="AJ860">
        <f>IFERROR(VLOOKUP("921-059000-200",B:AB,27+8,0),0)</f>
        <v>0</v>
      </c>
      <c r="AK860">
        <f>IFERROR(VLOOKUP("921-059000-200",B:AB,28+8,0),0)</f>
        <v>0</v>
      </c>
      <c r="AL860">
        <f>IFERROR(VLOOKUP("921-059000-200",B:AB,29+8,0),0)</f>
        <v>0</v>
      </c>
      <c r="AM860">
        <f>IFERROR(VLOOKUP("921-059000-200",B:AB,30+8,0),0)</f>
        <v>0</v>
      </c>
      <c r="AN860">
        <f>IFERROR(VLOOKUP("921-059000-200",B:AB,31+8,0),0)</f>
        <v>0</v>
      </c>
      <c r="AO860">
        <f>SUN(INDIRECT(ADDRESS(859,8)):INDIRECT(ADDRESS(859,39)))</f>
        <v>0</v>
      </c>
    </row>
    <row r="861" spans="1:41">
      <c r="H861" t="s">
        <v>179</v>
      </c>
      <c r="J861">
        <f>INDIRECT(ADDRESS(861,9))+INDIRECT(ADDRESS(859,10))-INDIRECT(ADDRESS(860,10))</f>
        <v>0</v>
      </c>
      <c r="K861">
        <f>INDIRECT(ADDRESS(861,10))+INDIRECT(ADDRESS(859,11))-INDIRECT(ADDRESS(860,11))</f>
        <v>0</v>
      </c>
      <c r="L861">
        <f>INDIRECT(ADDRESS(861,11))+INDIRECT(ADDRESS(859,12))-INDIRECT(ADDRESS(860,12))</f>
        <v>0</v>
      </c>
      <c r="M861">
        <f>INDIRECT(ADDRESS(861,12))+INDIRECT(ADDRESS(859,13))-INDIRECT(ADDRESS(860,13))</f>
        <v>0</v>
      </c>
      <c r="N861">
        <f>INDIRECT(ADDRESS(861,13))+INDIRECT(ADDRESS(859,14))-INDIRECT(ADDRESS(860,14))</f>
        <v>0</v>
      </c>
      <c r="O861">
        <f>INDIRECT(ADDRESS(861,14))+INDIRECT(ADDRESS(859,15))-INDIRECT(ADDRESS(860,15))</f>
        <v>0</v>
      </c>
      <c r="P861">
        <f>INDIRECT(ADDRESS(861,15))+INDIRECT(ADDRESS(859,16))-INDIRECT(ADDRESS(860,16))</f>
        <v>0</v>
      </c>
      <c r="Q861">
        <f>INDIRECT(ADDRESS(861,16))+INDIRECT(ADDRESS(859,17))-INDIRECT(ADDRESS(860,17))</f>
        <v>0</v>
      </c>
      <c r="R861">
        <f>INDIRECT(ADDRESS(861,17))+INDIRECT(ADDRESS(859,18))-INDIRECT(ADDRESS(860,18))</f>
        <v>0</v>
      </c>
      <c r="S861">
        <f>INDIRECT(ADDRESS(861,18))+INDIRECT(ADDRESS(859,19))-INDIRECT(ADDRESS(860,19))</f>
        <v>0</v>
      </c>
      <c r="T861">
        <f>INDIRECT(ADDRESS(861,19))+INDIRECT(ADDRESS(859,20))-INDIRECT(ADDRESS(860,20))</f>
        <v>0</v>
      </c>
      <c r="U861">
        <f>INDIRECT(ADDRESS(861,20))+INDIRECT(ADDRESS(859,21))-INDIRECT(ADDRESS(860,21))</f>
        <v>0</v>
      </c>
      <c r="V861">
        <f>INDIRECT(ADDRESS(861,21))+INDIRECT(ADDRESS(859,22))-INDIRECT(ADDRESS(860,22))</f>
        <v>0</v>
      </c>
      <c r="W861">
        <f>INDIRECT(ADDRESS(861,22))+INDIRECT(ADDRESS(859,23))-INDIRECT(ADDRESS(860,23))</f>
        <v>0</v>
      </c>
      <c r="X861">
        <f>INDIRECT(ADDRESS(861,23))+INDIRECT(ADDRESS(859,24))-INDIRECT(ADDRESS(860,24))</f>
        <v>0</v>
      </c>
      <c r="Y861">
        <f>INDIRECT(ADDRESS(861,24))+INDIRECT(ADDRESS(859,25))-INDIRECT(ADDRESS(860,25))</f>
        <v>0</v>
      </c>
      <c r="Z861">
        <f>INDIRECT(ADDRESS(861,25))+INDIRECT(ADDRESS(859,26))-INDIRECT(ADDRESS(860,26))</f>
        <v>0</v>
      </c>
      <c r="AA861">
        <f>INDIRECT(ADDRESS(861,26))+INDIRECT(ADDRESS(859,27))-INDIRECT(ADDRESS(860,27))</f>
        <v>0</v>
      </c>
      <c r="AB861">
        <f>INDIRECT(ADDRESS(861,27))+INDIRECT(ADDRESS(859,28))-INDIRECT(ADDRESS(860,28))</f>
        <v>0</v>
      </c>
      <c r="AC861">
        <f>INDIRECT(ADDRESS(861,28))+INDIRECT(ADDRESS(859,29))-INDIRECT(ADDRESS(860,29))</f>
        <v>0</v>
      </c>
      <c r="AD861">
        <f>INDIRECT(ADDRESS(861,29))+INDIRECT(ADDRESS(859,30))-INDIRECT(ADDRESS(860,30))</f>
        <v>0</v>
      </c>
      <c r="AE861">
        <f>INDIRECT(ADDRESS(861,30))+INDIRECT(ADDRESS(859,31))-INDIRECT(ADDRESS(860,31))</f>
        <v>0</v>
      </c>
      <c r="AF861">
        <f>INDIRECT(ADDRESS(861,31))+INDIRECT(ADDRESS(859,32))-INDIRECT(ADDRESS(860,32))</f>
        <v>0</v>
      </c>
      <c r="AG861">
        <f>INDIRECT(ADDRESS(861,32))+INDIRECT(ADDRESS(859,33))-INDIRECT(ADDRESS(860,33))</f>
        <v>0</v>
      </c>
      <c r="AH861">
        <f>INDIRECT(ADDRESS(861,33))+INDIRECT(ADDRESS(859,34))-INDIRECT(ADDRESS(860,34))</f>
        <v>0</v>
      </c>
      <c r="AI861">
        <f>INDIRECT(ADDRESS(861,34))+INDIRECT(ADDRESS(859,35))-INDIRECT(ADDRESS(860,35))</f>
        <v>0</v>
      </c>
      <c r="AJ861">
        <f>INDIRECT(ADDRESS(861,35))+INDIRECT(ADDRESS(859,36))-INDIRECT(ADDRESS(860,36))</f>
        <v>0</v>
      </c>
      <c r="AK861">
        <f>INDIRECT(ADDRESS(861,36))+INDIRECT(ADDRESS(859,37))-INDIRECT(ADDRESS(860,37))</f>
        <v>0</v>
      </c>
      <c r="AL861">
        <f>INDIRECT(ADDRESS(861,37))+INDIRECT(ADDRESS(859,38))-INDIRECT(ADDRESS(860,38))</f>
        <v>0</v>
      </c>
      <c r="AM861">
        <f>INDIRECT(ADDRESS(861,38))+INDIRECT(ADDRESS(859,39))-INDIRECT(ADDRESS(860,39))</f>
        <v>0</v>
      </c>
      <c r="AN861">
        <f>INDIRECT(ADDRESS(861,39))+INDIRECT(ADDRESS(859,40))-INDIRECT(ADDRESS(860,40))</f>
        <v>0</v>
      </c>
      <c r="AO861">
        <f>SUM(INDIRECT(ADDRESS(860,8)):INDIRECT(ADDRESS(860,39)))</f>
        <v>0</v>
      </c>
    </row>
    <row r="862" spans="1:41">
      <c r="A862" t="s">
        <v>185</v>
      </c>
      <c r="B862" t="s">
        <v>453</v>
      </c>
      <c r="C862" t="s">
        <v>454</v>
      </c>
      <c r="E862">
        <v>1</v>
      </c>
      <c r="I862" t="s">
        <v>177</v>
      </c>
    </row>
    <row r="863" spans="1:41">
      <c r="I863" t="s">
        <v>178</v>
      </c>
      <c r="J863">
        <f>IFERROR(VLOOKUP("921-059000-200",B:AB,1+8,0),0)</f>
        <v>0</v>
      </c>
      <c r="K863">
        <f>IFERROR(VLOOKUP("921-059000-200",B:AB,2+8,0),0)</f>
        <v>0</v>
      </c>
      <c r="L863">
        <f>IFERROR(VLOOKUP("921-059000-200",B:AB,3+8,0),0)</f>
        <v>0</v>
      </c>
      <c r="M863">
        <f>IFERROR(VLOOKUP("921-059000-200",B:AB,4+8,0),0)</f>
        <v>0</v>
      </c>
      <c r="N863">
        <f>IFERROR(VLOOKUP("921-059000-200",B:AB,5+8,0),0)</f>
        <v>0</v>
      </c>
      <c r="O863">
        <f>IFERROR(VLOOKUP("921-059000-200",B:AB,6+8,0),0)</f>
        <v>0</v>
      </c>
      <c r="P863">
        <f>IFERROR(VLOOKUP("921-059000-200",B:AB,7+8,0),0)</f>
        <v>0</v>
      </c>
      <c r="Q863">
        <f>IFERROR(VLOOKUP("921-059000-200",B:AB,8+8,0),0)</f>
        <v>0</v>
      </c>
      <c r="R863">
        <f>IFERROR(VLOOKUP("921-059000-200",B:AB,9+8,0),0)</f>
        <v>0</v>
      </c>
      <c r="S863">
        <f>IFERROR(VLOOKUP("921-059000-200",B:AB,10+8,0),0)</f>
        <v>0</v>
      </c>
      <c r="T863">
        <f>IFERROR(VLOOKUP("921-059000-200",B:AB,11+8,0),0)</f>
        <v>0</v>
      </c>
      <c r="U863">
        <f>IFERROR(VLOOKUP("921-059000-200",B:AB,12+8,0),0)</f>
        <v>0</v>
      </c>
      <c r="V863">
        <f>IFERROR(VLOOKUP("921-059000-200",B:AB,13+8,0),0)</f>
        <v>0</v>
      </c>
      <c r="W863">
        <f>IFERROR(VLOOKUP("921-059000-200",B:AB,14+8,0),0)</f>
        <v>0</v>
      </c>
      <c r="X863">
        <f>IFERROR(VLOOKUP("921-059000-200",B:AB,15+8,0),0)</f>
        <v>0</v>
      </c>
      <c r="Y863">
        <f>IFERROR(VLOOKUP("921-059000-200",B:AB,16+8,0),0)</f>
        <v>0</v>
      </c>
      <c r="Z863">
        <f>IFERROR(VLOOKUP("921-059000-200",B:AB,17+8,0),0)</f>
        <v>0</v>
      </c>
      <c r="AA863">
        <f>IFERROR(VLOOKUP("921-059000-200",B:AB,18+8,0),0)</f>
        <v>0</v>
      </c>
      <c r="AB863">
        <f>IFERROR(VLOOKUP("921-059000-200",B:AB,19+8,0),0)</f>
        <v>0</v>
      </c>
      <c r="AC863">
        <f>IFERROR(VLOOKUP("921-059000-200",B:AB,20+8,0),0)</f>
        <v>0</v>
      </c>
      <c r="AD863">
        <f>IFERROR(VLOOKUP("921-059000-200",B:AB,21+8,0),0)</f>
        <v>0</v>
      </c>
      <c r="AE863">
        <f>IFERROR(VLOOKUP("921-059000-200",B:AB,22+8,0),0)</f>
        <v>0</v>
      </c>
      <c r="AF863">
        <f>IFERROR(VLOOKUP("921-059000-200",B:AB,23+8,0),0)</f>
        <v>0</v>
      </c>
      <c r="AG863">
        <f>IFERROR(VLOOKUP("921-059000-200",B:AB,24+8,0),0)</f>
        <v>0</v>
      </c>
      <c r="AH863">
        <f>IFERROR(VLOOKUP("921-059000-200",B:AB,25+8,0),0)</f>
        <v>0</v>
      </c>
      <c r="AI863">
        <f>IFERROR(VLOOKUP("921-059000-200",B:AB,26+8,0),0)</f>
        <v>0</v>
      </c>
      <c r="AJ863">
        <f>IFERROR(VLOOKUP("921-059000-200",B:AB,27+8,0),0)</f>
        <v>0</v>
      </c>
      <c r="AK863">
        <f>IFERROR(VLOOKUP("921-059000-200",B:AB,28+8,0),0)</f>
        <v>0</v>
      </c>
      <c r="AL863">
        <f>IFERROR(VLOOKUP("921-059000-200",B:AB,29+8,0),0)</f>
        <v>0</v>
      </c>
      <c r="AM863">
        <f>IFERROR(VLOOKUP("921-059000-200",B:AB,30+8,0),0)</f>
        <v>0</v>
      </c>
      <c r="AN863">
        <f>IFERROR(VLOOKUP("921-059000-200",B:AB,31+8,0),0)</f>
        <v>0</v>
      </c>
      <c r="AO863">
        <f>SUN(INDIRECT(ADDRESS(862,8)):INDIRECT(ADDRESS(862,39)))</f>
        <v>0</v>
      </c>
    </row>
    <row r="864" spans="1:41">
      <c r="H864" t="s">
        <v>179</v>
      </c>
      <c r="J864">
        <f>INDIRECT(ADDRESS(864,9))+INDIRECT(ADDRESS(862,10))-INDIRECT(ADDRESS(863,10))</f>
        <v>0</v>
      </c>
      <c r="K864">
        <f>INDIRECT(ADDRESS(864,10))+INDIRECT(ADDRESS(862,11))-INDIRECT(ADDRESS(863,11))</f>
        <v>0</v>
      </c>
      <c r="L864">
        <f>INDIRECT(ADDRESS(864,11))+INDIRECT(ADDRESS(862,12))-INDIRECT(ADDRESS(863,12))</f>
        <v>0</v>
      </c>
      <c r="M864">
        <f>INDIRECT(ADDRESS(864,12))+INDIRECT(ADDRESS(862,13))-INDIRECT(ADDRESS(863,13))</f>
        <v>0</v>
      </c>
      <c r="N864">
        <f>INDIRECT(ADDRESS(864,13))+INDIRECT(ADDRESS(862,14))-INDIRECT(ADDRESS(863,14))</f>
        <v>0</v>
      </c>
      <c r="O864">
        <f>INDIRECT(ADDRESS(864,14))+INDIRECT(ADDRESS(862,15))-INDIRECT(ADDRESS(863,15))</f>
        <v>0</v>
      </c>
      <c r="P864">
        <f>INDIRECT(ADDRESS(864,15))+INDIRECT(ADDRESS(862,16))-INDIRECT(ADDRESS(863,16))</f>
        <v>0</v>
      </c>
      <c r="Q864">
        <f>INDIRECT(ADDRESS(864,16))+INDIRECT(ADDRESS(862,17))-INDIRECT(ADDRESS(863,17))</f>
        <v>0</v>
      </c>
      <c r="R864">
        <f>INDIRECT(ADDRESS(864,17))+INDIRECT(ADDRESS(862,18))-INDIRECT(ADDRESS(863,18))</f>
        <v>0</v>
      </c>
      <c r="S864">
        <f>INDIRECT(ADDRESS(864,18))+INDIRECT(ADDRESS(862,19))-INDIRECT(ADDRESS(863,19))</f>
        <v>0</v>
      </c>
      <c r="T864">
        <f>INDIRECT(ADDRESS(864,19))+INDIRECT(ADDRESS(862,20))-INDIRECT(ADDRESS(863,20))</f>
        <v>0</v>
      </c>
      <c r="U864">
        <f>INDIRECT(ADDRESS(864,20))+INDIRECT(ADDRESS(862,21))-INDIRECT(ADDRESS(863,21))</f>
        <v>0</v>
      </c>
      <c r="V864">
        <f>INDIRECT(ADDRESS(864,21))+INDIRECT(ADDRESS(862,22))-INDIRECT(ADDRESS(863,22))</f>
        <v>0</v>
      </c>
      <c r="W864">
        <f>INDIRECT(ADDRESS(864,22))+INDIRECT(ADDRESS(862,23))-INDIRECT(ADDRESS(863,23))</f>
        <v>0</v>
      </c>
      <c r="X864">
        <f>INDIRECT(ADDRESS(864,23))+INDIRECT(ADDRESS(862,24))-INDIRECT(ADDRESS(863,24))</f>
        <v>0</v>
      </c>
      <c r="Y864">
        <f>INDIRECT(ADDRESS(864,24))+INDIRECT(ADDRESS(862,25))-INDIRECT(ADDRESS(863,25))</f>
        <v>0</v>
      </c>
      <c r="Z864">
        <f>INDIRECT(ADDRESS(864,25))+INDIRECT(ADDRESS(862,26))-INDIRECT(ADDRESS(863,26))</f>
        <v>0</v>
      </c>
      <c r="AA864">
        <f>INDIRECT(ADDRESS(864,26))+INDIRECT(ADDRESS(862,27))-INDIRECT(ADDRESS(863,27))</f>
        <v>0</v>
      </c>
      <c r="AB864">
        <f>INDIRECT(ADDRESS(864,27))+INDIRECT(ADDRESS(862,28))-INDIRECT(ADDRESS(863,28))</f>
        <v>0</v>
      </c>
      <c r="AC864">
        <f>INDIRECT(ADDRESS(864,28))+INDIRECT(ADDRESS(862,29))-INDIRECT(ADDRESS(863,29))</f>
        <v>0</v>
      </c>
      <c r="AD864">
        <f>INDIRECT(ADDRESS(864,29))+INDIRECT(ADDRESS(862,30))-INDIRECT(ADDRESS(863,30))</f>
        <v>0</v>
      </c>
      <c r="AE864">
        <f>INDIRECT(ADDRESS(864,30))+INDIRECT(ADDRESS(862,31))-INDIRECT(ADDRESS(863,31))</f>
        <v>0</v>
      </c>
      <c r="AF864">
        <f>INDIRECT(ADDRESS(864,31))+INDIRECT(ADDRESS(862,32))-INDIRECT(ADDRESS(863,32))</f>
        <v>0</v>
      </c>
      <c r="AG864">
        <f>INDIRECT(ADDRESS(864,32))+INDIRECT(ADDRESS(862,33))-INDIRECT(ADDRESS(863,33))</f>
        <v>0</v>
      </c>
      <c r="AH864">
        <f>INDIRECT(ADDRESS(864,33))+INDIRECT(ADDRESS(862,34))-INDIRECT(ADDRESS(863,34))</f>
        <v>0</v>
      </c>
      <c r="AI864">
        <f>INDIRECT(ADDRESS(864,34))+INDIRECT(ADDRESS(862,35))-INDIRECT(ADDRESS(863,35))</f>
        <v>0</v>
      </c>
      <c r="AJ864">
        <f>INDIRECT(ADDRESS(864,35))+INDIRECT(ADDRESS(862,36))-INDIRECT(ADDRESS(863,36))</f>
        <v>0</v>
      </c>
      <c r="AK864">
        <f>INDIRECT(ADDRESS(864,36))+INDIRECT(ADDRESS(862,37))-INDIRECT(ADDRESS(863,37))</f>
        <v>0</v>
      </c>
      <c r="AL864">
        <f>INDIRECT(ADDRESS(864,37))+INDIRECT(ADDRESS(862,38))-INDIRECT(ADDRESS(863,38))</f>
        <v>0</v>
      </c>
      <c r="AM864">
        <f>INDIRECT(ADDRESS(864,38))+INDIRECT(ADDRESS(862,39))-INDIRECT(ADDRESS(863,39))</f>
        <v>0</v>
      </c>
      <c r="AN864">
        <f>INDIRECT(ADDRESS(864,39))+INDIRECT(ADDRESS(862,40))-INDIRECT(ADDRESS(863,40))</f>
        <v>0</v>
      </c>
      <c r="AO864">
        <f>SUM(INDIRECT(ADDRESS(863,8)):INDIRECT(ADDRESS(863,39)))</f>
        <v>0</v>
      </c>
    </row>
    <row r="865" spans="1:41">
      <c r="A865" t="s">
        <v>185</v>
      </c>
      <c r="B865" t="s">
        <v>491</v>
      </c>
      <c r="C865" t="s">
        <v>492</v>
      </c>
      <c r="E865">
        <v>1</v>
      </c>
      <c r="I865" t="s">
        <v>177</v>
      </c>
    </row>
    <row r="866" spans="1:41">
      <c r="I866" t="s">
        <v>178</v>
      </c>
      <c r="J866">
        <f>IFERROR(VLOOKUP("921-059000-200",B:AB,1+8,0),0)</f>
        <v>0</v>
      </c>
      <c r="K866">
        <f>IFERROR(VLOOKUP("921-059000-200",B:AB,2+8,0),0)</f>
        <v>0</v>
      </c>
      <c r="L866">
        <f>IFERROR(VLOOKUP("921-059000-200",B:AB,3+8,0),0)</f>
        <v>0</v>
      </c>
      <c r="M866">
        <f>IFERROR(VLOOKUP("921-059000-200",B:AB,4+8,0),0)</f>
        <v>0</v>
      </c>
      <c r="N866">
        <f>IFERROR(VLOOKUP("921-059000-200",B:AB,5+8,0),0)</f>
        <v>0</v>
      </c>
      <c r="O866">
        <f>IFERROR(VLOOKUP("921-059000-200",B:AB,6+8,0),0)</f>
        <v>0</v>
      </c>
      <c r="P866">
        <f>IFERROR(VLOOKUP("921-059000-200",B:AB,7+8,0),0)</f>
        <v>0</v>
      </c>
      <c r="Q866">
        <f>IFERROR(VLOOKUP("921-059000-200",B:AB,8+8,0),0)</f>
        <v>0</v>
      </c>
      <c r="R866">
        <f>IFERROR(VLOOKUP("921-059000-200",B:AB,9+8,0),0)</f>
        <v>0</v>
      </c>
      <c r="S866">
        <f>IFERROR(VLOOKUP("921-059000-200",B:AB,10+8,0),0)</f>
        <v>0</v>
      </c>
      <c r="T866">
        <f>IFERROR(VLOOKUP("921-059000-200",B:AB,11+8,0),0)</f>
        <v>0</v>
      </c>
      <c r="U866">
        <f>IFERROR(VLOOKUP("921-059000-200",B:AB,12+8,0),0)</f>
        <v>0</v>
      </c>
      <c r="V866">
        <f>IFERROR(VLOOKUP("921-059000-200",B:AB,13+8,0),0)</f>
        <v>0</v>
      </c>
      <c r="W866">
        <f>IFERROR(VLOOKUP("921-059000-200",B:AB,14+8,0),0)</f>
        <v>0</v>
      </c>
      <c r="X866">
        <f>IFERROR(VLOOKUP("921-059000-200",B:AB,15+8,0),0)</f>
        <v>0</v>
      </c>
      <c r="Y866">
        <f>IFERROR(VLOOKUP("921-059000-200",B:AB,16+8,0),0)</f>
        <v>0</v>
      </c>
      <c r="Z866">
        <f>IFERROR(VLOOKUP("921-059000-200",B:AB,17+8,0),0)</f>
        <v>0</v>
      </c>
      <c r="AA866">
        <f>IFERROR(VLOOKUP("921-059000-200",B:AB,18+8,0),0)</f>
        <v>0</v>
      </c>
      <c r="AB866">
        <f>IFERROR(VLOOKUP("921-059000-200",B:AB,19+8,0),0)</f>
        <v>0</v>
      </c>
      <c r="AC866">
        <f>IFERROR(VLOOKUP("921-059000-200",B:AB,20+8,0),0)</f>
        <v>0</v>
      </c>
      <c r="AD866">
        <f>IFERROR(VLOOKUP("921-059000-200",B:AB,21+8,0),0)</f>
        <v>0</v>
      </c>
      <c r="AE866">
        <f>IFERROR(VLOOKUP("921-059000-200",B:AB,22+8,0),0)</f>
        <v>0</v>
      </c>
      <c r="AF866">
        <f>IFERROR(VLOOKUP("921-059000-200",B:AB,23+8,0),0)</f>
        <v>0</v>
      </c>
      <c r="AG866">
        <f>IFERROR(VLOOKUP("921-059000-200",B:AB,24+8,0),0)</f>
        <v>0</v>
      </c>
      <c r="AH866">
        <f>IFERROR(VLOOKUP("921-059000-200",B:AB,25+8,0),0)</f>
        <v>0</v>
      </c>
      <c r="AI866">
        <f>IFERROR(VLOOKUP("921-059000-200",B:AB,26+8,0),0)</f>
        <v>0</v>
      </c>
      <c r="AJ866">
        <f>IFERROR(VLOOKUP("921-059000-200",B:AB,27+8,0),0)</f>
        <v>0</v>
      </c>
      <c r="AK866">
        <f>IFERROR(VLOOKUP("921-059000-200",B:AB,28+8,0),0)</f>
        <v>0</v>
      </c>
      <c r="AL866">
        <f>IFERROR(VLOOKUP("921-059000-200",B:AB,29+8,0),0)</f>
        <v>0</v>
      </c>
      <c r="AM866">
        <f>IFERROR(VLOOKUP("921-059000-200",B:AB,30+8,0),0)</f>
        <v>0</v>
      </c>
      <c r="AN866">
        <f>IFERROR(VLOOKUP("921-059000-200",B:AB,31+8,0),0)</f>
        <v>0</v>
      </c>
      <c r="AO866">
        <f>SUN(INDIRECT(ADDRESS(865,8)):INDIRECT(ADDRESS(865,39)))</f>
        <v>0</v>
      </c>
    </row>
    <row r="867" spans="1:41">
      <c r="H867" t="s">
        <v>179</v>
      </c>
      <c r="J867">
        <f>INDIRECT(ADDRESS(867,9))+INDIRECT(ADDRESS(865,10))-INDIRECT(ADDRESS(866,10))</f>
        <v>0</v>
      </c>
      <c r="K867">
        <f>INDIRECT(ADDRESS(867,10))+INDIRECT(ADDRESS(865,11))-INDIRECT(ADDRESS(866,11))</f>
        <v>0</v>
      </c>
      <c r="L867">
        <f>INDIRECT(ADDRESS(867,11))+INDIRECT(ADDRESS(865,12))-INDIRECT(ADDRESS(866,12))</f>
        <v>0</v>
      </c>
      <c r="M867">
        <f>INDIRECT(ADDRESS(867,12))+INDIRECT(ADDRESS(865,13))-INDIRECT(ADDRESS(866,13))</f>
        <v>0</v>
      </c>
      <c r="N867">
        <f>INDIRECT(ADDRESS(867,13))+INDIRECT(ADDRESS(865,14))-INDIRECT(ADDRESS(866,14))</f>
        <v>0</v>
      </c>
      <c r="O867">
        <f>INDIRECT(ADDRESS(867,14))+INDIRECT(ADDRESS(865,15))-INDIRECT(ADDRESS(866,15))</f>
        <v>0</v>
      </c>
      <c r="P867">
        <f>INDIRECT(ADDRESS(867,15))+INDIRECT(ADDRESS(865,16))-INDIRECT(ADDRESS(866,16))</f>
        <v>0</v>
      </c>
      <c r="Q867">
        <f>INDIRECT(ADDRESS(867,16))+INDIRECT(ADDRESS(865,17))-INDIRECT(ADDRESS(866,17))</f>
        <v>0</v>
      </c>
      <c r="R867">
        <f>INDIRECT(ADDRESS(867,17))+INDIRECT(ADDRESS(865,18))-INDIRECT(ADDRESS(866,18))</f>
        <v>0</v>
      </c>
      <c r="S867">
        <f>INDIRECT(ADDRESS(867,18))+INDIRECT(ADDRESS(865,19))-INDIRECT(ADDRESS(866,19))</f>
        <v>0</v>
      </c>
      <c r="T867">
        <f>INDIRECT(ADDRESS(867,19))+INDIRECT(ADDRESS(865,20))-INDIRECT(ADDRESS(866,20))</f>
        <v>0</v>
      </c>
      <c r="U867">
        <f>INDIRECT(ADDRESS(867,20))+INDIRECT(ADDRESS(865,21))-INDIRECT(ADDRESS(866,21))</f>
        <v>0</v>
      </c>
      <c r="V867">
        <f>INDIRECT(ADDRESS(867,21))+INDIRECT(ADDRESS(865,22))-INDIRECT(ADDRESS(866,22))</f>
        <v>0</v>
      </c>
      <c r="W867">
        <f>INDIRECT(ADDRESS(867,22))+INDIRECT(ADDRESS(865,23))-INDIRECT(ADDRESS(866,23))</f>
        <v>0</v>
      </c>
      <c r="X867">
        <f>INDIRECT(ADDRESS(867,23))+INDIRECT(ADDRESS(865,24))-INDIRECT(ADDRESS(866,24))</f>
        <v>0</v>
      </c>
      <c r="Y867">
        <f>INDIRECT(ADDRESS(867,24))+INDIRECT(ADDRESS(865,25))-INDIRECT(ADDRESS(866,25))</f>
        <v>0</v>
      </c>
      <c r="Z867">
        <f>INDIRECT(ADDRESS(867,25))+INDIRECT(ADDRESS(865,26))-INDIRECT(ADDRESS(866,26))</f>
        <v>0</v>
      </c>
      <c r="AA867">
        <f>INDIRECT(ADDRESS(867,26))+INDIRECT(ADDRESS(865,27))-INDIRECT(ADDRESS(866,27))</f>
        <v>0</v>
      </c>
      <c r="AB867">
        <f>INDIRECT(ADDRESS(867,27))+INDIRECT(ADDRESS(865,28))-INDIRECT(ADDRESS(866,28))</f>
        <v>0</v>
      </c>
      <c r="AC867">
        <f>INDIRECT(ADDRESS(867,28))+INDIRECT(ADDRESS(865,29))-INDIRECT(ADDRESS(866,29))</f>
        <v>0</v>
      </c>
      <c r="AD867">
        <f>INDIRECT(ADDRESS(867,29))+INDIRECT(ADDRESS(865,30))-INDIRECT(ADDRESS(866,30))</f>
        <v>0</v>
      </c>
      <c r="AE867">
        <f>INDIRECT(ADDRESS(867,30))+INDIRECT(ADDRESS(865,31))-INDIRECT(ADDRESS(866,31))</f>
        <v>0</v>
      </c>
      <c r="AF867">
        <f>INDIRECT(ADDRESS(867,31))+INDIRECT(ADDRESS(865,32))-INDIRECT(ADDRESS(866,32))</f>
        <v>0</v>
      </c>
      <c r="AG867">
        <f>INDIRECT(ADDRESS(867,32))+INDIRECT(ADDRESS(865,33))-INDIRECT(ADDRESS(866,33))</f>
        <v>0</v>
      </c>
      <c r="AH867">
        <f>INDIRECT(ADDRESS(867,33))+INDIRECT(ADDRESS(865,34))-INDIRECT(ADDRESS(866,34))</f>
        <v>0</v>
      </c>
      <c r="AI867">
        <f>INDIRECT(ADDRESS(867,34))+INDIRECT(ADDRESS(865,35))-INDIRECT(ADDRESS(866,35))</f>
        <v>0</v>
      </c>
      <c r="AJ867">
        <f>INDIRECT(ADDRESS(867,35))+INDIRECT(ADDRESS(865,36))-INDIRECT(ADDRESS(866,36))</f>
        <v>0</v>
      </c>
      <c r="AK867">
        <f>INDIRECT(ADDRESS(867,36))+INDIRECT(ADDRESS(865,37))-INDIRECT(ADDRESS(866,37))</f>
        <v>0</v>
      </c>
      <c r="AL867">
        <f>INDIRECT(ADDRESS(867,37))+INDIRECT(ADDRESS(865,38))-INDIRECT(ADDRESS(866,38))</f>
        <v>0</v>
      </c>
      <c r="AM867">
        <f>INDIRECT(ADDRESS(867,38))+INDIRECT(ADDRESS(865,39))-INDIRECT(ADDRESS(866,39))</f>
        <v>0</v>
      </c>
      <c r="AN867">
        <f>INDIRECT(ADDRESS(867,39))+INDIRECT(ADDRESS(865,40))-INDIRECT(ADDRESS(866,40))</f>
        <v>0</v>
      </c>
      <c r="AO867">
        <f>SUM(INDIRECT(ADDRESS(866,8)):INDIRECT(ADDRESS(866,39)))</f>
        <v>0</v>
      </c>
    </row>
    <row r="868" spans="1:41">
      <c r="A868" t="s">
        <v>185</v>
      </c>
      <c r="B868" t="s">
        <v>493</v>
      </c>
      <c r="C868" t="s">
        <v>494</v>
      </c>
      <c r="E868">
        <v>1</v>
      </c>
      <c r="I868" t="s">
        <v>177</v>
      </c>
    </row>
    <row r="869" spans="1:41">
      <c r="I869" t="s">
        <v>178</v>
      </c>
      <c r="J869">
        <f>IFERROR(VLOOKUP("921-059000-200",B:AB,1+8,0),0)</f>
        <v>0</v>
      </c>
      <c r="K869">
        <f>IFERROR(VLOOKUP("921-059000-200",B:AB,2+8,0),0)</f>
        <v>0</v>
      </c>
      <c r="L869">
        <f>IFERROR(VLOOKUP("921-059000-200",B:AB,3+8,0),0)</f>
        <v>0</v>
      </c>
      <c r="M869">
        <f>IFERROR(VLOOKUP("921-059000-200",B:AB,4+8,0),0)</f>
        <v>0</v>
      </c>
      <c r="N869">
        <f>IFERROR(VLOOKUP("921-059000-200",B:AB,5+8,0),0)</f>
        <v>0</v>
      </c>
      <c r="O869">
        <f>IFERROR(VLOOKUP("921-059000-200",B:AB,6+8,0),0)</f>
        <v>0</v>
      </c>
      <c r="P869">
        <f>IFERROR(VLOOKUP("921-059000-200",B:AB,7+8,0),0)</f>
        <v>0</v>
      </c>
      <c r="Q869">
        <f>IFERROR(VLOOKUP("921-059000-200",B:AB,8+8,0),0)</f>
        <v>0</v>
      </c>
      <c r="R869">
        <f>IFERROR(VLOOKUP("921-059000-200",B:AB,9+8,0),0)</f>
        <v>0</v>
      </c>
      <c r="S869">
        <f>IFERROR(VLOOKUP("921-059000-200",B:AB,10+8,0),0)</f>
        <v>0</v>
      </c>
      <c r="T869">
        <f>IFERROR(VLOOKUP("921-059000-200",B:AB,11+8,0),0)</f>
        <v>0</v>
      </c>
      <c r="U869">
        <f>IFERROR(VLOOKUP("921-059000-200",B:AB,12+8,0),0)</f>
        <v>0</v>
      </c>
      <c r="V869">
        <f>IFERROR(VLOOKUP("921-059000-200",B:AB,13+8,0),0)</f>
        <v>0</v>
      </c>
      <c r="W869">
        <f>IFERROR(VLOOKUP("921-059000-200",B:AB,14+8,0),0)</f>
        <v>0</v>
      </c>
      <c r="X869">
        <f>IFERROR(VLOOKUP("921-059000-200",B:AB,15+8,0),0)</f>
        <v>0</v>
      </c>
      <c r="Y869">
        <f>IFERROR(VLOOKUP("921-059000-200",B:AB,16+8,0),0)</f>
        <v>0</v>
      </c>
      <c r="Z869">
        <f>IFERROR(VLOOKUP("921-059000-200",B:AB,17+8,0),0)</f>
        <v>0</v>
      </c>
      <c r="AA869">
        <f>IFERROR(VLOOKUP("921-059000-200",B:AB,18+8,0),0)</f>
        <v>0</v>
      </c>
      <c r="AB869">
        <f>IFERROR(VLOOKUP("921-059000-200",B:AB,19+8,0),0)</f>
        <v>0</v>
      </c>
      <c r="AC869">
        <f>IFERROR(VLOOKUP("921-059000-200",B:AB,20+8,0),0)</f>
        <v>0</v>
      </c>
      <c r="AD869">
        <f>IFERROR(VLOOKUP("921-059000-200",B:AB,21+8,0),0)</f>
        <v>0</v>
      </c>
      <c r="AE869">
        <f>IFERROR(VLOOKUP("921-059000-200",B:AB,22+8,0),0)</f>
        <v>0</v>
      </c>
      <c r="AF869">
        <f>IFERROR(VLOOKUP("921-059000-200",B:AB,23+8,0),0)</f>
        <v>0</v>
      </c>
      <c r="AG869">
        <f>IFERROR(VLOOKUP("921-059000-200",B:AB,24+8,0),0)</f>
        <v>0</v>
      </c>
      <c r="AH869">
        <f>IFERROR(VLOOKUP("921-059000-200",B:AB,25+8,0),0)</f>
        <v>0</v>
      </c>
      <c r="AI869">
        <f>IFERROR(VLOOKUP("921-059000-200",B:AB,26+8,0),0)</f>
        <v>0</v>
      </c>
      <c r="AJ869">
        <f>IFERROR(VLOOKUP("921-059000-200",B:AB,27+8,0),0)</f>
        <v>0</v>
      </c>
      <c r="AK869">
        <f>IFERROR(VLOOKUP("921-059000-200",B:AB,28+8,0),0)</f>
        <v>0</v>
      </c>
      <c r="AL869">
        <f>IFERROR(VLOOKUP("921-059000-200",B:AB,29+8,0),0)</f>
        <v>0</v>
      </c>
      <c r="AM869">
        <f>IFERROR(VLOOKUP("921-059000-200",B:AB,30+8,0),0)</f>
        <v>0</v>
      </c>
      <c r="AN869">
        <f>IFERROR(VLOOKUP("921-059000-200",B:AB,31+8,0),0)</f>
        <v>0</v>
      </c>
      <c r="AO869">
        <f>SUN(INDIRECT(ADDRESS(868,8)):INDIRECT(ADDRESS(868,39)))</f>
        <v>0</v>
      </c>
    </row>
    <row r="870" spans="1:41">
      <c r="H870" t="s">
        <v>179</v>
      </c>
      <c r="J870">
        <f>INDIRECT(ADDRESS(870,9))+INDIRECT(ADDRESS(868,10))-INDIRECT(ADDRESS(869,10))</f>
        <v>0</v>
      </c>
      <c r="K870">
        <f>INDIRECT(ADDRESS(870,10))+INDIRECT(ADDRESS(868,11))-INDIRECT(ADDRESS(869,11))</f>
        <v>0</v>
      </c>
      <c r="L870">
        <f>INDIRECT(ADDRESS(870,11))+INDIRECT(ADDRESS(868,12))-INDIRECT(ADDRESS(869,12))</f>
        <v>0</v>
      </c>
      <c r="M870">
        <f>INDIRECT(ADDRESS(870,12))+INDIRECT(ADDRESS(868,13))-INDIRECT(ADDRESS(869,13))</f>
        <v>0</v>
      </c>
      <c r="N870">
        <f>INDIRECT(ADDRESS(870,13))+INDIRECT(ADDRESS(868,14))-INDIRECT(ADDRESS(869,14))</f>
        <v>0</v>
      </c>
      <c r="O870">
        <f>INDIRECT(ADDRESS(870,14))+INDIRECT(ADDRESS(868,15))-INDIRECT(ADDRESS(869,15))</f>
        <v>0</v>
      </c>
      <c r="P870">
        <f>INDIRECT(ADDRESS(870,15))+INDIRECT(ADDRESS(868,16))-INDIRECT(ADDRESS(869,16))</f>
        <v>0</v>
      </c>
      <c r="Q870">
        <f>INDIRECT(ADDRESS(870,16))+INDIRECT(ADDRESS(868,17))-INDIRECT(ADDRESS(869,17))</f>
        <v>0</v>
      </c>
      <c r="R870">
        <f>INDIRECT(ADDRESS(870,17))+INDIRECT(ADDRESS(868,18))-INDIRECT(ADDRESS(869,18))</f>
        <v>0</v>
      </c>
      <c r="S870">
        <f>INDIRECT(ADDRESS(870,18))+INDIRECT(ADDRESS(868,19))-INDIRECT(ADDRESS(869,19))</f>
        <v>0</v>
      </c>
      <c r="T870">
        <f>INDIRECT(ADDRESS(870,19))+INDIRECT(ADDRESS(868,20))-INDIRECT(ADDRESS(869,20))</f>
        <v>0</v>
      </c>
      <c r="U870">
        <f>INDIRECT(ADDRESS(870,20))+INDIRECT(ADDRESS(868,21))-INDIRECT(ADDRESS(869,21))</f>
        <v>0</v>
      </c>
      <c r="V870">
        <f>INDIRECT(ADDRESS(870,21))+INDIRECT(ADDRESS(868,22))-INDIRECT(ADDRESS(869,22))</f>
        <v>0</v>
      </c>
      <c r="W870">
        <f>INDIRECT(ADDRESS(870,22))+INDIRECT(ADDRESS(868,23))-INDIRECT(ADDRESS(869,23))</f>
        <v>0</v>
      </c>
      <c r="X870">
        <f>INDIRECT(ADDRESS(870,23))+INDIRECT(ADDRESS(868,24))-INDIRECT(ADDRESS(869,24))</f>
        <v>0</v>
      </c>
      <c r="Y870">
        <f>INDIRECT(ADDRESS(870,24))+INDIRECT(ADDRESS(868,25))-INDIRECT(ADDRESS(869,25))</f>
        <v>0</v>
      </c>
      <c r="Z870">
        <f>INDIRECT(ADDRESS(870,25))+INDIRECT(ADDRESS(868,26))-INDIRECT(ADDRESS(869,26))</f>
        <v>0</v>
      </c>
      <c r="AA870">
        <f>INDIRECT(ADDRESS(870,26))+INDIRECT(ADDRESS(868,27))-INDIRECT(ADDRESS(869,27))</f>
        <v>0</v>
      </c>
      <c r="AB870">
        <f>INDIRECT(ADDRESS(870,27))+INDIRECT(ADDRESS(868,28))-INDIRECT(ADDRESS(869,28))</f>
        <v>0</v>
      </c>
      <c r="AC870">
        <f>INDIRECT(ADDRESS(870,28))+INDIRECT(ADDRESS(868,29))-INDIRECT(ADDRESS(869,29))</f>
        <v>0</v>
      </c>
      <c r="AD870">
        <f>INDIRECT(ADDRESS(870,29))+INDIRECT(ADDRESS(868,30))-INDIRECT(ADDRESS(869,30))</f>
        <v>0</v>
      </c>
      <c r="AE870">
        <f>INDIRECT(ADDRESS(870,30))+INDIRECT(ADDRESS(868,31))-INDIRECT(ADDRESS(869,31))</f>
        <v>0</v>
      </c>
      <c r="AF870">
        <f>INDIRECT(ADDRESS(870,31))+INDIRECT(ADDRESS(868,32))-INDIRECT(ADDRESS(869,32))</f>
        <v>0</v>
      </c>
      <c r="AG870">
        <f>INDIRECT(ADDRESS(870,32))+INDIRECT(ADDRESS(868,33))-INDIRECT(ADDRESS(869,33))</f>
        <v>0</v>
      </c>
      <c r="AH870">
        <f>INDIRECT(ADDRESS(870,33))+INDIRECT(ADDRESS(868,34))-INDIRECT(ADDRESS(869,34))</f>
        <v>0</v>
      </c>
      <c r="AI870">
        <f>INDIRECT(ADDRESS(870,34))+INDIRECT(ADDRESS(868,35))-INDIRECT(ADDRESS(869,35))</f>
        <v>0</v>
      </c>
      <c r="AJ870">
        <f>INDIRECT(ADDRESS(870,35))+INDIRECT(ADDRESS(868,36))-INDIRECT(ADDRESS(869,36))</f>
        <v>0</v>
      </c>
      <c r="AK870">
        <f>INDIRECT(ADDRESS(870,36))+INDIRECT(ADDRESS(868,37))-INDIRECT(ADDRESS(869,37))</f>
        <v>0</v>
      </c>
      <c r="AL870">
        <f>INDIRECT(ADDRESS(870,37))+INDIRECT(ADDRESS(868,38))-INDIRECT(ADDRESS(869,38))</f>
        <v>0</v>
      </c>
      <c r="AM870">
        <f>INDIRECT(ADDRESS(870,38))+INDIRECT(ADDRESS(868,39))-INDIRECT(ADDRESS(869,39))</f>
        <v>0</v>
      </c>
      <c r="AN870">
        <f>INDIRECT(ADDRESS(870,39))+INDIRECT(ADDRESS(868,40))-INDIRECT(ADDRESS(869,40))</f>
        <v>0</v>
      </c>
      <c r="AO870">
        <f>SUM(INDIRECT(ADDRESS(869,8)):INDIRECT(ADDRESS(869,39)))</f>
        <v>0</v>
      </c>
    </row>
    <row r="871" spans="1:41">
      <c r="A871" t="s">
        <v>185</v>
      </c>
      <c r="B871" t="s">
        <v>495</v>
      </c>
      <c r="C871" t="s">
        <v>496</v>
      </c>
      <c r="E871">
        <v>1</v>
      </c>
      <c r="I871" t="s">
        <v>177</v>
      </c>
    </row>
    <row r="872" spans="1:41">
      <c r="I872" t="s">
        <v>178</v>
      </c>
      <c r="J872">
        <f>IFERROR(VLOOKUP("921-059000-200",B:AB,1+8,0),0)</f>
        <v>0</v>
      </c>
      <c r="K872">
        <f>IFERROR(VLOOKUP("921-059000-200",B:AB,2+8,0),0)</f>
        <v>0</v>
      </c>
      <c r="L872">
        <f>IFERROR(VLOOKUP("921-059000-200",B:AB,3+8,0),0)</f>
        <v>0</v>
      </c>
      <c r="M872">
        <f>IFERROR(VLOOKUP("921-059000-200",B:AB,4+8,0),0)</f>
        <v>0</v>
      </c>
      <c r="N872">
        <f>IFERROR(VLOOKUP("921-059000-200",B:AB,5+8,0),0)</f>
        <v>0</v>
      </c>
      <c r="O872">
        <f>IFERROR(VLOOKUP("921-059000-200",B:AB,6+8,0),0)</f>
        <v>0</v>
      </c>
      <c r="P872">
        <f>IFERROR(VLOOKUP("921-059000-200",B:AB,7+8,0),0)</f>
        <v>0</v>
      </c>
      <c r="Q872">
        <f>IFERROR(VLOOKUP("921-059000-200",B:AB,8+8,0),0)</f>
        <v>0</v>
      </c>
      <c r="R872">
        <f>IFERROR(VLOOKUP("921-059000-200",B:AB,9+8,0),0)</f>
        <v>0</v>
      </c>
      <c r="S872">
        <f>IFERROR(VLOOKUP("921-059000-200",B:AB,10+8,0),0)</f>
        <v>0</v>
      </c>
      <c r="T872">
        <f>IFERROR(VLOOKUP("921-059000-200",B:AB,11+8,0),0)</f>
        <v>0</v>
      </c>
      <c r="U872">
        <f>IFERROR(VLOOKUP("921-059000-200",B:AB,12+8,0),0)</f>
        <v>0</v>
      </c>
      <c r="V872">
        <f>IFERROR(VLOOKUP("921-059000-200",B:AB,13+8,0),0)</f>
        <v>0</v>
      </c>
      <c r="W872">
        <f>IFERROR(VLOOKUP("921-059000-200",B:AB,14+8,0),0)</f>
        <v>0</v>
      </c>
      <c r="X872">
        <f>IFERROR(VLOOKUP("921-059000-200",B:AB,15+8,0),0)</f>
        <v>0</v>
      </c>
      <c r="Y872">
        <f>IFERROR(VLOOKUP("921-059000-200",B:AB,16+8,0),0)</f>
        <v>0</v>
      </c>
      <c r="Z872">
        <f>IFERROR(VLOOKUP("921-059000-200",B:AB,17+8,0),0)</f>
        <v>0</v>
      </c>
      <c r="AA872">
        <f>IFERROR(VLOOKUP("921-059000-200",B:AB,18+8,0),0)</f>
        <v>0</v>
      </c>
      <c r="AB872">
        <f>IFERROR(VLOOKUP("921-059000-200",B:AB,19+8,0),0)</f>
        <v>0</v>
      </c>
      <c r="AC872">
        <f>IFERROR(VLOOKUP("921-059000-200",B:AB,20+8,0),0)</f>
        <v>0</v>
      </c>
      <c r="AD872">
        <f>IFERROR(VLOOKUP("921-059000-200",B:AB,21+8,0),0)</f>
        <v>0</v>
      </c>
      <c r="AE872">
        <f>IFERROR(VLOOKUP("921-059000-200",B:AB,22+8,0),0)</f>
        <v>0</v>
      </c>
      <c r="AF872">
        <f>IFERROR(VLOOKUP("921-059000-200",B:AB,23+8,0),0)</f>
        <v>0</v>
      </c>
      <c r="AG872">
        <f>IFERROR(VLOOKUP("921-059000-200",B:AB,24+8,0),0)</f>
        <v>0</v>
      </c>
      <c r="AH872">
        <f>IFERROR(VLOOKUP("921-059000-200",B:AB,25+8,0),0)</f>
        <v>0</v>
      </c>
      <c r="AI872">
        <f>IFERROR(VLOOKUP("921-059000-200",B:AB,26+8,0),0)</f>
        <v>0</v>
      </c>
      <c r="AJ872">
        <f>IFERROR(VLOOKUP("921-059000-200",B:AB,27+8,0),0)</f>
        <v>0</v>
      </c>
      <c r="AK872">
        <f>IFERROR(VLOOKUP("921-059000-200",B:AB,28+8,0),0)</f>
        <v>0</v>
      </c>
      <c r="AL872">
        <f>IFERROR(VLOOKUP("921-059000-200",B:AB,29+8,0),0)</f>
        <v>0</v>
      </c>
      <c r="AM872">
        <f>IFERROR(VLOOKUP("921-059000-200",B:AB,30+8,0),0)</f>
        <v>0</v>
      </c>
      <c r="AN872">
        <f>IFERROR(VLOOKUP("921-059000-200",B:AB,31+8,0),0)</f>
        <v>0</v>
      </c>
      <c r="AO872">
        <f>SUN(INDIRECT(ADDRESS(871,8)):INDIRECT(ADDRESS(871,39)))</f>
        <v>0</v>
      </c>
    </row>
    <row r="873" spans="1:41">
      <c r="H873" t="s">
        <v>179</v>
      </c>
      <c r="J873">
        <f>INDIRECT(ADDRESS(873,9))+INDIRECT(ADDRESS(871,10))-INDIRECT(ADDRESS(872,10))</f>
        <v>0</v>
      </c>
      <c r="K873">
        <f>INDIRECT(ADDRESS(873,10))+INDIRECT(ADDRESS(871,11))-INDIRECT(ADDRESS(872,11))</f>
        <v>0</v>
      </c>
      <c r="L873">
        <f>INDIRECT(ADDRESS(873,11))+INDIRECT(ADDRESS(871,12))-INDIRECT(ADDRESS(872,12))</f>
        <v>0</v>
      </c>
      <c r="M873">
        <f>INDIRECT(ADDRESS(873,12))+INDIRECT(ADDRESS(871,13))-INDIRECT(ADDRESS(872,13))</f>
        <v>0</v>
      </c>
      <c r="N873">
        <f>INDIRECT(ADDRESS(873,13))+INDIRECT(ADDRESS(871,14))-INDIRECT(ADDRESS(872,14))</f>
        <v>0</v>
      </c>
      <c r="O873">
        <f>INDIRECT(ADDRESS(873,14))+INDIRECT(ADDRESS(871,15))-INDIRECT(ADDRESS(872,15))</f>
        <v>0</v>
      </c>
      <c r="P873">
        <f>INDIRECT(ADDRESS(873,15))+INDIRECT(ADDRESS(871,16))-INDIRECT(ADDRESS(872,16))</f>
        <v>0</v>
      </c>
      <c r="Q873">
        <f>INDIRECT(ADDRESS(873,16))+INDIRECT(ADDRESS(871,17))-INDIRECT(ADDRESS(872,17))</f>
        <v>0</v>
      </c>
      <c r="R873">
        <f>INDIRECT(ADDRESS(873,17))+INDIRECT(ADDRESS(871,18))-INDIRECT(ADDRESS(872,18))</f>
        <v>0</v>
      </c>
      <c r="S873">
        <f>INDIRECT(ADDRESS(873,18))+INDIRECT(ADDRESS(871,19))-INDIRECT(ADDRESS(872,19))</f>
        <v>0</v>
      </c>
      <c r="T873">
        <f>INDIRECT(ADDRESS(873,19))+INDIRECT(ADDRESS(871,20))-INDIRECT(ADDRESS(872,20))</f>
        <v>0</v>
      </c>
      <c r="U873">
        <f>INDIRECT(ADDRESS(873,20))+INDIRECT(ADDRESS(871,21))-INDIRECT(ADDRESS(872,21))</f>
        <v>0</v>
      </c>
      <c r="V873">
        <f>INDIRECT(ADDRESS(873,21))+INDIRECT(ADDRESS(871,22))-INDIRECT(ADDRESS(872,22))</f>
        <v>0</v>
      </c>
      <c r="W873">
        <f>INDIRECT(ADDRESS(873,22))+INDIRECT(ADDRESS(871,23))-INDIRECT(ADDRESS(872,23))</f>
        <v>0</v>
      </c>
      <c r="X873">
        <f>INDIRECT(ADDRESS(873,23))+INDIRECT(ADDRESS(871,24))-INDIRECT(ADDRESS(872,24))</f>
        <v>0</v>
      </c>
      <c r="Y873">
        <f>INDIRECT(ADDRESS(873,24))+INDIRECT(ADDRESS(871,25))-INDIRECT(ADDRESS(872,25))</f>
        <v>0</v>
      </c>
      <c r="Z873">
        <f>INDIRECT(ADDRESS(873,25))+INDIRECT(ADDRESS(871,26))-INDIRECT(ADDRESS(872,26))</f>
        <v>0</v>
      </c>
      <c r="AA873">
        <f>INDIRECT(ADDRESS(873,26))+INDIRECT(ADDRESS(871,27))-INDIRECT(ADDRESS(872,27))</f>
        <v>0</v>
      </c>
      <c r="AB873">
        <f>INDIRECT(ADDRESS(873,27))+INDIRECT(ADDRESS(871,28))-INDIRECT(ADDRESS(872,28))</f>
        <v>0</v>
      </c>
      <c r="AC873">
        <f>INDIRECT(ADDRESS(873,28))+INDIRECT(ADDRESS(871,29))-INDIRECT(ADDRESS(872,29))</f>
        <v>0</v>
      </c>
      <c r="AD873">
        <f>INDIRECT(ADDRESS(873,29))+INDIRECT(ADDRESS(871,30))-INDIRECT(ADDRESS(872,30))</f>
        <v>0</v>
      </c>
      <c r="AE873">
        <f>INDIRECT(ADDRESS(873,30))+INDIRECT(ADDRESS(871,31))-INDIRECT(ADDRESS(872,31))</f>
        <v>0</v>
      </c>
      <c r="AF873">
        <f>INDIRECT(ADDRESS(873,31))+INDIRECT(ADDRESS(871,32))-INDIRECT(ADDRESS(872,32))</f>
        <v>0</v>
      </c>
      <c r="AG873">
        <f>INDIRECT(ADDRESS(873,32))+INDIRECT(ADDRESS(871,33))-INDIRECT(ADDRESS(872,33))</f>
        <v>0</v>
      </c>
      <c r="AH873">
        <f>INDIRECT(ADDRESS(873,33))+INDIRECT(ADDRESS(871,34))-INDIRECT(ADDRESS(872,34))</f>
        <v>0</v>
      </c>
      <c r="AI873">
        <f>INDIRECT(ADDRESS(873,34))+INDIRECT(ADDRESS(871,35))-INDIRECT(ADDRESS(872,35))</f>
        <v>0</v>
      </c>
      <c r="AJ873">
        <f>INDIRECT(ADDRESS(873,35))+INDIRECT(ADDRESS(871,36))-INDIRECT(ADDRESS(872,36))</f>
        <v>0</v>
      </c>
      <c r="AK873">
        <f>INDIRECT(ADDRESS(873,36))+INDIRECT(ADDRESS(871,37))-INDIRECT(ADDRESS(872,37))</f>
        <v>0</v>
      </c>
      <c r="AL873">
        <f>INDIRECT(ADDRESS(873,37))+INDIRECT(ADDRESS(871,38))-INDIRECT(ADDRESS(872,38))</f>
        <v>0</v>
      </c>
      <c r="AM873">
        <f>INDIRECT(ADDRESS(873,38))+INDIRECT(ADDRESS(871,39))-INDIRECT(ADDRESS(872,39))</f>
        <v>0</v>
      </c>
      <c r="AN873">
        <f>INDIRECT(ADDRESS(873,39))+INDIRECT(ADDRESS(871,40))-INDIRECT(ADDRESS(872,40))</f>
        <v>0</v>
      </c>
      <c r="AO873">
        <f>SUM(INDIRECT(ADDRESS(872,8)):INDIRECT(ADDRESS(872,39)))</f>
        <v>0</v>
      </c>
    </row>
    <row r="874" spans="1:41">
      <c r="A874" t="s">
        <v>185</v>
      </c>
      <c r="B874" t="s">
        <v>497</v>
      </c>
      <c r="C874" t="s">
        <v>498</v>
      </c>
      <c r="E874">
        <v>1</v>
      </c>
      <c r="I874" t="s">
        <v>177</v>
      </c>
    </row>
    <row r="875" spans="1:41">
      <c r="I875" t="s">
        <v>178</v>
      </c>
      <c r="J875">
        <f>IFERROR(VLOOKUP("921-059000-200",B:AB,1+8,0),0)</f>
        <v>0</v>
      </c>
      <c r="K875">
        <f>IFERROR(VLOOKUP("921-059000-200",B:AB,2+8,0),0)</f>
        <v>0</v>
      </c>
      <c r="L875">
        <f>IFERROR(VLOOKUP("921-059000-200",B:AB,3+8,0),0)</f>
        <v>0</v>
      </c>
      <c r="M875">
        <f>IFERROR(VLOOKUP("921-059000-200",B:AB,4+8,0),0)</f>
        <v>0</v>
      </c>
      <c r="N875">
        <f>IFERROR(VLOOKUP("921-059000-200",B:AB,5+8,0),0)</f>
        <v>0</v>
      </c>
      <c r="O875">
        <f>IFERROR(VLOOKUP("921-059000-200",B:AB,6+8,0),0)</f>
        <v>0</v>
      </c>
      <c r="P875">
        <f>IFERROR(VLOOKUP("921-059000-200",B:AB,7+8,0),0)</f>
        <v>0</v>
      </c>
      <c r="Q875">
        <f>IFERROR(VLOOKUP("921-059000-200",B:AB,8+8,0),0)</f>
        <v>0</v>
      </c>
      <c r="R875">
        <f>IFERROR(VLOOKUP("921-059000-200",B:AB,9+8,0),0)</f>
        <v>0</v>
      </c>
      <c r="S875">
        <f>IFERROR(VLOOKUP("921-059000-200",B:AB,10+8,0),0)</f>
        <v>0</v>
      </c>
      <c r="T875">
        <f>IFERROR(VLOOKUP("921-059000-200",B:AB,11+8,0),0)</f>
        <v>0</v>
      </c>
      <c r="U875">
        <f>IFERROR(VLOOKUP("921-059000-200",B:AB,12+8,0),0)</f>
        <v>0</v>
      </c>
      <c r="V875">
        <f>IFERROR(VLOOKUP("921-059000-200",B:AB,13+8,0),0)</f>
        <v>0</v>
      </c>
      <c r="W875">
        <f>IFERROR(VLOOKUP("921-059000-200",B:AB,14+8,0),0)</f>
        <v>0</v>
      </c>
      <c r="X875">
        <f>IFERROR(VLOOKUP("921-059000-200",B:AB,15+8,0),0)</f>
        <v>0</v>
      </c>
      <c r="Y875">
        <f>IFERROR(VLOOKUP("921-059000-200",B:AB,16+8,0),0)</f>
        <v>0</v>
      </c>
      <c r="Z875">
        <f>IFERROR(VLOOKUP("921-059000-200",B:AB,17+8,0),0)</f>
        <v>0</v>
      </c>
      <c r="AA875">
        <f>IFERROR(VLOOKUP("921-059000-200",B:AB,18+8,0),0)</f>
        <v>0</v>
      </c>
      <c r="AB875">
        <f>IFERROR(VLOOKUP("921-059000-200",B:AB,19+8,0),0)</f>
        <v>0</v>
      </c>
      <c r="AC875">
        <f>IFERROR(VLOOKUP("921-059000-200",B:AB,20+8,0),0)</f>
        <v>0</v>
      </c>
      <c r="AD875">
        <f>IFERROR(VLOOKUP("921-059000-200",B:AB,21+8,0),0)</f>
        <v>0</v>
      </c>
      <c r="AE875">
        <f>IFERROR(VLOOKUP("921-059000-200",B:AB,22+8,0),0)</f>
        <v>0</v>
      </c>
      <c r="AF875">
        <f>IFERROR(VLOOKUP("921-059000-200",B:AB,23+8,0),0)</f>
        <v>0</v>
      </c>
      <c r="AG875">
        <f>IFERROR(VLOOKUP("921-059000-200",B:AB,24+8,0),0)</f>
        <v>0</v>
      </c>
      <c r="AH875">
        <f>IFERROR(VLOOKUP("921-059000-200",B:AB,25+8,0),0)</f>
        <v>0</v>
      </c>
      <c r="AI875">
        <f>IFERROR(VLOOKUP("921-059000-200",B:AB,26+8,0),0)</f>
        <v>0</v>
      </c>
      <c r="AJ875">
        <f>IFERROR(VLOOKUP("921-059000-200",B:AB,27+8,0),0)</f>
        <v>0</v>
      </c>
      <c r="AK875">
        <f>IFERROR(VLOOKUP("921-059000-200",B:AB,28+8,0),0)</f>
        <v>0</v>
      </c>
      <c r="AL875">
        <f>IFERROR(VLOOKUP("921-059000-200",B:AB,29+8,0),0)</f>
        <v>0</v>
      </c>
      <c r="AM875">
        <f>IFERROR(VLOOKUP("921-059000-200",B:AB,30+8,0),0)</f>
        <v>0</v>
      </c>
      <c r="AN875">
        <f>IFERROR(VLOOKUP("921-059000-200",B:AB,31+8,0),0)</f>
        <v>0</v>
      </c>
      <c r="AO875">
        <f>SUN(INDIRECT(ADDRESS(874,8)):INDIRECT(ADDRESS(874,39)))</f>
        <v>0</v>
      </c>
    </row>
    <row r="876" spans="1:41">
      <c r="H876" t="s">
        <v>179</v>
      </c>
      <c r="J876">
        <f>INDIRECT(ADDRESS(876,9))+INDIRECT(ADDRESS(874,10))-INDIRECT(ADDRESS(875,10))</f>
        <v>0</v>
      </c>
      <c r="K876">
        <f>INDIRECT(ADDRESS(876,10))+INDIRECT(ADDRESS(874,11))-INDIRECT(ADDRESS(875,11))</f>
        <v>0</v>
      </c>
      <c r="L876">
        <f>INDIRECT(ADDRESS(876,11))+INDIRECT(ADDRESS(874,12))-INDIRECT(ADDRESS(875,12))</f>
        <v>0</v>
      </c>
      <c r="M876">
        <f>INDIRECT(ADDRESS(876,12))+INDIRECT(ADDRESS(874,13))-INDIRECT(ADDRESS(875,13))</f>
        <v>0</v>
      </c>
      <c r="N876">
        <f>INDIRECT(ADDRESS(876,13))+INDIRECT(ADDRESS(874,14))-INDIRECT(ADDRESS(875,14))</f>
        <v>0</v>
      </c>
      <c r="O876">
        <f>INDIRECT(ADDRESS(876,14))+INDIRECT(ADDRESS(874,15))-INDIRECT(ADDRESS(875,15))</f>
        <v>0</v>
      </c>
      <c r="P876">
        <f>INDIRECT(ADDRESS(876,15))+INDIRECT(ADDRESS(874,16))-INDIRECT(ADDRESS(875,16))</f>
        <v>0</v>
      </c>
      <c r="Q876">
        <f>INDIRECT(ADDRESS(876,16))+INDIRECT(ADDRESS(874,17))-INDIRECT(ADDRESS(875,17))</f>
        <v>0</v>
      </c>
      <c r="R876">
        <f>INDIRECT(ADDRESS(876,17))+INDIRECT(ADDRESS(874,18))-INDIRECT(ADDRESS(875,18))</f>
        <v>0</v>
      </c>
      <c r="S876">
        <f>INDIRECT(ADDRESS(876,18))+INDIRECT(ADDRESS(874,19))-INDIRECT(ADDRESS(875,19))</f>
        <v>0</v>
      </c>
      <c r="T876">
        <f>INDIRECT(ADDRESS(876,19))+INDIRECT(ADDRESS(874,20))-INDIRECT(ADDRESS(875,20))</f>
        <v>0</v>
      </c>
      <c r="U876">
        <f>INDIRECT(ADDRESS(876,20))+INDIRECT(ADDRESS(874,21))-INDIRECT(ADDRESS(875,21))</f>
        <v>0</v>
      </c>
      <c r="V876">
        <f>INDIRECT(ADDRESS(876,21))+INDIRECT(ADDRESS(874,22))-INDIRECT(ADDRESS(875,22))</f>
        <v>0</v>
      </c>
      <c r="W876">
        <f>INDIRECT(ADDRESS(876,22))+INDIRECT(ADDRESS(874,23))-INDIRECT(ADDRESS(875,23))</f>
        <v>0</v>
      </c>
      <c r="X876">
        <f>INDIRECT(ADDRESS(876,23))+INDIRECT(ADDRESS(874,24))-INDIRECT(ADDRESS(875,24))</f>
        <v>0</v>
      </c>
      <c r="Y876">
        <f>INDIRECT(ADDRESS(876,24))+INDIRECT(ADDRESS(874,25))-INDIRECT(ADDRESS(875,25))</f>
        <v>0</v>
      </c>
      <c r="Z876">
        <f>INDIRECT(ADDRESS(876,25))+INDIRECT(ADDRESS(874,26))-INDIRECT(ADDRESS(875,26))</f>
        <v>0</v>
      </c>
      <c r="AA876">
        <f>INDIRECT(ADDRESS(876,26))+INDIRECT(ADDRESS(874,27))-INDIRECT(ADDRESS(875,27))</f>
        <v>0</v>
      </c>
      <c r="AB876">
        <f>INDIRECT(ADDRESS(876,27))+INDIRECT(ADDRESS(874,28))-INDIRECT(ADDRESS(875,28))</f>
        <v>0</v>
      </c>
      <c r="AC876">
        <f>INDIRECT(ADDRESS(876,28))+INDIRECT(ADDRESS(874,29))-INDIRECT(ADDRESS(875,29))</f>
        <v>0</v>
      </c>
      <c r="AD876">
        <f>INDIRECT(ADDRESS(876,29))+INDIRECT(ADDRESS(874,30))-INDIRECT(ADDRESS(875,30))</f>
        <v>0</v>
      </c>
      <c r="AE876">
        <f>INDIRECT(ADDRESS(876,30))+INDIRECT(ADDRESS(874,31))-INDIRECT(ADDRESS(875,31))</f>
        <v>0</v>
      </c>
      <c r="AF876">
        <f>INDIRECT(ADDRESS(876,31))+INDIRECT(ADDRESS(874,32))-INDIRECT(ADDRESS(875,32))</f>
        <v>0</v>
      </c>
      <c r="AG876">
        <f>INDIRECT(ADDRESS(876,32))+INDIRECT(ADDRESS(874,33))-INDIRECT(ADDRESS(875,33))</f>
        <v>0</v>
      </c>
      <c r="AH876">
        <f>INDIRECT(ADDRESS(876,33))+INDIRECT(ADDRESS(874,34))-INDIRECT(ADDRESS(875,34))</f>
        <v>0</v>
      </c>
      <c r="AI876">
        <f>INDIRECT(ADDRESS(876,34))+INDIRECT(ADDRESS(874,35))-INDIRECT(ADDRESS(875,35))</f>
        <v>0</v>
      </c>
      <c r="AJ876">
        <f>INDIRECT(ADDRESS(876,35))+INDIRECT(ADDRESS(874,36))-INDIRECT(ADDRESS(875,36))</f>
        <v>0</v>
      </c>
      <c r="AK876">
        <f>INDIRECT(ADDRESS(876,36))+INDIRECT(ADDRESS(874,37))-INDIRECT(ADDRESS(875,37))</f>
        <v>0</v>
      </c>
      <c r="AL876">
        <f>INDIRECT(ADDRESS(876,37))+INDIRECT(ADDRESS(874,38))-INDIRECT(ADDRESS(875,38))</f>
        <v>0</v>
      </c>
      <c r="AM876">
        <f>INDIRECT(ADDRESS(876,38))+INDIRECT(ADDRESS(874,39))-INDIRECT(ADDRESS(875,39))</f>
        <v>0</v>
      </c>
      <c r="AN876">
        <f>INDIRECT(ADDRESS(876,39))+INDIRECT(ADDRESS(874,40))-INDIRECT(ADDRESS(875,40))</f>
        <v>0</v>
      </c>
      <c r="AO876">
        <f>SUM(INDIRECT(ADDRESS(875,8)):INDIRECT(ADDRESS(875,39)))</f>
        <v>0</v>
      </c>
    </row>
    <row r="877" spans="1:41">
      <c r="A877" t="s">
        <v>185</v>
      </c>
      <c r="B877" t="s">
        <v>499</v>
      </c>
      <c r="C877" t="s">
        <v>500</v>
      </c>
      <c r="E877">
        <v>1</v>
      </c>
      <c r="I877" t="s">
        <v>177</v>
      </c>
    </row>
    <row r="878" spans="1:41">
      <c r="I878" t="s">
        <v>178</v>
      </c>
      <c r="J878">
        <f>IFERROR(VLOOKUP("921-059000-200",B:AB,1+8,0),0)</f>
        <v>0</v>
      </c>
      <c r="K878">
        <f>IFERROR(VLOOKUP("921-059000-200",B:AB,2+8,0),0)</f>
        <v>0</v>
      </c>
      <c r="L878">
        <f>IFERROR(VLOOKUP("921-059000-200",B:AB,3+8,0),0)</f>
        <v>0</v>
      </c>
      <c r="M878">
        <f>IFERROR(VLOOKUP("921-059000-200",B:AB,4+8,0),0)</f>
        <v>0</v>
      </c>
      <c r="N878">
        <f>IFERROR(VLOOKUP("921-059000-200",B:AB,5+8,0),0)</f>
        <v>0</v>
      </c>
      <c r="O878">
        <f>IFERROR(VLOOKUP("921-059000-200",B:AB,6+8,0),0)</f>
        <v>0</v>
      </c>
      <c r="P878">
        <f>IFERROR(VLOOKUP("921-059000-200",B:AB,7+8,0),0)</f>
        <v>0</v>
      </c>
      <c r="Q878">
        <f>IFERROR(VLOOKUP("921-059000-200",B:AB,8+8,0),0)</f>
        <v>0</v>
      </c>
      <c r="R878">
        <f>IFERROR(VLOOKUP("921-059000-200",B:AB,9+8,0),0)</f>
        <v>0</v>
      </c>
      <c r="S878">
        <f>IFERROR(VLOOKUP("921-059000-200",B:AB,10+8,0),0)</f>
        <v>0</v>
      </c>
      <c r="T878">
        <f>IFERROR(VLOOKUP("921-059000-200",B:AB,11+8,0),0)</f>
        <v>0</v>
      </c>
      <c r="U878">
        <f>IFERROR(VLOOKUP("921-059000-200",B:AB,12+8,0),0)</f>
        <v>0</v>
      </c>
      <c r="V878">
        <f>IFERROR(VLOOKUP("921-059000-200",B:AB,13+8,0),0)</f>
        <v>0</v>
      </c>
      <c r="W878">
        <f>IFERROR(VLOOKUP("921-059000-200",B:AB,14+8,0),0)</f>
        <v>0</v>
      </c>
      <c r="X878">
        <f>IFERROR(VLOOKUP("921-059000-200",B:AB,15+8,0),0)</f>
        <v>0</v>
      </c>
      <c r="Y878">
        <f>IFERROR(VLOOKUP("921-059000-200",B:AB,16+8,0),0)</f>
        <v>0</v>
      </c>
      <c r="Z878">
        <f>IFERROR(VLOOKUP("921-059000-200",B:AB,17+8,0),0)</f>
        <v>0</v>
      </c>
      <c r="AA878">
        <f>IFERROR(VLOOKUP("921-059000-200",B:AB,18+8,0),0)</f>
        <v>0</v>
      </c>
      <c r="AB878">
        <f>IFERROR(VLOOKUP("921-059000-200",B:AB,19+8,0),0)</f>
        <v>0</v>
      </c>
      <c r="AC878">
        <f>IFERROR(VLOOKUP("921-059000-200",B:AB,20+8,0),0)</f>
        <v>0</v>
      </c>
      <c r="AD878">
        <f>IFERROR(VLOOKUP("921-059000-200",B:AB,21+8,0),0)</f>
        <v>0</v>
      </c>
      <c r="AE878">
        <f>IFERROR(VLOOKUP("921-059000-200",B:AB,22+8,0),0)</f>
        <v>0</v>
      </c>
      <c r="AF878">
        <f>IFERROR(VLOOKUP("921-059000-200",B:AB,23+8,0),0)</f>
        <v>0</v>
      </c>
      <c r="AG878">
        <f>IFERROR(VLOOKUP("921-059000-200",B:AB,24+8,0),0)</f>
        <v>0</v>
      </c>
      <c r="AH878">
        <f>IFERROR(VLOOKUP("921-059000-200",B:AB,25+8,0),0)</f>
        <v>0</v>
      </c>
      <c r="AI878">
        <f>IFERROR(VLOOKUP("921-059000-200",B:AB,26+8,0),0)</f>
        <v>0</v>
      </c>
      <c r="AJ878">
        <f>IFERROR(VLOOKUP("921-059000-200",B:AB,27+8,0),0)</f>
        <v>0</v>
      </c>
      <c r="AK878">
        <f>IFERROR(VLOOKUP("921-059000-200",B:AB,28+8,0),0)</f>
        <v>0</v>
      </c>
      <c r="AL878">
        <f>IFERROR(VLOOKUP("921-059000-200",B:AB,29+8,0),0)</f>
        <v>0</v>
      </c>
      <c r="AM878">
        <f>IFERROR(VLOOKUP("921-059000-200",B:AB,30+8,0),0)</f>
        <v>0</v>
      </c>
      <c r="AN878">
        <f>IFERROR(VLOOKUP("921-059000-200",B:AB,31+8,0),0)</f>
        <v>0</v>
      </c>
      <c r="AO878">
        <f>SUN(INDIRECT(ADDRESS(877,8)):INDIRECT(ADDRESS(877,39)))</f>
        <v>0</v>
      </c>
    </row>
    <row r="879" spans="1:41">
      <c r="H879" t="s">
        <v>179</v>
      </c>
      <c r="J879">
        <f>INDIRECT(ADDRESS(879,9))+INDIRECT(ADDRESS(877,10))-INDIRECT(ADDRESS(878,10))</f>
        <v>0</v>
      </c>
      <c r="K879">
        <f>INDIRECT(ADDRESS(879,10))+INDIRECT(ADDRESS(877,11))-INDIRECT(ADDRESS(878,11))</f>
        <v>0</v>
      </c>
      <c r="L879">
        <f>INDIRECT(ADDRESS(879,11))+INDIRECT(ADDRESS(877,12))-INDIRECT(ADDRESS(878,12))</f>
        <v>0</v>
      </c>
      <c r="M879">
        <f>INDIRECT(ADDRESS(879,12))+INDIRECT(ADDRESS(877,13))-INDIRECT(ADDRESS(878,13))</f>
        <v>0</v>
      </c>
      <c r="N879">
        <f>INDIRECT(ADDRESS(879,13))+INDIRECT(ADDRESS(877,14))-INDIRECT(ADDRESS(878,14))</f>
        <v>0</v>
      </c>
      <c r="O879">
        <f>INDIRECT(ADDRESS(879,14))+INDIRECT(ADDRESS(877,15))-INDIRECT(ADDRESS(878,15))</f>
        <v>0</v>
      </c>
      <c r="P879">
        <f>INDIRECT(ADDRESS(879,15))+INDIRECT(ADDRESS(877,16))-INDIRECT(ADDRESS(878,16))</f>
        <v>0</v>
      </c>
      <c r="Q879">
        <f>INDIRECT(ADDRESS(879,16))+INDIRECT(ADDRESS(877,17))-INDIRECT(ADDRESS(878,17))</f>
        <v>0</v>
      </c>
      <c r="R879">
        <f>INDIRECT(ADDRESS(879,17))+INDIRECT(ADDRESS(877,18))-INDIRECT(ADDRESS(878,18))</f>
        <v>0</v>
      </c>
      <c r="S879">
        <f>INDIRECT(ADDRESS(879,18))+INDIRECT(ADDRESS(877,19))-INDIRECT(ADDRESS(878,19))</f>
        <v>0</v>
      </c>
      <c r="T879">
        <f>INDIRECT(ADDRESS(879,19))+INDIRECT(ADDRESS(877,20))-INDIRECT(ADDRESS(878,20))</f>
        <v>0</v>
      </c>
      <c r="U879">
        <f>INDIRECT(ADDRESS(879,20))+INDIRECT(ADDRESS(877,21))-INDIRECT(ADDRESS(878,21))</f>
        <v>0</v>
      </c>
      <c r="V879">
        <f>INDIRECT(ADDRESS(879,21))+INDIRECT(ADDRESS(877,22))-INDIRECT(ADDRESS(878,22))</f>
        <v>0</v>
      </c>
      <c r="W879">
        <f>INDIRECT(ADDRESS(879,22))+INDIRECT(ADDRESS(877,23))-INDIRECT(ADDRESS(878,23))</f>
        <v>0</v>
      </c>
      <c r="X879">
        <f>INDIRECT(ADDRESS(879,23))+INDIRECT(ADDRESS(877,24))-INDIRECT(ADDRESS(878,24))</f>
        <v>0</v>
      </c>
      <c r="Y879">
        <f>INDIRECT(ADDRESS(879,24))+INDIRECT(ADDRESS(877,25))-INDIRECT(ADDRESS(878,25))</f>
        <v>0</v>
      </c>
      <c r="Z879">
        <f>INDIRECT(ADDRESS(879,25))+INDIRECT(ADDRESS(877,26))-INDIRECT(ADDRESS(878,26))</f>
        <v>0</v>
      </c>
      <c r="AA879">
        <f>INDIRECT(ADDRESS(879,26))+INDIRECT(ADDRESS(877,27))-INDIRECT(ADDRESS(878,27))</f>
        <v>0</v>
      </c>
      <c r="AB879">
        <f>INDIRECT(ADDRESS(879,27))+INDIRECT(ADDRESS(877,28))-INDIRECT(ADDRESS(878,28))</f>
        <v>0</v>
      </c>
      <c r="AC879">
        <f>INDIRECT(ADDRESS(879,28))+INDIRECT(ADDRESS(877,29))-INDIRECT(ADDRESS(878,29))</f>
        <v>0</v>
      </c>
      <c r="AD879">
        <f>INDIRECT(ADDRESS(879,29))+INDIRECT(ADDRESS(877,30))-INDIRECT(ADDRESS(878,30))</f>
        <v>0</v>
      </c>
      <c r="AE879">
        <f>INDIRECT(ADDRESS(879,30))+INDIRECT(ADDRESS(877,31))-INDIRECT(ADDRESS(878,31))</f>
        <v>0</v>
      </c>
      <c r="AF879">
        <f>INDIRECT(ADDRESS(879,31))+INDIRECT(ADDRESS(877,32))-INDIRECT(ADDRESS(878,32))</f>
        <v>0</v>
      </c>
      <c r="AG879">
        <f>INDIRECT(ADDRESS(879,32))+INDIRECT(ADDRESS(877,33))-INDIRECT(ADDRESS(878,33))</f>
        <v>0</v>
      </c>
      <c r="AH879">
        <f>INDIRECT(ADDRESS(879,33))+INDIRECT(ADDRESS(877,34))-INDIRECT(ADDRESS(878,34))</f>
        <v>0</v>
      </c>
      <c r="AI879">
        <f>INDIRECT(ADDRESS(879,34))+INDIRECT(ADDRESS(877,35))-INDIRECT(ADDRESS(878,35))</f>
        <v>0</v>
      </c>
      <c r="AJ879">
        <f>INDIRECT(ADDRESS(879,35))+INDIRECT(ADDRESS(877,36))-INDIRECT(ADDRESS(878,36))</f>
        <v>0</v>
      </c>
      <c r="AK879">
        <f>INDIRECT(ADDRESS(879,36))+INDIRECT(ADDRESS(877,37))-INDIRECT(ADDRESS(878,37))</f>
        <v>0</v>
      </c>
      <c r="AL879">
        <f>INDIRECT(ADDRESS(879,37))+INDIRECT(ADDRESS(877,38))-INDIRECT(ADDRESS(878,38))</f>
        <v>0</v>
      </c>
      <c r="AM879">
        <f>INDIRECT(ADDRESS(879,38))+INDIRECT(ADDRESS(877,39))-INDIRECT(ADDRESS(878,39))</f>
        <v>0</v>
      </c>
      <c r="AN879">
        <f>INDIRECT(ADDRESS(879,39))+INDIRECT(ADDRESS(877,40))-INDIRECT(ADDRESS(878,40))</f>
        <v>0</v>
      </c>
      <c r="AO879">
        <f>SUM(INDIRECT(ADDRESS(878,8)):INDIRECT(ADDRESS(878,39)))</f>
        <v>0</v>
      </c>
    </row>
    <row r="880" spans="1:41">
      <c r="A880" t="s">
        <v>206</v>
      </c>
      <c r="B880" t="s">
        <v>499</v>
      </c>
      <c r="C880" t="s">
        <v>500</v>
      </c>
      <c r="E880">
        <v>1</v>
      </c>
      <c r="I880" t="s">
        <v>177</v>
      </c>
    </row>
    <row r="881" spans="1:41">
      <c r="I881" t="s">
        <v>178</v>
      </c>
      <c r="J881">
        <f>IFERROR(VLOOKUP("921-059000-200",B:AB,1+8,0),0)</f>
        <v>0</v>
      </c>
      <c r="K881">
        <f>IFERROR(VLOOKUP("921-059000-200",B:AB,2+8,0),0)</f>
        <v>0</v>
      </c>
      <c r="L881">
        <f>IFERROR(VLOOKUP("921-059000-200",B:AB,3+8,0),0)</f>
        <v>0</v>
      </c>
      <c r="M881">
        <f>IFERROR(VLOOKUP("921-059000-200",B:AB,4+8,0),0)</f>
        <v>0</v>
      </c>
      <c r="N881">
        <f>IFERROR(VLOOKUP("921-059000-200",B:AB,5+8,0),0)</f>
        <v>0</v>
      </c>
      <c r="O881">
        <f>IFERROR(VLOOKUP("921-059000-200",B:AB,6+8,0),0)</f>
        <v>0</v>
      </c>
      <c r="P881">
        <f>IFERROR(VLOOKUP("921-059000-200",B:AB,7+8,0),0)</f>
        <v>0</v>
      </c>
      <c r="Q881">
        <f>IFERROR(VLOOKUP("921-059000-200",B:AB,8+8,0),0)</f>
        <v>0</v>
      </c>
      <c r="R881">
        <f>IFERROR(VLOOKUP("921-059000-200",B:AB,9+8,0),0)</f>
        <v>0</v>
      </c>
      <c r="S881">
        <f>IFERROR(VLOOKUP("921-059000-200",B:AB,10+8,0),0)</f>
        <v>0</v>
      </c>
      <c r="T881">
        <f>IFERROR(VLOOKUP("921-059000-200",B:AB,11+8,0),0)</f>
        <v>0</v>
      </c>
      <c r="U881">
        <f>IFERROR(VLOOKUP("921-059000-200",B:AB,12+8,0),0)</f>
        <v>0</v>
      </c>
      <c r="V881">
        <f>IFERROR(VLOOKUP("921-059000-200",B:AB,13+8,0),0)</f>
        <v>0</v>
      </c>
      <c r="W881">
        <f>IFERROR(VLOOKUP("921-059000-200",B:AB,14+8,0),0)</f>
        <v>0</v>
      </c>
      <c r="X881">
        <f>IFERROR(VLOOKUP("921-059000-200",B:AB,15+8,0),0)</f>
        <v>0</v>
      </c>
      <c r="Y881">
        <f>IFERROR(VLOOKUP("921-059000-200",B:AB,16+8,0),0)</f>
        <v>0</v>
      </c>
      <c r="Z881">
        <f>IFERROR(VLOOKUP("921-059000-200",B:AB,17+8,0),0)</f>
        <v>0</v>
      </c>
      <c r="AA881">
        <f>IFERROR(VLOOKUP("921-059000-200",B:AB,18+8,0),0)</f>
        <v>0</v>
      </c>
      <c r="AB881">
        <f>IFERROR(VLOOKUP("921-059000-200",B:AB,19+8,0),0)</f>
        <v>0</v>
      </c>
      <c r="AC881">
        <f>IFERROR(VLOOKUP("921-059000-200",B:AB,20+8,0),0)</f>
        <v>0</v>
      </c>
      <c r="AD881">
        <f>IFERROR(VLOOKUP("921-059000-200",B:AB,21+8,0),0)</f>
        <v>0</v>
      </c>
      <c r="AE881">
        <f>IFERROR(VLOOKUP("921-059000-200",B:AB,22+8,0),0)</f>
        <v>0</v>
      </c>
      <c r="AF881">
        <f>IFERROR(VLOOKUP("921-059000-200",B:AB,23+8,0),0)</f>
        <v>0</v>
      </c>
      <c r="AG881">
        <f>IFERROR(VLOOKUP("921-059000-200",B:AB,24+8,0),0)</f>
        <v>0</v>
      </c>
      <c r="AH881">
        <f>IFERROR(VLOOKUP("921-059000-200",B:AB,25+8,0),0)</f>
        <v>0</v>
      </c>
      <c r="AI881">
        <f>IFERROR(VLOOKUP("921-059000-200",B:AB,26+8,0),0)</f>
        <v>0</v>
      </c>
      <c r="AJ881">
        <f>IFERROR(VLOOKUP("921-059000-200",B:AB,27+8,0),0)</f>
        <v>0</v>
      </c>
      <c r="AK881">
        <f>IFERROR(VLOOKUP("921-059000-200",B:AB,28+8,0),0)</f>
        <v>0</v>
      </c>
      <c r="AL881">
        <f>IFERROR(VLOOKUP("921-059000-200",B:AB,29+8,0),0)</f>
        <v>0</v>
      </c>
      <c r="AM881">
        <f>IFERROR(VLOOKUP("921-059000-200",B:AB,30+8,0),0)</f>
        <v>0</v>
      </c>
      <c r="AN881">
        <f>IFERROR(VLOOKUP("921-059000-200",B:AB,31+8,0),0)</f>
        <v>0</v>
      </c>
      <c r="AO881">
        <f>SUN(INDIRECT(ADDRESS(880,8)):INDIRECT(ADDRESS(880,39)))</f>
        <v>0</v>
      </c>
    </row>
    <row r="882" spans="1:41">
      <c r="H882" t="s">
        <v>179</v>
      </c>
      <c r="J882">
        <f>INDIRECT(ADDRESS(882,9))+INDIRECT(ADDRESS(880,10))-INDIRECT(ADDRESS(881,10))</f>
        <v>0</v>
      </c>
      <c r="K882">
        <f>INDIRECT(ADDRESS(882,10))+INDIRECT(ADDRESS(880,11))-INDIRECT(ADDRESS(881,11))</f>
        <v>0</v>
      </c>
      <c r="L882">
        <f>INDIRECT(ADDRESS(882,11))+INDIRECT(ADDRESS(880,12))-INDIRECT(ADDRESS(881,12))</f>
        <v>0</v>
      </c>
      <c r="M882">
        <f>INDIRECT(ADDRESS(882,12))+INDIRECT(ADDRESS(880,13))-INDIRECT(ADDRESS(881,13))</f>
        <v>0</v>
      </c>
      <c r="N882">
        <f>INDIRECT(ADDRESS(882,13))+INDIRECT(ADDRESS(880,14))-INDIRECT(ADDRESS(881,14))</f>
        <v>0</v>
      </c>
      <c r="O882">
        <f>INDIRECT(ADDRESS(882,14))+INDIRECT(ADDRESS(880,15))-INDIRECT(ADDRESS(881,15))</f>
        <v>0</v>
      </c>
      <c r="P882">
        <f>INDIRECT(ADDRESS(882,15))+INDIRECT(ADDRESS(880,16))-INDIRECT(ADDRESS(881,16))</f>
        <v>0</v>
      </c>
      <c r="Q882">
        <f>INDIRECT(ADDRESS(882,16))+INDIRECT(ADDRESS(880,17))-INDIRECT(ADDRESS(881,17))</f>
        <v>0</v>
      </c>
      <c r="R882">
        <f>INDIRECT(ADDRESS(882,17))+INDIRECT(ADDRESS(880,18))-INDIRECT(ADDRESS(881,18))</f>
        <v>0</v>
      </c>
      <c r="S882">
        <f>INDIRECT(ADDRESS(882,18))+INDIRECT(ADDRESS(880,19))-INDIRECT(ADDRESS(881,19))</f>
        <v>0</v>
      </c>
      <c r="T882">
        <f>INDIRECT(ADDRESS(882,19))+INDIRECT(ADDRESS(880,20))-INDIRECT(ADDRESS(881,20))</f>
        <v>0</v>
      </c>
      <c r="U882">
        <f>INDIRECT(ADDRESS(882,20))+INDIRECT(ADDRESS(880,21))-INDIRECT(ADDRESS(881,21))</f>
        <v>0</v>
      </c>
      <c r="V882">
        <f>INDIRECT(ADDRESS(882,21))+INDIRECT(ADDRESS(880,22))-INDIRECT(ADDRESS(881,22))</f>
        <v>0</v>
      </c>
      <c r="W882">
        <f>INDIRECT(ADDRESS(882,22))+INDIRECT(ADDRESS(880,23))-INDIRECT(ADDRESS(881,23))</f>
        <v>0</v>
      </c>
      <c r="X882">
        <f>INDIRECT(ADDRESS(882,23))+INDIRECT(ADDRESS(880,24))-INDIRECT(ADDRESS(881,24))</f>
        <v>0</v>
      </c>
      <c r="Y882">
        <f>INDIRECT(ADDRESS(882,24))+INDIRECT(ADDRESS(880,25))-INDIRECT(ADDRESS(881,25))</f>
        <v>0</v>
      </c>
      <c r="Z882">
        <f>INDIRECT(ADDRESS(882,25))+INDIRECT(ADDRESS(880,26))-INDIRECT(ADDRESS(881,26))</f>
        <v>0</v>
      </c>
      <c r="AA882">
        <f>INDIRECT(ADDRESS(882,26))+INDIRECT(ADDRESS(880,27))-INDIRECT(ADDRESS(881,27))</f>
        <v>0</v>
      </c>
      <c r="AB882">
        <f>INDIRECT(ADDRESS(882,27))+INDIRECT(ADDRESS(880,28))-INDIRECT(ADDRESS(881,28))</f>
        <v>0</v>
      </c>
      <c r="AC882">
        <f>INDIRECT(ADDRESS(882,28))+INDIRECT(ADDRESS(880,29))-INDIRECT(ADDRESS(881,29))</f>
        <v>0</v>
      </c>
      <c r="AD882">
        <f>INDIRECT(ADDRESS(882,29))+INDIRECT(ADDRESS(880,30))-INDIRECT(ADDRESS(881,30))</f>
        <v>0</v>
      </c>
      <c r="AE882">
        <f>INDIRECT(ADDRESS(882,30))+INDIRECT(ADDRESS(880,31))-INDIRECT(ADDRESS(881,31))</f>
        <v>0</v>
      </c>
      <c r="AF882">
        <f>INDIRECT(ADDRESS(882,31))+INDIRECT(ADDRESS(880,32))-INDIRECT(ADDRESS(881,32))</f>
        <v>0</v>
      </c>
      <c r="AG882">
        <f>INDIRECT(ADDRESS(882,32))+INDIRECT(ADDRESS(880,33))-INDIRECT(ADDRESS(881,33))</f>
        <v>0</v>
      </c>
      <c r="AH882">
        <f>INDIRECT(ADDRESS(882,33))+INDIRECT(ADDRESS(880,34))-INDIRECT(ADDRESS(881,34))</f>
        <v>0</v>
      </c>
      <c r="AI882">
        <f>INDIRECT(ADDRESS(882,34))+INDIRECT(ADDRESS(880,35))-INDIRECT(ADDRESS(881,35))</f>
        <v>0</v>
      </c>
      <c r="AJ882">
        <f>INDIRECT(ADDRESS(882,35))+INDIRECT(ADDRESS(880,36))-INDIRECT(ADDRESS(881,36))</f>
        <v>0</v>
      </c>
      <c r="AK882">
        <f>INDIRECT(ADDRESS(882,36))+INDIRECT(ADDRESS(880,37))-INDIRECT(ADDRESS(881,37))</f>
        <v>0</v>
      </c>
      <c r="AL882">
        <f>INDIRECT(ADDRESS(882,37))+INDIRECT(ADDRESS(880,38))-INDIRECT(ADDRESS(881,38))</f>
        <v>0</v>
      </c>
      <c r="AM882">
        <f>INDIRECT(ADDRESS(882,38))+INDIRECT(ADDRESS(880,39))-INDIRECT(ADDRESS(881,39))</f>
        <v>0</v>
      </c>
      <c r="AN882">
        <f>INDIRECT(ADDRESS(882,39))+INDIRECT(ADDRESS(880,40))-INDIRECT(ADDRESS(881,40))</f>
        <v>0</v>
      </c>
      <c r="AO882">
        <f>SUM(INDIRECT(ADDRESS(881,8)):INDIRECT(ADDRESS(881,39)))</f>
        <v>0</v>
      </c>
    </row>
    <row r="883" spans="1:41">
      <c r="A883" t="s">
        <v>204</v>
      </c>
      <c r="B883" t="s">
        <v>499</v>
      </c>
      <c r="C883" t="s">
        <v>500</v>
      </c>
      <c r="E883">
        <v>1</v>
      </c>
      <c r="I883" t="s">
        <v>177</v>
      </c>
    </row>
    <row r="884" spans="1:41">
      <c r="I884" t="s">
        <v>178</v>
      </c>
      <c r="J884">
        <f>IFERROR(VLOOKUP("921-059000-200",B:AB,1+8,0),0)</f>
        <v>0</v>
      </c>
      <c r="K884">
        <f>IFERROR(VLOOKUP("921-059000-200",B:AB,2+8,0),0)</f>
        <v>0</v>
      </c>
      <c r="L884">
        <f>IFERROR(VLOOKUP("921-059000-200",B:AB,3+8,0),0)</f>
        <v>0</v>
      </c>
      <c r="M884">
        <f>IFERROR(VLOOKUP("921-059000-200",B:AB,4+8,0),0)</f>
        <v>0</v>
      </c>
      <c r="N884">
        <f>IFERROR(VLOOKUP("921-059000-200",B:AB,5+8,0),0)</f>
        <v>0</v>
      </c>
      <c r="O884">
        <f>IFERROR(VLOOKUP("921-059000-200",B:AB,6+8,0),0)</f>
        <v>0</v>
      </c>
      <c r="P884">
        <f>IFERROR(VLOOKUP("921-059000-200",B:AB,7+8,0),0)</f>
        <v>0</v>
      </c>
      <c r="Q884">
        <f>IFERROR(VLOOKUP("921-059000-200",B:AB,8+8,0),0)</f>
        <v>0</v>
      </c>
      <c r="R884">
        <f>IFERROR(VLOOKUP("921-059000-200",B:AB,9+8,0),0)</f>
        <v>0</v>
      </c>
      <c r="S884">
        <f>IFERROR(VLOOKUP("921-059000-200",B:AB,10+8,0),0)</f>
        <v>0</v>
      </c>
      <c r="T884">
        <f>IFERROR(VLOOKUP("921-059000-200",B:AB,11+8,0),0)</f>
        <v>0</v>
      </c>
      <c r="U884">
        <f>IFERROR(VLOOKUP("921-059000-200",B:AB,12+8,0),0)</f>
        <v>0</v>
      </c>
      <c r="V884">
        <f>IFERROR(VLOOKUP("921-059000-200",B:AB,13+8,0),0)</f>
        <v>0</v>
      </c>
      <c r="W884">
        <f>IFERROR(VLOOKUP("921-059000-200",B:AB,14+8,0),0)</f>
        <v>0</v>
      </c>
      <c r="X884">
        <f>IFERROR(VLOOKUP("921-059000-200",B:AB,15+8,0),0)</f>
        <v>0</v>
      </c>
      <c r="Y884">
        <f>IFERROR(VLOOKUP("921-059000-200",B:AB,16+8,0),0)</f>
        <v>0</v>
      </c>
      <c r="Z884">
        <f>IFERROR(VLOOKUP("921-059000-200",B:AB,17+8,0),0)</f>
        <v>0</v>
      </c>
      <c r="AA884">
        <f>IFERROR(VLOOKUP("921-059000-200",B:AB,18+8,0),0)</f>
        <v>0</v>
      </c>
      <c r="AB884">
        <f>IFERROR(VLOOKUP("921-059000-200",B:AB,19+8,0),0)</f>
        <v>0</v>
      </c>
      <c r="AC884">
        <f>IFERROR(VLOOKUP("921-059000-200",B:AB,20+8,0),0)</f>
        <v>0</v>
      </c>
      <c r="AD884">
        <f>IFERROR(VLOOKUP("921-059000-200",B:AB,21+8,0),0)</f>
        <v>0</v>
      </c>
      <c r="AE884">
        <f>IFERROR(VLOOKUP("921-059000-200",B:AB,22+8,0),0)</f>
        <v>0</v>
      </c>
      <c r="AF884">
        <f>IFERROR(VLOOKUP("921-059000-200",B:AB,23+8,0),0)</f>
        <v>0</v>
      </c>
      <c r="AG884">
        <f>IFERROR(VLOOKUP("921-059000-200",B:AB,24+8,0),0)</f>
        <v>0</v>
      </c>
      <c r="AH884">
        <f>IFERROR(VLOOKUP("921-059000-200",B:AB,25+8,0),0)</f>
        <v>0</v>
      </c>
      <c r="AI884">
        <f>IFERROR(VLOOKUP("921-059000-200",B:AB,26+8,0),0)</f>
        <v>0</v>
      </c>
      <c r="AJ884">
        <f>IFERROR(VLOOKUP("921-059000-200",B:AB,27+8,0),0)</f>
        <v>0</v>
      </c>
      <c r="AK884">
        <f>IFERROR(VLOOKUP("921-059000-200",B:AB,28+8,0),0)</f>
        <v>0</v>
      </c>
      <c r="AL884">
        <f>IFERROR(VLOOKUP("921-059000-200",B:AB,29+8,0),0)</f>
        <v>0</v>
      </c>
      <c r="AM884">
        <f>IFERROR(VLOOKUP("921-059000-200",B:AB,30+8,0),0)</f>
        <v>0</v>
      </c>
      <c r="AN884">
        <f>IFERROR(VLOOKUP("921-059000-200",B:AB,31+8,0),0)</f>
        <v>0</v>
      </c>
      <c r="AO884">
        <f>SUN(INDIRECT(ADDRESS(883,8)):INDIRECT(ADDRESS(883,39)))</f>
        <v>0</v>
      </c>
    </row>
    <row r="885" spans="1:41">
      <c r="H885" t="s">
        <v>179</v>
      </c>
      <c r="J885">
        <f>INDIRECT(ADDRESS(885,9))+INDIRECT(ADDRESS(883,10))-INDIRECT(ADDRESS(884,10))</f>
        <v>0</v>
      </c>
      <c r="K885">
        <f>INDIRECT(ADDRESS(885,10))+INDIRECT(ADDRESS(883,11))-INDIRECT(ADDRESS(884,11))</f>
        <v>0</v>
      </c>
      <c r="L885">
        <f>INDIRECT(ADDRESS(885,11))+INDIRECT(ADDRESS(883,12))-INDIRECT(ADDRESS(884,12))</f>
        <v>0</v>
      </c>
      <c r="M885">
        <f>INDIRECT(ADDRESS(885,12))+INDIRECT(ADDRESS(883,13))-INDIRECT(ADDRESS(884,13))</f>
        <v>0</v>
      </c>
      <c r="N885">
        <f>INDIRECT(ADDRESS(885,13))+INDIRECT(ADDRESS(883,14))-INDIRECT(ADDRESS(884,14))</f>
        <v>0</v>
      </c>
      <c r="O885">
        <f>INDIRECT(ADDRESS(885,14))+INDIRECT(ADDRESS(883,15))-INDIRECT(ADDRESS(884,15))</f>
        <v>0</v>
      </c>
      <c r="P885">
        <f>INDIRECT(ADDRESS(885,15))+INDIRECT(ADDRESS(883,16))-INDIRECT(ADDRESS(884,16))</f>
        <v>0</v>
      </c>
      <c r="Q885">
        <f>INDIRECT(ADDRESS(885,16))+INDIRECT(ADDRESS(883,17))-INDIRECT(ADDRESS(884,17))</f>
        <v>0</v>
      </c>
      <c r="R885">
        <f>INDIRECT(ADDRESS(885,17))+INDIRECT(ADDRESS(883,18))-INDIRECT(ADDRESS(884,18))</f>
        <v>0</v>
      </c>
      <c r="S885">
        <f>INDIRECT(ADDRESS(885,18))+INDIRECT(ADDRESS(883,19))-INDIRECT(ADDRESS(884,19))</f>
        <v>0</v>
      </c>
      <c r="T885">
        <f>INDIRECT(ADDRESS(885,19))+INDIRECT(ADDRESS(883,20))-INDIRECT(ADDRESS(884,20))</f>
        <v>0</v>
      </c>
      <c r="U885">
        <f>INDIRECT(ADDRESS(885,20))+INDIRECT(ADDRESS(883,21))-INDIRECT(ADDRESS(884,21))</f>
        <v>0</v>
      </c>
      <c r="V885">
        <f>INDIRECT(ADDRESS(885,21))+INDIRECT(ADDRESS(883,22))-INDIRECT(ADDRESS(884,22))</f>
        <v>0</v>
      </c>
      <c r="W885">
        <f>INDIRECT(ADDRESS(885,22))+INDIRECT(ADDRESS(883,23))-INDIRECT(ADDRESS(884,23))</f>
        <v>0</v>
      </c>
      <c r="X885">
        <f>INDIRECT(ADDRESS(885,23))+INDIRECT(ADDRESS(883,24))-INDIRECT(ADDRESS(884,24))</f>
        <v>0</v>
      </c>
      <c r="Y885">
        <f>INDIRECT(ADDRESS(885,24))+INDIRECT(ADDRESS(883,25))-INDIRECT(ADDRESS(884,25))</f>
        <v>0</v>
      </c>
      <c r="Z885">
        <f>INDIRECT(ADDRESS(885,25))+INDIRECT(ADDRESS(883,26))-INDIRECT(ADDRESS(884,26))</f>
        <v>0</v>
      </c>
      <c r="AA885">
        <f>INDIRECT(ADDRESS(885,26))+INDIRECT(ADDRESS(883,27))-INDIRECT(ADDRESS(884,27))</f>
        <v>0</v>
      </c>
      <c r="AB885">
        <f>INDIRECT(ADDRESS(885,27))+INDIRECT(ADDRESS(883,28))-INDIRECT(ADDRESS(884,28))</f>
        <v>0</v>
      </c>
      <c r="AC885">
        <f>INDIRECT(ADDRESS(885,28))+INDIRECT(ADDRESS(883,29))-INDIRECT(ADDRESS(884,29))</f>
        <v>0</v>
      </c>
      <c r="AD885">
        <f>INDIRECT(ADDRESS(885,29))+INDIRECT(ADDRESS(883,30))-INDIRECT(ADDRESS(884,30))</f>
        <v>0</v>
      </c>
      <c r="AE885">
        <f>INDIRECT(ADDRESS(885,30))+INDIRECT(ADDRESS(883,31))-INDIRECT(ADDRESS(884,31))</f>
        <v>0</v>
      </c>
      <c r="AF885">
        <f>INDIRECT(ADDRESS(885,31))+INDIRECT(ADDRESS(883,32))-INDIRECT(ADDRESS(884,32))</f>
        <v>0</v>
      </c>
      <c r="AG885">
        <f>INDIRECT(ADDRESS(885,32))+INDIRECT(ADDRESS(883,33))-INDIRECT(ADDRESS(884,33))</f>
        <v>0</v>
      </c>
      <c r="AH885">
        <f>INDIRECT(ADDRESS(885,33))+INDIRECT(ADDRESS(883,34))-INDIRECT(ADDRESS(884,34))</f>
        <v>0</v>
      </c>
      <c r="AI885">
        <f>INDIRECT(ADDRESS(885,34))+INDIRECT(ADDRESS(883,35))-INDIRECT(ADDRESS(884,35))</f>
        <v>0</v>
      </c>
      <c r="AJ885">
        <f>INDIRECT(ADDRESS(885,35))+INDIRECT(ADDRESS(883,36))-INDIRECT(ADDRESS(884,36))</f>
        <v>0</v>
      </c>
      <c r="AK885">
        <f>INDIRECT(ADDRESS(885,36))+INDIRECT(ADDRESS(883,37))-INDIRECT(ADDRESS(884,37))</f>
        <v>0</v>
      </c>
      <c r="AL885">
        <f>INDIRECT(ADDRESS(885,37))+INDIRECT(ADDRESS(883,38))-INDIRECT(ADDRESS(884,38))</f>
        <v>0</v>
      </c>
      <c r="AM885">
        <f>INDIRECT(ADDRESS(885,38))+INDIRECT(ADDRESS(883,39))-INDIRECT(ADDRESS(884,39))</f>
        <v>0</v>
      </c>
      <c r="AN885">
        <f>INDIRECT(ADDRESS(885,39))+INDIRECT(ADDRESS(883,40))-INDIRECT(ADDRESS(884,40))</f>
        <v>0</v>
      </c>
      <c r="AO885">
        <f>SUM(INDIRECT(ADDRESS(884,8)):INDIRECT(ADDRESS(884,39)))</f>
        <v>0</v>
      </c>
    </row>
    <row r="886" spans="1:41">
      <c r="A886" t="s">
        <v>8</v>
      </c>
      <c r="B886" t="s">
        <v>71</v>
      </c>
      <c r="C886" t="s">
        <v>68</v>
      </c>
      <c r="E886">
        <v>1</v>
      </c>
      <c r="I886" t="s">
        <v>177</v>
      </c>
    </row>
    <row r="887" spans="1:41">
      <c r="I887" t="s">
        <v>178</v>
      </c>
      <c r="J887">
        <f>IFERROR(VLOOKUP("921-000000-100",Out!B:AB,1+8,0),0)</f>
        <v>0</v>
      </c>
      <c r="K887">
        <f>IFERROR(VLOOKUP("921-000000-100",Out!B:AB,2+8,0),0)</f>
        <v>0</v>
      </c>
      <c r="L887">
        <f>IFERROR(VLOOKUP("921-000000-100",Out!B:AB,3+8,0),0)</f>
        <v>0</v>
      </c>
      <c r="M887">
        <f>IFERROR(VLOOKUP("921-000000-100",Out!B:AB,4+8,0),0)</f>
        <v>0</v>
      </c>
      <c r="N887">
        <f>IFERROR(VLOOKUP("921-000000-100",Out!B:AB,5+8,0),0)</f>
        <v>0</v>
      </c>
      <c r="O887">
        <f>IFERROR(VLOOKUP("921-000000-100",Out!B:AB,6+8,0),0)</f>
        <v>0</v>
      </c>
      <c r="P887">
        <f>IFERROR(VLOOKUP("921-000000-100",Out!B:AB,7+8,0),0)</f>
        <v>0</v>
      </c>
      <c r="Q887">
        <f>IFERROR(VLOOKUP("921-000000-100",Out!B:AB,8+8,0),0)</f>
        <v>0</v>
      </c>
      <c r="R887">
        <f>IFERROR(VLOOKUP("921-000000-100",Out!B:AB,9+8,0),0)</f>
        <v>0</v>
      </c>
      <c r="S887">
        <f>IFERROR(VLOOKUP("921-000000-100",Out!B:AB,10+8,0),0)</f>
        <v>0</v>
      </c>
      <c r="T887">
        <f>IFERROR(VLOOKUP("921-000000-100",Out!B:AB,11+8,0),0)</f>
        <v>0</v>
      </c>
      <c r="U887">
        <f>IFERROR(VLOOKUP("921-000000-100",Out!B:AB,12+8,0),0)</f>
        <v>0</v>
      </c>
      <c r="V887">
        <f>IFERROR(VLOOKUP("921-000000-100",Out!B:AB,13+8,0),0)</f>
        <v>0</v>
      </c>
      <c r="W887">
        <f>IFERROR(VLOOKUP("921-000000-100",Out!B:AB,14+8,0),0)</f>
        <v>0</v>
      </c>
      <c r="X887">
        <f>IFERROR(VLOOKUP("921-000000-100",Out!B:AB,15+8,0),0)</f>
        <v>0</v>
      </c>
      <c r="Y887">
        <f>IFERROR(VLOOKUP("921-000000-100",Out!B:AB,16+8,0),0)</f>
        <v>0</v>
      </c>
      <c r="Z887">
        <f>IFERROR(VLOOKUP("921-000000-100",Out!B:AB,17+8,0),0)</f>
        <v>0</v>
      </c>
      <c r="AA887">
        <f>IFERROR(VLOOKUP("921-000000-100",Out!B:AB,18+8,0),0)</f>
        <v>0</v>
      </c>
      <c r="AB887">
        <f>IFERROR(VLOOKUP("921-000000-100",Out!B:AB,19+8,0),0)</f>
        <v>0</v>
      </c>
      <c r="AC887">
        <f>IFERROR(VLOOKUP("921-000000-100",Out!B:AB,20+8,0),0)</f>
        <v>0</v>
      </c>
      <c r="AD887">
        <f>IFERROR(VLOOKUP("921-000000-100",Out!B:AB,21+8,0),0)</f>
        <v>0</v>
      </c>
      <c r="AE887">
        <f>IFERROR(VLOOKUP("921-000000-100",Out!B:AB,22+8,0),0)</f>
        <v>0</v>
      </c>
      <c r="AF887">
        <f>IFERROR(VLOOKUP("921-000000-100",Out!B:AB,23+8,0),0)</f>
        <v>0</v>
      </c>
      <c r="AG887">
        <f>IFERROR(VLOOKUP("921-000000-100",Out!B:AB,24+8,0),0)</f>
        <v>0</v>
      </c>
      <c r="AH887">
        <f>IFERROR(VLOOKUP("921-000000-100",Out!B:AB,25+8,0),0)</f>
        <v>0</v>
      </c>
      <c r="AI887">
        <f>IFERROR(VLOOKUP("921-000000-100",Out!B:AB,26+8,0),0)</f>
        <v>0</v>
      </c>
      <c r="AJ887">
        <f>IFERROR(VLOOKUP("921-000000-100",Out!B:AB,27+8,0),0)</f>
        <v>0</v>
      </c>
      <c r="AK887">
        <f>IFERROR(VLOOKUP("921-000000-100",Out!B:AB,28+8,0),0)</f>
        <v>0</v>
      </c>
      <c r="AL887">
        <f>IFERROR(VLOOKUP("921-000000-100",Out!B:AB,29+8,0),0)</f>
        <v>0</v>
      </c>
      <c r="AM887">
        <f>IFERROR(VLOOKUP("921-000000-100",Out!B:AB,30+8,0),0)</f>
        <v>0</v>
      </c>
      <c r="AN887">
        <f>IFERROR(VLOOKUP("921-000000-100",Out!B:AB,31+8,0),0)</f>
        <v>0</v>
      </c>
      <c r="AO887">
        <f>SUN(INDIRECT(ADDRESS(886,8)):INDIRECT(ADDRESS(886,39)))</f>
        <v>0</v>
      </c>
    </row>
    <row r="888" spans="1:41">
      <c r="H888" t="s">
        <v>179</v>
      </c>
      <c r="J888">
        <f>INDIRECT(ADDRESS(888,9))+INDIRECT(ADDRESS(886,10))-INDIRECT(ADDRESS(887,10))</f>
        <v>0</v>
      </c>
      <c r="K888">
        <f>INDIRECT(ADDRESS(888,10))+INDIRECT(ADDRESS(886,11))-INDIRECT(ADDRESS(887,11))</f>
        <v>0</v>
      </c>
      <c r="L888">
        <f>INDIRECT(ADDRESS(888,11))+INDIRECT(ADDRESS(886,12))-INDIRECT(ADDRESS(887,12))</f>
        <v>0</v>
      </c>
      <c r="M888">
        <f>INDIRECT(ADDRESS(888,12))+INDIRECT(ADDRESS(886,13))-INDIRECT(ADDRESS(887,13))</f>
        <v>0</v>
      </c>
      <c r="N888">
        <f>INDIRECT(ADDRESS(888,13))+INDIRECT(ADDRESS(886,14))-INDIRECT(ADDRESS(887,14))</f>
        <v>0</v>
      </c>
      <c r="O888">
        <f>INDIRECT(ADDRESS(888,14))+INDIRECT(ADDRESS(886,15))-INDIRECT(ADDRESS(887,15))</f>
        <v>0</v>
      </c>
      <c r="P888">
        <f>INDIRECT(ADDRESS(888,15))+INDIRECT(ADDRESS(886,16))-INDIRECT(ADDRESS(887,16))</f>
        <v>0</v>
      </c>
      <c r="Q888">
        <f>INDIRECT(ADDRESS(888,16))+INDIRECT(ADDRESS(886,17))-INDIRECT(ADDRESS(887,17))</f>
        <v>0</v>
      </c>
      <c r="R888">
        <f>INDIRECT(ADDRESS(888,17))+INDIRECT(ADDRESS(886,18))-INDIRECT(ADDRESS(887,18))</f>
        <v>0</v>
      </c>
      <c r="S888">
        <f>INDIRECT(ADDRESS(888,18))+INDIRECT(ADDRESS(886,19))-INDIRECT(ADDRESS(887,19))</f>
        <v>0</v>
      </c>
      <c r="T888">
        <f>INDIRECT(ADDRESS(888,19))+INDIRECT(ADDRESS(886,20))-INDIRECT(ADDRESS(887,20))</f>
        <v>0</v>
      </c>
      <c r="U888">
        <f>INDIRECT(ADDRESS(888,20))+INDIRECT(ADDRESS(886,21))-INDIRECT(ADDRESS(887,21))</f>
        <v>0</v>
      </c>
      <c r="V888">
        <f>INDIRECT(ADDRESS(888,21))+INDIRECT(ADDRESS(886,22))-INDIRECT(ADDRESS(887,22))</f>
        <v>0</v>
      </c>
      <c r="W888">
        <f>INDIRECT(ADDRESS(888,22))+INDIRECT(ADDRESS(886,23))-INDIRECT(ADDRESS(887,23))</f>
        <v>0</v>
      </c>
      <c r="X888">
        <f>INDIRECT(ADDRESS(888,23))+INDIRECT(ADDRESS(886,24))-INDIRECT(ADDRESS(887,24))</f>
        <v>0</v>
      </c>
      <c r="Y888">
        <f>INDIRECT(ADDRESS(888,24))+INDIRECT(ADDRESS(886,25))-INDIRECT(ADDRESS(887,25))</f>
        <v>0</v>
      </c>
      <c r="Z888">
        <f>INDIRECT(ADDRESS(888,25))+INDIRECT(ADDRESS(886,26))-INDIRECT(ADDRESS(887,26))</f>
        <v>0</v>
      </c>
      <c r="AA888">
        <f>INDIRECT(ADDRESS(888,26))+INDIRECT(ADDRESS(886,27))-INDIRECT(ADDRESS(887,27))</f>
        <v>0</v>
      </c>
      <c r="AB888">
        <f>INDIRECT(ADDRESS(888,27))+INDIRECT(ADDRESS(886,28))-INDIRECT(ADDRESS(887,28))</f>
        <v>0</v>
      </c>
      <c r="AC888">
        <f>INDIRECT(ADDRESS(888,28))+INDIRECT(ADDRESS(886,29))-INDIRECT(ADDRESS(887,29))</f>
        <v>0</v>
      </c>
      <c r="AD888">
        <f>INDIRECT(ADDRESS(888,29))+INDIRECT(ADDRESS(886,30))-INDIRECT(ADDRESS(887,30))</f>
        <v>0</v>
      </c>
      <c r="AE888">
        <f>INDIRECT(ADDRESS(888,30))+INDIRECT(ADDRESS(886,31))-INDIRECT(ADDRESS(887,31))</f>
        <v>0</v>
      </c>
      <c r="AF888">
        <f>INDIRECT(ADDRESS(888,31))+INDIRECT(ADDRESS(886,32))-INDIRECT(ADDRESS(887,32))</f>
        <v>0</v>
      </c>
      <c r="AG888">
        <f>INDIRECT(ADDRESS(888,32))+INDIRECT(ADDRESS(886,33))-INDIRECT(ADDRESS(887,33))</f>
        <v>0</v>
      </c>
      <c r="AH888">
        <f>INDIRECT(ADDRESS(888,33))+INDIRECT(ADDRESS(886,34))-INDIRECT(ADDRESS(887,34))</f>
        <v>0</v>
      </c>
      <c r="AI888">
        <f>INDIRECT(ADDRESS(888,34))+INDIRECT(ADDRESS(886,35))-INDIRECT(ADDRESS(887,35))</f>
        <v>0</v>
      </c>
      <c r="AJ888">
        <f>INDIRECT(ADDRESS(888,35))+INDIRECT(ADDRESS(886,36))-INDIRECT(ADDRESS(887,36))</f>
        <v>0</v>
      </c>
      <c r="AK888">
        <f>INDIRECT(ADDRESS(888,36))+INDIRECT(ADDRESS(886,37))-INDIRECT(ADDRESS(887,37))</f>
        <v>0</v>
      </c>
      <c r="AL888">
        <f>INDIRECT(ADDRESS(888,37))+INDIRECT(ADDRESS(886,38))-INDIRECT(ADDRESS(887,38))</f>
        <v>0</v>
      </c>
      <c r="AM888">
        <f>INDIRECT(ADDRESS(888,38))+INDIRECT(ADDRESS(886,39))-INDIRECT(ADDRESS(887,39))</f>
        <v>0</v>
      </c>
      <c r="AN888">
        <f>INDIRECT(ADDRESS(888,39))+INDIRECT(ADDRESS(886,40))-INDIRECT(ADDRESS(887,40))</f>
        <v>0</v>
      </c>
      <c r="AO888">
        <f>SUM(INDIRECT(ADDRESS(887,8)):INDIRECT(ADDRESS(887,39)))</f>
        <v>0</v>
      </c>
    </row>
    <row r="889" spans="1:41">
      <c r="A889" t="s">
        <v>180</v>
      </c>
      <c r="B889" t="s">
        <v>501</v>
      </c>
      <c r="C889" t="s">
        <v>502</v>
      </c>
      <c r="E889">
        <v>1</v>
      </c>
      <c r="I889" t="s">
        <v>177</v>
      </c>
    </row>
    <row r="890" spans="1:41">
      <c r="I890" t="s">
        <v>178</v>
      </c>
      <c r="J890">
        <f>IFERROR(VLOOKUP("921-000000-100",B:AB,1+8,0),0)</f>
        <v>0</v>
      </c>
      <c r="K890">
        <f>IFERROR(VLOOKUP("921-000000-100",B:AB,2+8,0),0)</f>
        <v>0</v>
      </c>
      <c r="L890">
        <f>IFERROR(VLOOKUP("921-000000-100",B:AB,3+8,0),0)</f>
        <v>0</v>
      </c>
      <c r="M890">
        <f>IFERROR(VLOOKUP("921-000000-100",B:AB,4+8,0),0)</f>
        <v>0</v>
      </c>
      <c r="N890">
        <f>IFERROR(VLOOKUP("921-000000-100",B:AB,5+8,0),0)</f>
        <v>0</v>
      </c>
      <c r="O890">
        <f>IFERROR(VLOOKUP("921-000000-100",B:AB,6+8,0),0)</f>
        <v>0</v>
      </c>
      <c r="P890">
        <f>IFERROR(VLOOKUP("921-000000-100",B:AB,7+8,0),0)</f>
        <v>0</v>
      </c>
      <c r="Q890">
        <f>IFERROR(VLOOKUP("921-000000-100",B:AB,8+8,0),0)</f>
        <v>0</v>
      </c>
      <c r="R890">
        <f>IFERROR(VLOOKUP("921-000000-100",B:AB,9+8,0),0)</f>
        <v>0</v>
      </c>
      <c r="S890">
        <f>IFERROR(VLOOKUP("921-000000-100",B:AB,10+8,0),0)</f>
        <v>0</v>
      </c>
      <c r="T890">
        <f>IFERROR(VLOOKUP("921-000000-100",B:AB,11+8,0),0)</f>
        <v>0</v>
      </c>
      <c r="U890">
        <f>IFERROR(VLOOKUP("921-000000-100",B:AB,12+8,0),0)</f>
        <v>0</v>
      </c>
      <c r="V890">
        <f>IFERROR(VLOOKUP("921-000000-100",B:AB,13+8,0),0)</f>
        <v>0</v>
      </c>
      <c r="W890">
        <f>IFERROR(VLOOKUP("921-000000-100",B:AB,14+8,0),0)</f>
        <v>0</v>
      </c>
      <c r="X890">
        <f>IFERROR(VLOOKUP("921-000000-100",B:AB,15+8,0),0)</f>
        <v>0</v>
      </c>
      <c r="Y890">
        <f>IFERROR(VLOOKUP("921-000000-100",B:AB,16+8,0),0)</f>
        <v>0</v>
      </c>
      <c r="Z890">
        <f>IFERROR(VLOOKUP("921-000000-100",B:AB,17+8,0),0)</f>
        <v>0</v>
      </c>
      <c r="AA890">
        <f>IFERROR(VLOOKUP("921-000000-100",B:AB,18+8,0),0)</f>
        <v>0</v>
      </c>
      <c r="AB890">
        <f>IFERROR(VLOOKUP("921-000000-100",B:AB,19+8,0),0)</f>
        <v>0</v>
      </c>
      <c r="AC890">
        <f>IFERROR(VLOOKUP("921-000000-100",B:AB,20+8,0),0)</f>
        <v>0</v>
      </c>
      <c r="AD890">
        <f>IFERROR(VLOOKUP("921-000000-100",B:AB,21+8,0),0)</f>
        <v>0</v>
      </c>
      <c r="AE890">
        <f>IFERROR(VLOOKUP("921-000000-100",B:AB,22+8,0),0)</f>
        <v>0</v>
      </c>
      <c r="AF890">
        <f>IFERROR(VLOOKUP("921-000000-100",B:AB,23+8,0),0)</f>
        <v>0</v>
      </c>
      <c r="AG890">
        <f>IFERROR(VLOOKUP("921-000000-100",B:AB,24+8,0),0)</f>
        <v>0</v>
      </c>
      <c r="AH890">
        <f>IFERROR(VLOOKUP("921-000000-100",B:AB,25+8,0),0)</f>
        <v>0</v>
      </c>
      <c r="AI890">
        <f>IFERROR(VLOOKUP("921-000000-100",B:AB,26+8,0),0)</f>
        <v>0</v>
      </c>
      <c r="AJ890">
        <f>IFERROR(VLOOKUP("921-000000-100",B:AB,27+8,0),0)</f>
        <v>0</v>
      </c>
      <c r="AK890">
        <f>IFERROR(VLOOKUP("921-000000-100",B:AB,28+8,0),0)</f>
        <v>0</v>
      </c>
      <c r="AL890">
        <f>IFERROR(VLOOKUP("921-000000-100",B:AB,29+8,0),0)</f>
        <v>0</v>
      </c>
      <c r="AM890">
        <f>IFERROR(VLOOKUP("921-000000-100",B:AB,30+8,0),0)</f>
        <v>0</v>
      </c>
      <c r="AN890">
        <f>IFERROR(VLOOKUP("921-000000-100",B:AB,31+8,0),0)</f>
        <v>0</v>
      </c>
      <c r="AO890">
        <f>SUN(INDIRECT(ADDRESS(889,8)):INDIRECT(ADDRESS(889,39)))</f>
        <v>0</v>
      </c>
    </row>
    <row r="891" spans="1:41">
      <c r="H891" t="s">
        <v>179</v>
      </c>
      <c r="J891">
        <f>INDIRECT(ADDRESS(891,9))+INDIRECT(ADDRESS(889,10))-INDIRECT(ADDRESS(890,10))</f>
        <v>0</v>
      </c>
      <c r="K891">
        <f>INDIRECT(ADDRESS(891,10))+INDIRECT(ADDRESS(889,11))-INDIRECT(ADDRESS(890,11))</f>
        <v>0</v>
      </c>
      <c r="L891">
        <f>INDIRECT(ADDRESS(891,11))+INDIRECT(ADDRESS(889,12))-INDIRECT(ADDRESS(890,12))</f>
        <v>0</v>
      </c>
      <c r="M891">
        <f>INDIRECT(ADDRESS(891,12))+INDIRECT(ADDRESS(889,13))-INDIRECT(ADDRESS(890,13))</f>
        <v>0</v>
      </c>
      <c r="N891">
        <f>INDIRECT(ADDRESS(891,13))+INDIRECT(ADDRESS(889,14))-INDIRECT(ADDRESS(890,14))</f>
        <v>0</v>
      </c>
      <c r="O891">
        <f>INDIRECT(ADDRESS(891,14))+INDIRECT(ADDRESS(889,15))-INDIRECT(ADDRESS(890,15))</f>
        <v>0</v>
      </c>
      <c r="P891">
        <f>INDIRECT(ADDRESS(891,15))+INDIRECT(ADDRESS(889,16))-INDIRECT(ADDRESS(890,16))</f>
        <v>0</v>
      </c>
      <c r="Q891">
        <f>INDIRECT(ADDRESS(891,16))+INDIRECT(ADDRESS(889,17))-INDIRECT(ADDRESS(890,17))</f>
        <v>0</v>
      </c>
      <c r="R891">
        <f>INDIRECT(ADDRESS(891,17))+INDIRECT(ADDRESS(889,18))-INDIRECT(ADDRESS(890,18))</f>
        <v>0</v>
      </c>
      <c r="S891">
        <f>INDIRECT(ADDRESS(891,18))+INDIRECT(ADDRESS(889,19))-INDIRECT(ADDRESS(890,19))</f>
        <v>0</v>
      </c>
      <c r="T891">
        <f>INDIRECT(ADDRESS(891,19))+INDIRECT(ADDRESS(889,20))-INDIRECT(ADDRESS(890,20))</f>
        <v>0</v>
      </c>
      <c r="U891">
        <f>INDIRECT(ADDRESS(891,20))+INDIRECT(ADDRESS(889,21))-INDIRECT(ADDRESS(890,21))</f>
        <v>0</v>
      </c>
      <c r="V891">
        <f>INDIRECT(ADDRESS(891,21))+INDIRECT(ADDRESS(889,22))-INDIRECT(ADDRESS(890,22))</f>
        <v>0</v>
      </c>
      <c r="W891">
        <f>INDIRECT(ADDRESS(891,22))+INDIRECT(ADDRESS(889,23))-INDIRECT(ADDRESS(890,23))</f>
        <v>0</v>
      </c>
      <c r="X891">
        <f>INDIRECT(ADDRESS(891,23))+INDIRECT(ADDRESS(889,24))-INDIRECT(ADDRESS(890,24))</f>
        <v>0</v>
      </c>
      <c r="Y891">
        <f>INDIRECT(ADDRESS(891,24))+INDIRECT(ADDRESS(889,25))-INDIRECT(ADDRESS(890,25))</f>
        <v>0</v>
      </c>
      <c r="Z891">
        <f>INDIRECT(ADDRESS(891,25))+INDIRECT(ADDRESS(889,26))-INDIRECT(ADDRESS(890,26))</f>
        <v>0</v>
      </c>
      <c r="AA891">
        <f>INDIRECT(ADDRESS(891,26))+INDIRECT(ADDRESS(889,27))-INDIRECT(ADDRESS(890,27))</f>
        <v>0</v>
      </c>
      <c r="AB891">
        <f>INDIRECT(ADDRESS(891,27))+INDIRECT(ADDRESS(889,28))-INDIRECT(ADDRESS(890,28))</f>
        <v>0</v>
      </c>
      <c r="AC891">
        <f>INDIRECT(ADDRESS(891,28))+INDIRECT(ADDRESS(889,29))-INDIRECT(ADDRESS(890,29))</f>
        <v>0</v>
      </c>
      <c r="AD891">
        <f>INDIRECT(ADDRESS(891,29))+INDIRECT(ADDRESS(889,30))-INDIRECT(ADDRESS(890,30))</f>
        <v>0</v>
      </c>
      <c r="AE891">
        <f>INDIRECT(ADDRESS(891,30))+INDIRECT(ADDRESS(889,31))-INDIRECT(ADDRESS(890,31))</f>
        <v>0</v>
      </c>
      <c r="AF891">
        <f>INDIRECT(ADDRESS(891,31))+INDIRECT(ADDRESS(889,32))-INDIRECT(ADDRESS(890,32))</f>
        <v>0</v>
      </c>
      <c r="AG891">
        <f>INDIRECT(ADDRESS(891,32))+INDIRECT(ADDRESS(889,33))-INDIRECT(ADDRESS(890,33))</f>
        <v>0</v>
      </c>
      <c r="AH891">
        <f>INDIRECT(ADDRESS(891,33))+INDIRECT(ADDRESS(889,34))-INDIRECT(ADDRESS(890,34))</f>
        <v>0</v>
      </c>
      <c r="AI891">
        <f>INDIRECT(ADDRESS(891,34))+INDIRECT(ADDRESS(889,35))-INDIRECT(ADDRESS(890,35))</f>
        <v>0</v>
      </c>
      <c r="AJ891">
        <f>INDIRECT(ADDRESS(891,35))+INDIRECT(ADDRESS(889,36))-INDIRECT(ADDRESS(890,36))</f>
        <v>0</v>
      </c>
      <c r="AK891">
        <f>INDIRECT(ADDRESS(891,36))+INDIRECT(ADDRESS(889,37))-INDIRECT(ADDRESS(890,37))</f>
        <v>0</v>
      </c>
      <c r="AL891">
        <f>INDIRECT(ADDRESS(891,37))+INDIRECT(ADDRESS(889,38))-INDIRECT(ADDRESS(890,38))</f>
        <v>0</v>
      </c>
      <c r="AM891">
        <f>INDIRECT(ADDRESS(891,38))+INDIRECT(ADDRESS(889,39))-INDIRECT(ADDRESS(890,39))</f>
        <v>0</v>
      </c>
      <c r="AN891">
        <f>INDIRECT(ADDRESS(891,39))+INDIRECT(ADDRESS(889,40))-INDIRECT(ADDRESS(890,40))</f>
        <v>0</v>
      </c>
      <c r="AO891">
        <f>SUM(INDIRECT(ADDRESS(890,8)):INDIRECT(ADDRESS(890,39)))</f>
        <v>0</v>
      </c>
    </row>
    <row r="892" spans="1:41">
      <c r="A892" t="s">
        <v>180</v>
      </c>
      <c r="B892" t="s">
        <v>451</v>
      </c>
      <c r="C892" t="s">
        <v>452</v>
      </c>
      <c r="E892">
        <v>1</v>
      </c>
      <c r="I892" t="s">
        <v>177</v>
      </c>
    </row>
    <row r="893" spans="1:41">
      <c r="I893" t="s">
        <v>178</v>
      </c>
      <c r="J893">
        <f>IFERROR(VLOOKUP("921-000000-100",B:AB,1+8,0),0)</f>
        <v>0</v>
      </c>
      <c r="K893">
        <f>IFERROR(VLOOKUP("921-000000-100",B:AB,2+8,0),0)</f>
        <v>0</v>
      </c>
      <c r="L893">
        <f>IFERROR(VLOOKUP("921-000000-100",B:AB,3+8,0),0)</f>
        <v>0</v>
      </c>
      <c r="M893">
        <f>IFERROR(VLOOKUP("921-000000-100",B:AB,4+8,0),0)</f>
        <v>0</v>
      </c>
      <c r="N893">
        <f>IFERROR(VLOOKUP("921-000000-100",B:AB,5+8,0),0)</f>
        <v>0</v>
      </c>
      <c r="O893">
        <f>IFERROR(VLOOKUP("921-000000-100",B:AB,6+8,0),0)</f>
        <v>0</v>
      </c>
      <c r="P893">
        <f>IFERROR(VLOOKUP("921-000000-100",B:AB,7+8,0),0)</f>
        <v>0</v>
      </c>
      <c r="Q893">
        <f>IFERROR(VLOOKUP("921-000000-100",B:AB,8+8,0),0)</f>
        <v>0</v>
      </c>
      <c r="R893">
        <f>IFERROR(VLOOKUP("921-000000-100",B:AB,9+8,0),0)</f>
        <v>0</v>
      </c>
      <c r="S893">
        <f>IFERROR(VLOOKUP("921-000000-100",B:AB,10+8,0),0)</f>
        <v>0</v>
      </c>
      <c r="T893">
        <f>IFERROR(VLOOKUP("921-000000-100",B:AB,11+8,0),0)</f>
        <v>0</v>
      </c>
      <c r="U893">
        <f>IFERROR(VLOOKUP("921-000000-100",B:AB,12+8,0),0)</f>
        <v>0</v>
      </c>
      <c r="V893">
        <f>IFERROR(VLOOKUP("921-000000-100",B:AB,13+8,0),0)</f>
        <v>0</v>
      </c>
      <c r="W893">
        <f>IFERROR(VLOOKUP("921-000000-100",B:AB,14+8,0),0)</f>
        <v>0</v>
      </c>
      <c r="X893">
        <f>IFERROR(VLOOKUP("921-000000-100",B:AB,15+8,0),0)</f>
        <v>0</v>
      </c>
      <c r="Y893">
        <f>IFERROR(VLOOKUP("921-000000-100",B:AB,16+8,0),0)</f>
        <v>0</v>
      </c>
      <c r="Z893">
        <f>IFERROR(VLOOKUP("921-000000-100",B:AB,17+8,0),0)</f>
        <v>0</v>
      </c>
      <c r="AA893">
        <f>IFERROR(VLOOKUP("921-000000-100",B:AB,18+8,0),0)</f>
        <v>0</v>
      </c>
      <c r="AB893">
        <f>IFERROR(VLOOKUP("921-000000-100",B:AB,19+8,0),0)</f>
        <v>0</v>
      </c>
      <c r="AC893">
        <f>IFERROR(VLOOKUP("921-000000-100",B:AB,20+8,0),0)</f>
        <v>0</v>
      </c>
      <c r="AD893">
        <f>IFERROR(VLOOKUP("921-000000-100",B:AB,21+8,0),0)</f>
        <v>0</v>
      </c>
      <c r="AE893">
        <f>IFERROR(VLOOKUP("921-000000-100",B:AB,22+8,0),0)</f>
        <v>0</v>
      </c>
      <c r="AF893">
        <f>IFERROR(VLOOKUP("921-000000-100",B:AB,23+8,0),0)</f>
        <v>0</v>
      </c>
      <c r="AG893">
        <f>IFERROR(VLOOKUP("921-000000-100",B:AB,24+8,0),0)</f>
        <v>0</v>
      </c>
      <c r="AH893">
        <f>IFERROR(VLOOKUP("921-000000-100",B:AB,25+8,0),0)</f>
        <v>0</v>
      </c>
      <c r="AI893">
        <f>IFERROR(VLOOKUP("921-000000-100",B:AB,26+8,0),0)</f>
        <v>0</v>
      </c>
      <c r="AJ893">
        <f>IFERROR(VLOOKUP("921-000000-100",B:AB,27+8,0),0)</f>
        <v>0</v>
      </c>
      <c r="AK893">
        <f>IFERROR(VLOOKUP("921-000000-100",B:AB,28+8,0),0)</f>
        <v>0</v>
      </c>
      <c r="AL893">
        <f>IFERROR(VLOOKUP("921-000000-100",B:AB,29+8,0),0)</f>
        <v>0</v>
      </c>
      <c r="AM893">
        <f>IFERROR(VLOOKUP("921-000000-100",B:AB,30+8,0),0)</f>
        <v>0</v>
      </c>
      <c r="AN893">
        <f>IFERROR(VLOOKUP("921-000000-100",B:AB,31+8,0),0)</f>
        <v>0</v>
      </c>
      <c r="AO893">
        <f>SUN(INDIRECT(ADDRESS(892,8)):INDIRECT(ADDRESS(892,39)))</f>
        <v>0</v>
      </c>
    </row>
    <row r="894" spans="1:41">
      <c r="H894" t="s">
        <v>179</v>
      </c>
      <c r="J894">
        <f>INDIRECT(ADDRESS(894,9))+INDIRECT(ADDRESS(892,10))-INDIRECT(ADDRESS(893,10))</f>
        <v>0</v>
      </c>
      <c r="K894">
        <f>INDIRECT(ADDRESS(894,10))+INDIRECT(ADDRESS(892,11))-INDIRECT(ADDRESS(893,11))</f>
        <v>0</v>
      </c>
      <c r="L894">
        <f>INDIRECT(ADDRESS(894,11))+INDIRECT(ADDRESS(892,12))-INDIRECT(ADDRESS(893,12))</f>
        <v>0</v>
      </c>
      <c r="M894">
        <f>INDIRECT(ADDRESS(894,12))+INDIRECT(ADDRESS(892,13))-INDIRECT(ADDRESS(893,13))</f>
        <v>0</v>
      </c>
      <c r="N894">
        <f>INDIRECT(ADDRESS(894,13))+INDIRECT(ADDRESS(892,14))-INDIRECT(ADDRESS(893,14))</f>
        <v>0</v>
      </c>
      <c r="O894">
        <f>INDIRECT(ADDRESS(894,14))+INDIRECT(ADDRESS(892,15))-INDIRECT(ADDRESS(893,15))</f>
        <v>0</v>
      </c>
      <c r="P894">
        <f>INDIRECT(ADDRESS(894,15))+INDIRECT(ADDRESS(892,16))-INDIRECT(ADDRESS(893,16))</f>
        <v>0</v>
      </c>
      <c r="Q894">
        <f>INDIRECT(ADDRESS(894,16))+INDIRECT(ADDRESS(892,17))-INDIRECT(ADDRESS(893,17))</f>
        <v>0</v>
      </c>
      <c r="R894">
        <f>INDIRECT(ADDRESS(894,17))+INDIRECT(ADDRESS(892,18))-INDIRECT(ADDRESS(893,18))</f>
        <v>0</v>
      </c>
      <c r="S894">
        <f>INDIRECT(ADDRESS(894,18))+INDIRECT(ADDRESS(892,19))-INDIRECT(ADDRESS(893,19))</f>
        <v>0</v>
      </c>
      <c r="T894">
        <f>INDIRECT(ADDRESS(894,19))+INDIRECT(ADDRESS(892,20))-INDIRECT(ADDRESS(893,20))</f>
        <v>0</v>
      </c>
      <c r="U894">
        <f>INDIRECT(ADDRESS(894,20))+INDIRECT(ADDRESS(892,21))-INDIRECT(ADDRESS(893,21))</f>
        <v>0</v>
      </c>
      <c r="V894">
        <f>INDIRECT(ADDRESS(894,21))+INDIRECT(ADDRESS(892,22))-INDIRECT(ADDRESS(893,22))</f>
        <v>0</v>
      </c>
      <c r="W894">
        <f>INDIRECT(ADDRESS(894,22))+INDIRECT(ADDRESS(892,23))-INDIRECT(ADDRESS(893,23))</f>
        <v>0</v>
      </c>
      <c r="X894">
        <f>INDIRECT(ADDRESS(894,23))+INDIRECT(ADDRESS(892,24))-INDIRECT(ADDRESS(893,24))</f>
        <v>0</v>
      </c>
      <c r="Y894">
        <f>INDIRECT(ADDRESS(894,24))+INDIRECT(ADDRESS(892,25))-INDIRECT(ADDRESS(893,25))</f>
        <v>0</v>
      </c>
      <c r="Z894">
        <f>INDIRECT(ADDRESS(894,25))+INDIRECT(ADDRESS(892,26))-INDIRECT(ADDRESS(893,26))</f>
        <v>0</v>
      </c>
      <c r="AA894">
        <f>INDIRECT(ADDRESS(894,26))+INDIRECT(ADDRESS(892,27))-INDIRECT(ADDRESS(893,27))</f>
        <v>0</v>
      </c>
      <c r="AB894">
        <f>INDIRECT(ADDRESS(894,27))+INDIRECT(ADDRESS(892,28))-INDIRECT(ADDRESS(893,28))</f>
        <v>0</v>
      </c>
      <c r="AC894">
        <f>INDIRECT(ADDRESS(894,28))+INDIRECT(ADDRESS(892,29))-INDIRECT(ADDRESS(893,29))</f>
        <v>0</v>
      </c>
      <c r="AD894">
        <f>INDIRECT(ADDRESS(894,29))+INDIRECT(ADDRESS(892,30))-INDIRECT(ADDRESS(893,30))</f>
        <v>0</v>
      </c>
      <c r="AE894">
        <f>INDIRECT(ADDRESS(894,30))+INDIRECT(ADDRESS(892,31))-INDIRECT(ADDRESS(893,31))</f>
        <v>0</v>
      </c>
      <c r="AF894">
        <f>INDIRECT(ADDRESS(894,31))+INDIRECT(ADDRESS(892,32))-INDIRECT(ADDRESS(893,32))</f>
        <v>0</v>
      </c>
      <c r="AG894">
        <f>INDIRECT(ADDRESS(894,32))+INDIRECT(ADDRESS(892,33))-INDIRECT(ADDRESS(893,33))</f>
        <v>0</v>
      </c>
      <c r="AH894">
        <f>INDIRECT(ADDRESS(894,33))+INDIRECT(ADDRESS(892,34))-INDIRECT(ADDRESS(893,34))</f>
        <v>0</v>
      </c>
      <c r="AI894">
        <f>INDIRECT(ADDRESS(894,34))+INDIRECT(ADDRESS(892,35))-INDIRECT(ADDRESS(893,35))</f>
        <v>0</v>
      </c>
      <c r="AJ894">
        <f>INDIRECT(ADDRESS(894,35))+INDIRECT(ADDRESS(892,36))-INDIRECT(ADDRESS(893,36))</f>
        <v>0</v>
      </c>
      <c r="AK894">
        <f>INDIRECT(ADDRESS(894,36))+INDIRECT(ADDRESS(892,37))-INDIRECT(ADDRESS(893,37))</f>
        <v>0</v>
      </c>
      <c r="AL894">
        <f>INDIRECT(ADDRESS(894,37))+INDIRECT(ADDRESS(892,38))-INDIRECT(ADDRESS(893,38))</f>
        <v>0</v>
      </c>
      <c r="AM894">
        <f>INDIRECT(ADDRESS(894,38))+INDIRECT(ADDRESS(892,39))-INDIRECT(ADDRESS(893,39))</f>
        <v>0</v>
      </c>
      <c r="AN894">
        <f>INDIRECT(ADDRESS(894,39))+INDIRECT(ADDRESS(892,40))-INDIRECT(ADDRESS(893,40))</f>
        <v>0</v>
      </c>
      <c r="AO894">
        <f>SUM(INDIRECT(ADDRESS(893,8)):INDIRECT(ADDRESS(893,39)))</f>
        <v>0</v>
      </c>
    </row>
    <row r="895" spans="1:41">
      <c r="A895" t="s">
        <v>185</v>
      </c>
      <c r="B895" t="s">
        <v>453</v>
      </c>
      <c r="C895" t="s">
        <v>454</v>
      </c>
      <c r="E895">
        <v>1</v>
      </c>
      <c r="I895" t="s">
        <v>177</v>
      </c>
    </row>
    <row r="896" spans="1:41">
      <c r="I896" t="s">
        <v>178</v>
      </c>
      <c r="J896">
        <f>IFERROR(VLOOKUP("921-000000-100",B:AB,1+8,0),0)</f>
        <v>0</v>
      </c>
      <c r="K896">
        <f>IFERROR(VLOOKUP("921-000000-100",B:AB,2+8,0),0)</f>
        <v>0</v>
      </c>
      <c r="L896">
        <f>IFERROR(VLOOKUP("921-000000-100",B:AB,3+8,0),0)</f>
        <v>0</v>
      </c>
      <c r="M896">
        <f>IFERROR(VLOOKUP("921-000000-100",B:AB,4+8,0),0)</f>
        <v>0</v>
      </c>
      <c r="N896">
        <f>IFERROR(VLOOKUP("921-000000-100",B:AB,5+8,0),0)</f>
        <v>0</v>
      </c>
      <c r="O896">
        <f>IFERROR(VLOOKUP("921-000000-100",B:AB,6+8,0),0)</f>
        <v>0</v>
      </c>
      <c r="P896">
        <f>IFERROR(VLOOKUP("921-000000-100",B:AB,7+8,0),0)</f>
        <v>0</v>
      </c>
      <c r="Q896">
        <f>IFERROR(VLOOKUP("921-000000-100",B:AB,8+8,0),0)</f>
        <v>0</v>
      </c>
      <c r="R896">
        <f>IFERROR(VLOOKUP("921-000000-100",B:AB,9+8,0),0)</f>
        <v>0</v>
      </c>
      <c r="S896">
        <f>IFERROR(VLOOKUP("921-000000-100",B:AB,10+8,0),0)</f>
        <v>0</v>
      </c>
      <c r="T896">
        <f>IFERROR(VLOOKUP("921-000000-100",B:AB,11+8,0),0)</f>
        <v>0</v>
      </c>
      <c r="U896">
        <f>IFERROR(VLOOKUP("921-000000-100",B:AB,12+8,0),0)</f>
        <v>0</v>
      </c>
      <c r="V896">
        <f>IFERROR(VLOOKUP("921-000000-100",B:AB,13+8,0),0)</f>
        <v>0</v>
      </c>
      <c r="W896">
        <f>IFERROR(VLOOKUP("921-000000-100",B:AB,14+8,0),0)</f>
        <v>0</v>
      </c>
      <c r="X896">
        <f>IFERROR(VLOOKUP("921-000000-100",B:AB,15+8,0),0)</f>
        <v>0</v>
      </c>
      <c r="Y896">
        <f>IFERROR(VLOOKUP("921-000000-100",B:AB,16+8,0),0)</f>
        <v>0</v>
      </c>
      <c r="Z896">
        <f>IFERROR(VLOOKUP("921-000000-100",B:AB,17+8,0),0)</f>
        <v>0</v>
      </c>
      <c r="AA896">
        <f>IFERROR(VLOOKUP("921-000000-100",B:AB,18+8,0),0)</f>
        <v>0</v>
      </c>
      <c r="AB896">
        <f>IFERROR(VLOOKUP("921-000000-100",B:AB,19+8,0),0)</f>
        <v>0</v>
      </c>
      <c r="AC896">
        <f>IFERROR(VLOOKUP("921-000000-100",B:AB,20+8,0),0)</f>
        <v>0</v>
      </c>
      <c r="AD896">
        <f>IFERROR(VLOOKUP("921-000000-100",B:AB,21+8,0),0)</f>
        <v>0</v>
      </c>
      <c r="AE896">
        <f>IFERROR(VLOOKUP("921-000000-100",B:AB,22+8,0),0)</f>
        <v>0</v>
      </c>
      <c r="AF896">
        <f>IFERROR(VLOOKUP("921-000000-100",B:AB,23+8,0),0)</f>
        <v>0</v>
      </c>
      <c r="AG896">
        <f>IFERROR(VLOOKUP("921-000000-100",B:AB,24+8,0),0)</f>
        <v>0</v>
      </c>
      <c r="AH896">
        <f>IFERROR(VLOOKUP("921-000000-100",B:AB,25+8,0),0)</f>
        <v>0</v>
      </c>
      <c r="AI896">
        <f>IFERROR(VLOOKUP("921-000000-100",B:AB,26+8,0),0)</f>
        <v>0</v>
      </c>
      <c r="AJ896">
        <f>IFERROR(VLOOKUP("921-000000-100",B:AB,27+8,0),0)</f>
        <v>0</v>
      </c>
      <c r="AK896">
        <f>IFERROR(VLOOKUP("921-000000-100",B:AB,28+8,0),0)</f>
        <v>0</v>
      </c>
      <c r="AL896">
        <f>IFERROR(VLOOKUP("921-000000-100",B:AB,29+8,0),0)</f>
        <v>0</v>
      </c>
      <c r="AM896">
        <f>IFERROR(VLOOKUP("921-000000-100",B:AB,30+8,0),0)</f>
        <v>0</v>
      </c>
      <c r="AN896">
        <f>IFERROR(VLOOKUP("921-000000-100",B:AB,31+8,0),0)</f>
        <v>0</v>
      </c>
      <c r="AO896">
        <f>SUN(INDIRECT(ADDRESS(895,8)):INDIRECT(ADDRESS(895,39)))</f>
        <v>0</v>
      </c>
    </row>
    <row r="897" spans="1:41">
      <c r="H897" t="s">
        <v>179</v>
      </c>
      <c r="J897">
        <f>INDIRECT(ADDRESS(897,9))+INDIRECT(ADDRESS(895,10))-INDIRECT(ADDRESS(896,10))</f>
        <v>0</v>
      </c>
      <c r="K897">
        <f>INDIRECT(ADDRESS(897,10))+INDIRECT(ADDRESS(895,11))-INDIRECT(ADDRESS(896,11))</f>
        <v>0</v>
      </c>
      <c r="L897">
        <f>INDIRECT(ADDRESS(897,11))+INDIRECT(ADDRESS(895,12))-INDIRECT(ADDRESS(896,12))</f>
        <v>0</v>
      </c>
      <c r="M897">
        <f>INDIRECT(ADDRESS(897,12))+INDIRECT(ADDRESS(895,13))-INDIRECT(ADDRESS(896,13))</f>
        <v>0</v>
      </c>
      <c r="N897">
        <f>INDIRECT(ADDRESS(897,13))+INDIRECT(ADDRESS(895,14))-INDIRECT(ADDRESS(896,14))</f>
        <v>0</v>
      </c>
      <c r="O897">
        <f>INDIRECT(ADDRESS(897,14))+INDIRECT(ADDRESS(895,15))-INDIRECT(ADDRESS(896,15))</f>
        <v>0</v>
      </c>
      <c r="P897">
        <f>INDIRECT(ADDRESS(897,15))+INDIRECT(ADDRESS(895,16))-INDIRECT(ADDRESS(896,16))</f>
        <v>0</v>
      </c>
      <c r="Q897">
        <f>INDIRECT(ADDRESS(897,16))+INDIRECT(ADDRESS(895,17))-INDIRECT(ADDRESS(896,17))</f>
        <v>0</v>
      </c>
      <c r="R897">
        <f>INDIRECT(ADDRESS(897,17))+INDIRECT(ADDRESS(895,18))-INDIRECT(ADDRESS(896,18))</f>
        <v>0</v>
      </c>
      <c r="S897">
        <f>INDIRECT(ADDRESS(897,18))+INDIRECT(ADDRESS(895,19))-INDIRECT(ADDRESS(896,19))</f>
        <v>0</v>
      </c>
      <c r="T897">
        <f>INDIRECT(ADDRESS(897,19))+INDIRECT(ADDRESS(895,20))-INDIRECT(ADDRESS(896,20))</f>
        <v>0</v>
      </c>
      <c r="U897">
        <f>INDIRECT(ADDRESS(897,20))+INDIRECT(ADDRESS(895,21))-INDIRECT(ADDRESS(896,21))</f>
        <v>0</v>
      </c>
      <c r="V897">
        <f>INDIRECT(ADDRESS(897,21))+INDIRECT(ADDRESS(895,22))-INDIRECT(ADDRESS(896,22))</f>
        <v>0</v>
      </c>
      <c r="W897">
        <f>INDIRECT(ADDRESS(897,22))+INDIRECT(ADDRESS(895,23))-INDIRECT(ADDRESS(896,23))</f>
        <v>0</v>
      </c>
      <c r="X897">
        <f>INDIRECT(ADDRESS(897,23))+INDIRECT(ADDRESS(895,24))-INDIRECT(ADDRESS(896,24))</f>
        <v>0</v>
      </c>
      <c r="Y897">
        <f>INDIRECT(ADDRESS(897,24))+INDIRECT(ADDRESS(895,25))-INDIRECT(ADDRESS(896,25))</f>
        <v>0</v>
      </c>
      <c r="Z897">
        <f>INDIRECT(ADDRESS(897,25))+INDIRECT(ADDRESS(895,26))-INDIRECT(ADDRESS(896,26))</f>
        <v>0</v>
      </c>
      <c r="AA897">
        <f>INDIRECT(ADDRESS(897,26))+INDIRECT(ADDRESS(895,27))-INDIRECT(ADDRESS(896,27))</f>
        <v>0</v>
      </c>
      <c r="AB897">
        <f>INDIRECT(ADDRESS(897,27))+INDIRECT(ADDRESS(895,28))-INDIRECT(ADDRESS(896,28))</f>
        <v>0</v>
      </c>
      <c r="AC897">
        <f>INDIRECT(ADDRESS(897,28))+INDIRECT(ADDRESS(895,29))-INDIRECT(ADDRESS(896,29))</f>
        <v>0</v>
      </c>
      <c r="AD897">
        <f>INDIRECT(ADDRESS(897,29))+INDIRECT(ADDRESS(895,30))-INDIRECT(ADDRESS(896,30))</f>
        <v>0</v>
      </c>
      <c r="AE897">
        <f>INDIRECT(ADDRESS(897,30))+INDIRECT(ADDRESS(895,31))-INDIRECT(ADDRESS(896,31))</f>
        <v>0</v>
      </c>
      <c r="AF897">
        <f>INDIRECT(ADDRESS(897,31))+INDIRECT(ADDRESS(895,32))-INDIRECT(ADDRESS(896,32))</f>
        <v>0</v>
      </c>
      <c r="AG897">
        <f>INDIRECT(ADDRESS(897,32))+INDIRECT(ADDRESS(895,33))-INDIRECT(ADDRESS(896,33))</f>
        <v>0</v>
      </c>
      <c r="AH897">
        <f>INDIRECT(ADDRESS(897,33))+INDIRECT(ADDRESS(895,34))-INDIRECT(ADDRESS(896,34))</f>
        <v>0</v>
      </c>
      <c r="AI897">
        <f>INDIRECT(ADDRESS(897,34))+INDIRECT(ADDRESS(895,35))-INDIRECT(ADDRESS(896,35))</f>
        <v>0</v>
      </c>
      <c r="AJ897">
        <f>INDIRECT(ADDRESS(897,35))+INDIRECT(ADDRESS(895,36))-INDIRECT(ADDRESS(896,36))</f>
        <v>0</v>
      </c>
      <c r="AK897">
        <f>INDIRECT(ADDRESS(897,36))+INDIRECT(ADDRESS(895,37))-INDIRECT(ADDRESS(896,37))</f>
        <v>0</v>
      </c>
      <c r="AL897">
        <f>INDIRECT(ADDRESS(897,37))+INDIRECT(ADDRESS(895,38))-INDIRECT(ADDRESS(896,38))</f>
        <v>0</v>
      </c>
      <c r="AM897">
        <f>INDIRECT(ADDRESS(897,38))+INDIRECT(ADDRESS(895,39))-INDIRECT(ADDRESS(896,39))</f>
        <v>0</v>
      </c>
      <c r="AN897">
        <f>INDIRECT(ADDRESS(897,39))+INDIRECT(ADDRESS(895,40))-INDIRECT(ADDRESS(896,40))</f>
        <v>0</v>
      </c>
      <c r="AO897">
        <f>SUM(INDIRECT(ADDRESS(896,8)):INDIRECT(ADDRESS(896,39)))</f>
        <v>0</v>
      </c>
    </row>
    <row r="898" spans="1:41">
      <c r="A898" t="s">
        <v>185</v>
      </c>
      <c r="B898" t="s">
        <v>455</v>
      </c>
      <c r="C898" t="s">
        <v>456</v>
      </c>
      <c r="E898">
        <v>1</v>
      </c>
      <c r="I898" t="s">
        <v>177</v>
      </c>
    </row>
    <row r="899" spans="1:41">
      <c r="I899" t="s">
        <v>178</v>
      </c>
      <c r="J899">
        <f>IFERROR(VLOOKUP("921-000000-100",B:AB,1+8,0),0)</f>
        <v>0</v>
      </c>
      <c r="K899">
        <f>IFERROR(VLOOKUP("921-000000-100",B:AB,2+8,0),0)</f>
        <v>0</v>
      </c>
      <c r="L899">
        <f>IFERROR(VLOOKUP("921-000000-100",B:AB,3+8,0),0)</f>
        <v>0</v>
      </c>
      <c r="M899">
        <f>IFERROR(VLOOKUP("921-000000-100",B:AB,4+8,0),0)</f>
        <v>0</v>
      </c>
      <c r="N899">
        <f>IFERROR(VLOOKUP("921-000000-100",B:AB,5+8,0),0)</f>
        <v>0</v>
      </c>
      <c r="O899">
        <f>IFERROR(VLOOKUP("921-000000-100",B:AB,6+8,0),0)</f>
        <v>0</v>
      </c>
      <c r="P899">
        <f>IFERROR(VLOOKUP("921-000000-100",B:AB,7+8,0),0)</f>
        <v>0</v>
      </c>
      <c r="Q899">
        <f>IFERROR(VLOOKUP("921-000000-100",B:AB,8+8,0),0)</f>
        <v>0</v>
      </c>
      <c r="R899">
        <f>IFERROR(VLOOKUP("921-000000-100",B:AB,9+8,0),0)</f>
        <v>0</v>
      </c>
      <c r="S899">
        <f>IFERROR(VLOOKUP("921-000000-100",B:AB,10+8,0),0)</f>
        <v>0</v>
      </c>
      <c r="T899">
        <f>IFERROR(VLOOKUP("921-000000-100",B:AB,11+8,0),0)</f>
        <v>0</v>
      </c>
      <c r="U899">
        <f>IFERROR(VLOOKUP("921-000000-100",B:AB,12+8,0),0)</f>
        <v>0</v>
      </c>
      <c r="V899">
        <f>IFERROR(VLOOKUP("921-000000-100",B:AB,13+8,0),0)</f>
        <v>0</v>
      </c>
      <c r="W899">
        <f>IFERROR(VLOOKUP("921-000000-100",B:AB,14+8,0),0)</f>
        <v>0</v>
      </c>
      <c r="X899">
        <f>IFERROR(VLOOKUP("921-000000-100",B:AB,15+8,0),0)</f>
        <v>0</v>
      </c>
      <c r="Y899">
        <f>IFERROR(VLOOKUP("921-000000-100",B:AB,16+8,0),0)</f>
        <v>0</v>
      </c>
      <c r="Z899">
        <f>IFERROR(VLOOKUP("921-000000-100",B:AB,17+8,0),0)</f>
        <v>0</v>
      </c>
      <c r="AA899">
        <f>IFERROR(VLOOKUP("921-000000-100",B:AB,18+8,0),0)</f>
        <v>0</v>
      </c>
      <c r="AB899">
        <f>IFERROR(VLOOKUP("921-000000-100",B:AB,19+8,0),0)</f>
        <v>0</v>
      </c>
      <c r="AC899">
        <f>IFERROR(VLOOKUP("921-000000-100",B:AB,20+8,0),0)</f>
        <v>0</v>
      </c>
      <c r="AD899">
        <f>IFERROR(VLOOKUP("921-000000-100",B:AB,21+8,0),0)</f>
        <v>0</v>
      </c>
      <c r="AE899">
        <f>IFERROR(VLOOKUP("921-000000-100",B:AB,22+8,0),0)</f>
        <v>0</v>
      </c>
      <c r="AF899">
        <f>IFERROR(VLOOKUP("921-000000-100",B:AB,23+8,0),0)</f>
        <v>0</v>
      </c>
      <c r="AG899">
        <f>IFERROR(VLOOKUP("921-000000-100",B:AB,24+8,0),0)</f>
        <v>0</v>
      </c>
      <c r="AH899">
        <f>IFERROR(VLOOKUP("921-000000-100",B:AB,25+8,0),0)</f>
        <v>0</v>
      </c>
      <c r="AI899">
        <f>IFERROR(VLOOKUP("921-000000-100",B:AB,26+8,0),0)</f>
        <v>0</v>
      </c>
      <c r="AJ899">
        <f>IFERROR(VLOOKUP("921-000000-100",B:AB,27+8,0),0)</f>
        <v>0</v>
      </c>
      <c r="AK899">
        <f>IFERROR(VLOOKUP("921-000000-100",B:AB,28+8,0),0)</f>
        <v>0</v>
      </c>
      <c r="AL899">
        <f>IFERROR(VLOOKUP("921-000000-100",B:AB,29+8,0),0)</f>
        <v>0</v>
      </c>
      <c r="AM899">
        <f>IFERROR(VLOOKUP("921-000000-100",B:AB,30+8,0),0)</f>
        <v>0</v>
      </c>
      <c r="AN899">
        <f>IFERROR(VLOOKUP("921-000000-100",B:AB,31+8,0),0)</f>
        <v>0</v>
      </c>
      <c r="AO899">
        <f>SUN(INDIRECT(ADDRESS(898,8)):INDIRECT(ADDRESS(898,39)))</f>
        <v>0</v>
      </c>
    </row>
    <row r="900" spans="1:41">
      <c r="H900" t="s">
        <v>179</v>
      </c>
      <c r="J900">
        <f>INDIRECT(ADDRESS(900,9))+INDIRECT(ADDRESS(898,10))-INDIRECT(ADDRESS(899,10))</f>
        <v>0</v>
      </c>
      <c r="K900">
        <f>INDIRECT(ADDRESS(900,10))+INDIRECT(ADDRESS(898,11))-INDIRECT(ADDRESS(899,11))</f>
        <v>0</v>
      </c>
      <c r="L900">
        <f>INDIRECT(ADDRESS(900,11))+INDIRECT(ADDRESS(898,12))-INDIRECT(ADDRESS(899,12))</f>
        <v>0</v>
      </c>
      <c r="M900">
        <f>INDIRECT(ADDRESS(900,12))+INDIRECT(ADDRESS(898,13))-INDIRECT(ADDRESS(899,13))</f>
        <v>0</v>
      </c>
      <c r="N900">
        <f>INDIRECT(ADDRESS(900,13))+INDIRECT(ADDRESS(898,14))-INDIRECT(ADDRESS(899,14))</f>
        <v>0</v>
      </c>
      <c r="O900">
        <f>INDIRECT(ADDRESS(900,14))+INDIRECT(ADDRESS(898,15))-INDIRECT(ADDRESS(899,15))</f>
        <v>0</v>
      </c>
      <c r="P900">
        <f>INDIRECT(ADDRESS(900,15))+INDIRECT(ADDRESS(898,16))-INDIRECT(ADDRESS(899,16))</f>
        <v>0</v>
      </c>
      <c r="Q900">
        <f>INDIRECT(ADDRESS(900,16))+INDIRECT(ADDRESS(898,17))-INDIRECT(ADDRESS(899,17))</f>
        <v>0</v>
      </c>
      <c r="R900">
        <f>INDIRECT(ADDRESS(900,17))+INDIRECT(ADDRESS(898,18))-INDIRECT(ADDRESS(899,18))</f>
        <v>0</v>
      </c>
      <c r="S900">
        <f>INDIRECT(ADDRESS(900,18))+INDIRECT(ADDRESS(898,19))-INDIRECT(ADDRESS(899,19))</f>
        <v>0</v>
      </c>
      <c r="T900">
        <f>INDIRECT(ADDRESS(900,19))+INDIRECT(ADDRESS(898,20))-INDIRECT(ADDRESS(899,20))</f>
        <v>0</v>
      </c>
      <c r="U900">
        <f>INDIRECT(ADDRESS(900,20))+INDIRECT(ADDRESS(898,21))-INDIRECT(ADDRESS(899,21))</f>
        <v>0</v>
      </c>
      <c r="V900">
        <f>INDIRECT(ADDRESS(900,21))+INDIRECT(ADDRESS(898,22))-INDIRECT(ADDRESS(899,22))</f>
        <v>0</v>
      </c>
      <c r="W900">
        <f>INDIRECT(ADDRESS(900,22))+INDIRECT(ADDRESS(898,23))-INDIRECT(ADDRESS(899,23))</f>
        <v>0</v>
      </c>
      <c r="X900">
        <f>INDIRECT(ADDRESS(900,23))+INDIRECT(ADDRESS(898,24))-INDIRECT(ADDRESS(899,24))</f>
        <v>0</v>
      </c>
      <c r="Y900">
        <f>INDIRECT(ADDRESS(900,24))+INDIRECT(ADDRESS(898,25))-INDIRECT(ADDRESS(899,25))</f>
        <v>0</v>
      </c>
      <c r="Z900">
        <f>INDIRECT(ADDRESS(900,25))+INDIRECT(ADDRESS(898,26))-INDIRECT(ADDRESS(899,26))</f>
        <v>0</v>
      </c>
      <c r="AA900">
        <f>INDIRECT(ADDRESS(900,26))+INDIRECT(ADDRESS(898,27))-INDIRECT(ADDRESS(899,27))</f>
        <v>0</v>
      </c>
      <c r="AB900">
        <f>INDIRECT(ADDRESS(900,27))+INDIRECT(ADDRESS(898,28))-INDIRECT(ADDRESS(899,28))</f>
        <v>0</v>
      </c>
      <c r="AC900">
        <f>INDIRECT(ADDRESS(900,28))+INDIRECT(ADDRESS(898,29))-INDIRECT(ADDRESS(899,29))</f>
        <v>0</v>
      </c>
      <c r="AD900">
        <f>INDIRECT(ADDRESS(900,29))+INDIRECT(ADDRESS(898,30))-INDIRECT(ADDRESS(899,30))</f>
        <v>0</v>
      </c>
      <c r="AE900">
        <f>INDIRECT(ADDRESS(900,30))+INDIRECT(ADDRESS(898,31))-INDIRECT(ADDRESS(899,31))</f>
        <v>0</v>
      </c>
      <c r="AF900">
        <f>INDIRECT(ADDRESS(900,31))+INDIRECT(ADDRESS(898,32))-INDIRECT(ADDRESS(899,32))</f>
        <v>0</v>
      </c>
      <c r="AG900">
        <f>INDIRECT(ADDRESS(900,32))+INDIRECT(ADDRESS(898,33))-INDIRECT(ADDRESS(899,33))</f>
        <v>0</v>
      </c>
      <c r="AH900">
        <f>INDIRECT(ADDRESS(900,33))+INDIRECT(ADDRESS(898,34))-INDIRECT(ADDRESS(899,34))</f>
        <v>0</v>
      </c>
      <c r="AI900">
        <f>INDIRECT(ADDRESS(900,34))+INDIRECT(ADDRESS(898,35))-INDIRECT(ADDRESS(899,35))</f>
        <v>0</v>
      </c>
      <c r="AJ900">
        <f>INDIRECT(ADDRESS(900,35))+INDIRECT(ADDRESS(898,36))-INDIRECT(ADDRESS(899,36))</f>
        <v>0</v>
      </c>
      <c r="AK900">
        <f>INDIRECT(ADDRESS(900,36))+INDIRECT(ADDRESS(898,37))-INDIRECT(ADDRESS(899,37))</f>
        <v>0</v>
      </c>
      <c r="AL900">
        <f>INDIRECT(ADDRESS(900,37))+INDIRECT(ADDRESS(898,38))-INDIRECT(ADDRESS(899,38))</f>
        <v>0</v>
      </c>
      <c r="AM900">
        <f>INDIRECT(ADDRESS(900,38))+INDIRECT(ADDRESS(898,39))-INDIRECT(ADDRESS(899,39))</f>
        <v>0</v>
      </c>
      <c r="AN900">
        <f>INDIRECT(ADDRESS(900,39))+INDIRECT(ADDRESS(898,40))-INDIRECT(ADDRESS(899,40))</f>
        <v>0</v>
      </c>
      <c r="AO900">
        <f>SUM(INDIRECT(ADDRESS(899,8)):INDIRECT(ADDRESS(899,39)))</f>
        <v>0</v>
      </c>
    </row>
    <row r="901" spans="1:41">
      <c r="A901" t="s">
        <v>185</v>
      </c>
      <c r="B901" t="s">
        <v>457</v>
      </c>
      <c r="C901" t="s">
        <v>458</v>
      </c>
      <c r="E901">
        <v>1</v>
      </c>
      <c r="I901" t="s">
        <v>177</v>
      </c>
    </row>
    <row r="902" spans="1:41">
      <c r="I902" t="s">
        <v>178</v>
      </c>
      <c r="J902">
        <f>IFERROR(VLOOKUP("921-000000-100",B:AB,1+8,0),0)</f>
        <v>0</v>
      </c>
      <c r="K902">
        <f>IFERROR(VLOOKUP("921-000000-100",B:AB,2+8,0),0)</f>
        <v>0</v>
      </c>
      <c r="L902">
        <f>IFERROR(VLOOKUP("921-000000-100",B:AB,3+8,0),0)</f>
        <v>0</v>
      </c>
      <c r="M902">
        <f>IFERROR(VLOOKUP("921-000000-100",B:AB,4+8,0),0)</f>
        <v>0</v>
      </c>
      <c r="N902">
        <f>IFERROR(VLOOKUP("921-000000-100",B:AB,5+8,0),0)</f>
        <v>0</v>
      </c>
      <c r="O902">
        <f>IFERROR(VLOOKUP("921-000000-100",B:AB,6+8,0),0)</f>
        <v>0</v>
      </c>
      <c r="P902">
        <f>IFERROR(VLOOKUP("921-000000-100",B:AB,7+8,0),0)</f>
        <v>0</v>
      </c>
      <c r="Q902">
        <f>IFERROR(VLOOKUP("921-000000-100",B:AB,8+8,0),0)</f>
        <v>0</v>
      </c>
      <c r="R902">
        <f>IFERROR(VLOOKUP("921-000000-100",B:AB,9+8,0),0)</f>
        <v>0</v>
      </c>
      <c r="S902">
        <f>IFERROR(VLOOKUP("921-000000-100",B:AB,10+8,0),0)</f>
        <v>0</v>
      </c>
      <c r="T902">
        <f>IFERROR(VLOOKUP("921-000000-100",B:AB,11+8,0),0)</f>
        <v>0</v>
      </c>
      <c r="U902">
        <f>IFERROR(VLOOKUP("921-000000-100",B:AB,12+8,0),0)</f>
        <v>0</v>
      </c>
      <c r="V902">
        <f>IFERROR(VLOOKUP("921-000000-100",B:AB,13+8,0),0)</f>
        <v>0</v>
      </c>
      <c r="W902">
        <f>IFERROR(VLOOKUP("921-000000-100",B:AB,14+8,0),0)</f>
        <v>0</v>
      </c>
      <c r="X902">
        <f>IFERROR(VLOOKUP("921-000000-100",B:AB,15+8,0),0)</f>
        <v>0</v>
      </c>
      <c r="Y902">
        <f>IFERROR(VLOOKUP("921-000000-100",B:AB,16+8,0),0)</f>
        <v>0</v>
      </c>
      <c r="Z902">
        <f>IFERROR(VLOOKUP("921-000000-100",B:AB,17+8,0),0)</f>
        <v>0</v>
      </c>
      <c r="AA902">
        <f>IFERROR(VLOOKUP("921-000000-100",B:AB,18+8,0),0)</f>
        <v>0</v>
      </c>
      <c r="AB902">
        <f>IFERROR(VLOOKUP("921-000000-100",B:AB,19+8,0),0)</f>
        <v>0</v>
      </c>
      <c r="AC902">
        <f>IFERROR(VLOOKUP("921-000000-100",B:AB,20+8,0),0)</f>
        <v>0</v>
      </c>
      <c r="AD902">
        <f>IFERROR(VLOOKUP("921-000000-100",B:AB,21+8,0),0)</f>
        <v>0</v>
      </c>
      <c r="AE902">
        <f>IFERROR(VLOOKUP("921-000000-100",B:AB,22+8,0),0)</f>
        <v>0</v>
      </c>
      <c r="AF902">
        <f>IFERROR(VLOOKUP("921-000000-100",B:AB,23+8,0),0)</f>
        <v>0</v>
      </c>
      <c r="AG902">
        <f>IFERROR(VLOOKUP("921-000000-100",B:AB,24+8,0),0)</f>
        <v>0</v>
      </c>
      <c r="AH902">
        <f>IFERROR(VLOOKUP("921-000000-100",B:AB,25+8,0),0)</f>
        <v>0</v>
      </c>
      <c r="AI902">
        <f>IFERROR(VLOOKUP("921-000000-100",B:AB,26+8,0),0)</f>
        <v>0</v>
      </c>
      <c r="AJ902">
        <f>IFERROR(VLOOKUP("921-000000-100",B:AB,27+8,0),0)</f>
        <v>0</v>
      </c>
      <c r="AK902">
        <f>IFERROR(VLOOKUP("921-000000-100",B:AB,28+8,0),0)</f>
        <v>0</v>
      </c>
      <c r="AL902">
        <f>IFERROR(VLOOKUP("921-000000-100",B:AB,29+8,0),0)</f>
        <v>0</v>
      </c>
      <c r="AM902">
        <f>IFERROR(VLOOKUP("921-000000-100",B:AB,30+8,0),0)</f>
        <v>0</v>
      </c>
      <c r="AN902">
        <f>IFERROR(VLOOKUP("921-000000-100",B:AB,31+8,0),0)</f>
        <v>0</v>
      </c>
      <c r="AO902">
        <f>SUN(INDIRECT(ADDRESS(901,8)):INDIRECT(ADDRESS(901,39)))</f>
        <v>0</v>
      </c>
    </row>
    <row r="903" spans="1:41">
      <c r="H903" t="s">
        <v>179</v>
      </c>
      <c r="J903">
        <f>INDIRECT(ADDRESS(903,9))+INDIRECT(ADDRESS(901,10))-INDIRECT(ADDRESS(902,10))</f>
        <v>0</v>
      </c>
      <c r="K903">
        <f>INDIRECT(ADDRESS(903,10))+INDIRECT(ADDRESS(901,11))-INDIRECT(ADDRESS(902,11))</f>
        <v>0</v>
      </c>
      <c r="L903">
        <f>INDIRECT(ADDRESS(903,11))+INDIRECT(ADDRESS(901,12))-INDIRECT(ADDRESS(902,12))</f>
        <v>0</v>
      </c>
      <c r="M903">
        <f>INDIRECT(ADDRESS(903,12))+INDIRECT(ADDRESS(901,13))-INDIRECT(ADDRESS(902,13))</f>
        <v>0</v>
      </c>
      <c r="N903">
        <f>INDIRECT(ADDRESS(903,13))+INDIRECT(ADDRESS(901,14))-INDIRECT(ADDRESS(902,14))</f>
        <v>0</v>
      </c>
      <c r="O903">
        <f>INDIRECT(ADDRESS(903,14))+INDIRECT(ADDRESS(901,15))-INDIRECT(ADDRESS(902,15))</f>
        <v>0</v>
      </c>
      <c r="P903">
        <f>INDIRECT(ADDRESS(903,15))+INDIRECT(ADDRESS(901,16))-INDIRECT(ADDRESS(902,16))</f>
        <v>0</v>
      </c>
      <c r="Q903">
        <f>INDIRECT(ADDRESS(903,16))+INDIRECT(ADDRESS(901,17))-INDIRECT(ADDRESS(902,17))</f>
        <v>0</v>
      </c>
      <c r="R903">
        <f>INDIRECT(ADDRESS(903,17))+INDIRECT(ADDRESS(901,18))-INDIRECT(ADDRESS(902,18))</f>
        <v>0</v>
      </c>
      <c r="S903">
        <f>INDIRECT(ADDRESS(903,18))+INDIRECT(ADDRESS(901,19))-INDIRECT(ADDRESS(902,19))</f>
        <v>0</v>
      </c>
      <c r="T903">
        <f>INDIRECT(ADDRESS(903,19))+INDIRECT(ADDRESS(901,20))-INDIRECT(ADDRESS(902,20))</f>
        <v>0</v>
      </c>
      <c r="U903">
        <f>INDIRECT(ADDRESS(903,20))+INDIRECT(ADDRESS(901,21))-INDIRECT(ADDRESS(902,21))</f>
        <v>0</v>
      </c>
      <c r="V903">
        <f>INDIRECT(ADDRESS(903,21))+INDIRECT(ADDRESS(901,22))-INDIRECT(ADDRESS(902,22))</f>
        <v>0</v>
      </c>
      <c r="W903">
        <f>INDIRECT(ADDRESS(903,22))+INDIRECT(ADDRESS(901,23))-INDIRECT(ADDRESS(902,23))</f>
        <v>0</v>
      </c>
      <c r="X903">
        <f>INDIRECT(ADDRESS(903,23))+INDIRECT(ADDRESS(901,24))-INDIRECT(ADDRESS(902,24))</f>
        <v>0</v>
      </c>
      <c r="Y903">
        <f>INDIRECT(ADDRESS(903,24))+INDIRECT(ADDRESS(901,25))-INDIRECT(ADDRESS(902,25))</f>
        <v>0</v>
      </c>
      <c r="Z903">
        <f>INDIRECT(ADDRESS(903,25))+INDIRECT(ADDRESS(901,26))-INDIRECT(ADDRESS(902,26))</f>
        <v>0</v>
      </c>
      <c r="AA903">
        <f>INDIRECT(ADDRESS(903,26))+INDIRECT(ADDRESS(901,27))-INDIRECT(ADDRESS(902,27))</f>
        <v>0</v>
      </c>
      <c r="AB903">
        <f>INDIRECT(ADDRESS(903,27))+INDIRECT(ADDRESS(901,28))-INDIRECT(ADDRESS(902,28))</f>
        <v>0</v>
      </c>
      <c r="AC903">
        <f>INDIRECT(ADDRESS(903,28))+INDIRECT(ADDRESS(901,29))-INDIRECT(ADDRESS(902,29))</f>
        <v>0</v>
      </c>
      <c r="AD903">
        <f>INDIRECT(ADDRESS(903,29))+INDIRECT(ADDRESS(901,30))-INDIRECT(ADDRESS(902,30))</f>
        <v>0</v>
      </c>
      <c r="AE903">
        <f>INDIRECT(ADDRESS(903,30))+INDIRECT(ADDRESS(901,31))-INDIRECT(ADDRESS(902,31))</f>
        <v>0</v>
      </c>
      <c r="AF903">
        <f>INDIRECT(ADDRESS(903,31))+INDIRECT(ADDRESS(901,32))-INDIRECT(ADDRESS(902,32))</f>
        <v>0</v>
      </c>
      <c r="AG903">
        <f>INDIRECT(ADDRESS(903,32))+INDIRECT(ADDRESS(901,33))-INDIRECT(ADDRESS(902,33))</f>
        <v>0</v>
      </c>
      <c r="AH903">
        <f>INDIRECT(ADDRESS(903,33))+INDIRECT(ADDRESS(901,34))-INDIRECT(ADDRESS(902,34))</f>
        <v>0</v>
      </c>
      <c r="AI903">
        <f>INDIRECT(ADDRESS(903,34))+INDIRECT(ADDRESS(901,35))-INDIRECT(ADDRESS(902,35))</f>
        <v>0</v>
      </c>
      <c r="AJ903">
        <f>INDIRECT(ADDRESS(903,35))+INDIRECT(ADDRESS(901,36))-INDIRECT(ADDRESS(902,36))</f>
        <v>0</v>
      </c>
      <c r="AK903">
        <f>INDIRECT(ADDRESS(903,36))+INDIRECT(ADDRESS(901,37))-INDIRECT(ADDRESS(902,37))</f>
        <v>0</v>
      </c>
      <c r="AL903">
        <f>INDIRECT(ADDRESS(903,37))+INDIRECT(ADDRESS(901,38))-INDIRECT(ADDRESS(902,38))</f>
        <v>0</v>
      </c>
      <c r="AM903">
        <f>INDIRECT(ADDRESS(903,38))+INDIRECT(ADDRESS(901,39))-INDIRECT(ADDRESS(902,39))</f>
        <v>0</v>
      </c>
      <c r="AN903">
        <f>INDIRECT(ADDRESS(903,39))+INDIRECT(ADDRESS(901,40))-INDIRECT(ADDRESS(902,40))</f>
        <v>0</v>
      </c>
      <c r="AO903">
        <f>SUM(INDIRECT(ADDRESS(902,8)):INDIRECT(ADDRESS(902,39)))</f>
        <v>0</v>
      </c>
    </row>
    <row r="904" spans="1:41">
      <c r="A904" t="s">
        <v>185</v>
      </c>
      <c r="B904" t="s">
        <v>459</v>
      </c>
      <c r="C904" t="s">
        <v>460</v>
      </c>
      <c r="E904">
        <v>1</v>
      </c>
      <c r="I904" t="s">
        <v>177</v>
      </c>
    </row>
    <row r="905" spans="1:41">
      <c r="I905" t="s">
        <v>178</v>
      </c>
      <c r="J905">
        <f>IFERROR(VLOOKUP("921-000000-100",B:AB,1+8,0),0)</f>
        <v>0</v>
      </c>
      <c r="K905">
        <f>IFERROR(VLOOKUP("921-000000-100",B:AB,2+8,0),0)</f>
        <v>0</v>
      </c>
      <c r="L905">
        <f>IFERROR(VLOOKUP("921-000000-100",B:AB,3+8,0),0)</f>
        <v>0</v>
      </c>
      <c r="M905">
        <f>IFERROR(VLOOKUP("921-000000-100",B:AB,4+8,0),0)</f>
        <v>0</v>
      </c>
      <c r="N905">
        <f>IFERROR(VLOOKUP("921-000000-100",B:AB,5+8,0),0)</f>
        <v>0</v>
      </c>
      <c r="O905">
        <f>IFERROR(VLOOKUP("921-000000-100",B:AB,6+8,0),0)</f>
        <v>0</v>
      </c>
      <c r="P905">
        <f>IFERROR(VLOOKUP("921-000000-100",B:AB,7+8,0),0)</f>
        <v>0</v>
      </c>
      <c r="Q905">
        <f>IFERROR(VLOOKUP("921-000000-100",B:AB,8+8,0),0)</f>
        <v>0</v>
      </c>
      <c r="R905">
        <f>IFERROR(VLOOKUP("921-000000-100",B:AB,9+8,0),0)</f>
        <v>0</v>
      </c>
      <c r="S905">
        <f>IFERROR(VLOOKUP("921-000000-100",B:AB,10+8,0),0)</f>
        <v>0</v>
      </c>
      <c r="T905">
        <f>IFERROR(VLOOKUP("921-000000-100",B:AB,11+8,0),0)</f>
        <v>0</v>
      </c>
      <c r="U905">
        <f>IFERROR(VLOOKUP("921-000000-100",B:AB,12+8,0),0)</f>
        <v>0</v>
      </c>
      <c r="V905">
        <f>IFERROR(VLOOKUP("921-000000-100",B:AB,13+8,0),0)</f>
        <v>0</v>
      </c>
      <c r="W905">
        <f>IFERROR(VLOOKUP("921-000000-100",B:AB,14+8,0),0)</f>
        <v>0</v>
      </c>
      <c r="X905">
        <f>IFERROR(VLOOKUP("921-000000-100",B:AB,15+8,0),0)</f>
        <v>0</v>
      </c>
      <c r="Y905">
        <f>IFERROR(VLOOKUP("921-000000-100",B:AB,16+8,0),0)</f>
        <v>0</v>
      </c>
      <c r="Z905">
        <f>IFERROR(VLOOKUP("921-000000-100",B:AB,17+8,0),0)</f>
        <v>0</v>
      </c>
      <c r="AA905">
        <f>IFERROR(VLOOKUP("921-000000-100",B:AB,18+8,0),0)</f>
        <v>0</v>
      </c>
      <c r="AB905">
        <f>IFERROR(VLOOKUP("921-000000-100",B:AB,19+8,0),0)</f>
        <v>0</v>
      </c>
      <c r="AC905">
        <f>IFERROR(VLOOKUP("921-000000-100",B:AB,20+8,0),0)</f>
        <v>0</v>
      </c>
      <c r="AD905">
        <f>IFERROR(VLOOKUP("921-000000-100",B:AB,21+8,0),0)</f>
        <v>0</v>
      </c>
      <c r="AE905">
        <f>IFERROR(VLOOKUP("921-000000-100",B:AB,22+8,0),0)</f>
        <v>0</v>
      </c>
      <c r="AF905">
        <f>IFERROR(VLOOKUP("921-000000-100",B:AB,23+8,0),0)</f>
        <v>0</v>
      </c>
      <c r="AG905">
        <f>IFERROR(VLOOKUP("921-000000-100",B:AB,24+8,0),0)</f>
        <v>0</v>
      </c>
      <c r="AH905">
        <f>IFERROR(VLOOKUP("921-000000-100",B:AB,25+8,0),0)</f>
        <v>0</v>
      </c>
      <c r="AI905">
        <f>IFERROR(VLOOKUP("921-000000-100",B:AB,26+8,0),0)</f>
        <v>0</v>
      </c>
      <c r="AJ905">
        <f>IFERROR(VLOOKUP("921-000000-100",B:AB,27+8,0),0)</f>
        <v>0</v>
      </c>
      <c r="AK905">
        <f>IFERROR(VLOOKUP("921-000000-100",B:AB,28+8,0),0)</f>
        <v>0</v>
      </c>
      <c r="AL905">
        <f>IFERROR(VLOOKUP("921-000000-100",B:AB,29+8,0),0)</f>
        <v>0</v>
      </c>
      <c r="AM905">
        <f>IFERROR(VLOOKUP("921-000000-100",B:AB,30+8,0),0)</f>
        <v>0</v>
      </c>
      <c r="AN905">
        <f>IFERROR(VLOOKUP("921-000000-100",B:AB,31+8,0),0)</f>
        <v>0</v>
      </c>
      <c r="AO905">
        <f>SUN(INDIRECT(ADDRESS(904,8)):INDIRECT(ADDRESS(904,39)))</f>
        <v>0</v>
      </c>
    </row>
    <row r="906" spans="1:41">
      <c r="H906" t="s">
        <v>179</v>
      </c>
      <c r="J906">
        <f>INDIRECT(ADDRESS(906,9))+INDIRECT(ADDRESS(904,10))-INDIRECT(ADDRESS(905,10))</f>
        <v>0</v>
      </c>
      <c r="K906">
        <f>INDIRECT(ADDRESS(906,10))+INDIRECT(ADDRESS(904,11))-INDIRECT(ADDRESS(905,11))</f>
        <v>0</v>
      </c>
      <c r="L906">
        <f>INDIRECT(ADDRESS(906,11))+INDIRECT(ADDRESS(904,12))-INDIRECT(ADDRESS(905,12))</f>
        <v>0</v>
      </c>
      <c r="M906">
        <f>INDIRECT(ADDRESS(906,12))+INDIRECT(ADDRESS(904,13))-INDIRECT(ADDRESS(905,13))</f>
        <v>0</v>
      </c>
      <c r="N906">
        <f>INDIRECT(ADDRESS(906,13))+INDIRECT(ADDRESS(904,14))-INDIRECT(ADDRESS(905,14))</f>
        <v>0</v>
      </c>
      <c r="O906">
        <f>INDIRECT(ADDRESS(906,14))+INDIRECT(ADDRESS(904,15))-INDIRECT(ADDRESS(905,15))</f>
        <v>0</v>
      </c>
      <c r="P906">
        <f>INDIRECT(ADDRESS(906,15))+INDIRECT(ADDRESS(904,16))-INDIRECT(ADDRESS(905,16))</f>
        <v>0</v>
      </c>
      <c r="Q906">
        <f>INDIRECT(ADDRESS(906,16))+INDIRECT(ADDRESS(904,17))-INDIRECT(ADDRESS(905,17))</f>
        <v>0</v>
      </c>
      <c r="R906">
        <f>INDIRECT(ADDRESS(906,17))+INDIRECT(ADDRESS(904,18))-INDIRECT(ADDRESS(905,18))</f>
        <v>0</v>
      </c>
      <c r="S906">
        <f>INDIRECT(ADDRESS(906,18))+INDIRECT(ADDRESS(904,19))-INDIRECT(ADDRESS(905,19))</f>
        <v>0</v>
      </c>
      <c r="T906">
        <f>INDIRECT(ADDRESS(906,19))+INDIRECT(ADDRESS(904,20))-INDIRECT(ADDRESS(905,20))</f>
        <v>0</v>
      </c>
      <c r="U906">
        <f>INDIRECT(ADDRESS(906,20))+INDIRECT(ADDRESS(904,21))-INDIRECT(ADDRESS(905,21))</f>
        <v>0</v>
      </c>
      <c r="V906">
        <f>INDIRECT(ADDRESS(906,21))+INDIRECT(ADDRESS(904,22))-INDIRECT(ADDRESS(905,22))</f>
        <v>0</v>
      </c>
      <c r="W906">
        <f>INDIRECT(ADDRESS(906,22))+INDIRECT(ADDRESS(904,23))-INDIRECT(ADDRESS(905,23))</f>
        <v>0</v>
      </c>
      <c r="X906">
        <f>INDIRECT(ADDRESS(906,23))+INDIRECT(ADDRESS(904,24))-INDIRECT(ADDRESS(905,24))</f>
        <v>0</v>
      </c>
      <c r="Y906">
        <f>INDIRECT(ADDRESS(906,24))+INDIRECT(ADDRESS(904,25))-INDIRECT(ADDRESS(905,25))</f>
        <v>0</v>
      </c>
      <c r="Z906">
        <f>INDIRECT(ADDRESS(906,25))+INDIRECT(ADDRESS(904,26))-INDIRECT(ADDRESS(905,26))</f>
        <v>0</v>
      </c>
      <c r="AA906">
        <f>INDIRECT(ADDRESS(906,26))+INDIRECT(ADDRESS(904,27))-INDIRECT(ADDRESS(905,27))</f>
        <v>0</v>
      </c>
      <c r="AB906">
        <f>INDIRECT(ADDRESS(906,27))+INDIRECT(ADDRESS(904,28))-INDIRECT(ADDRESS(905,28))</f>
        <v>0</v>
      </c>
      <c r="AC906">
        <f>INDIRECT(ADDRESS(906,28))+INDIRECT(ADDRESS(904,29))-INDIRECT(ADDRESS(905,29))</f>
        <v>0</v>
      </c>
      <c r="AD906">
        <f>INDIRECT(ADDRESS(906,29))+INDIRECT(ADDRESS(904,30))-INDIRECT(ADDRESS(905,30))</f>
        <v>0</v>
      </c>
      <c r="AE906">
        <f>INDIRECT(ADDRESS(906,30))+INDIRECT(ADDRESS(904,31))-INDIRECT(ADDRESS(905,31))</f>
        <v>0</v>
      </c>
      <c r="AF906">
        <f>INDIRECT(ADDRESS(906,31))+INDIRECT(ADDRESS(904,32))-INDIRECT(ADDRESS(905,32))</f>
        <v>0</v>
      </c>
      <c r="AG906">
        <f>INDIRECT(ADDRESS(906,32))+INDIRECT(ADDRESS(904,33))-INDIRECT(ADDRESS(905,33))</f>
        <v>0</v>
      </c>
      <c r="AH906">
        <f>INDIRECT(ADDRESS(906,33))+INDIRECT(ADDRESS(904,34))-INDIRECT(ADDRESS(905,34))</f>
        <v>0</v>
      </c>
      <c r="AI906">
        <f>INDIRECT(ADDRESS(906,34))+INDIRECT(ADDRESS(904,35))-INDIRECT(ADDRESS(905,35))</f>
        <v>0</v>
      </c>
      <c r="AJ906">
        <f>INDIRECT(ADDRESS(906,35))+INDIRECT(ADDRESS(904,36))-INDIRECT(ADDRESS(905,36))</f>
        <v>0</v>
      </c>
      <c r="AK906">
        <f>INDIRECT(ADDRESS(906,36))+INDIRECT(ADDRESS(904,37))-INDIRECT(ADDRESS(905,37))</f>
        <v>0</v>
      </c>
      <c r="AL906">
        <f>INDIRECT(ADDRESS(906,37))+INDIRECT(ADDRESS(904,38))-INDIRECT(ADDRESS(905,38))</f>
        <v>0</v>
      </c>
      <c r="AM906">
        <f>INDIRECT(ADDRESS(906,38))+INDIRECT(ADDRESS(904,39))-INDIRECT(ADDRESS(905,39))</f>
        <v>0</v>
      </c>
      <c r="AN906">
        <f>INDIRECT(ADDRESS(906,39))+INDIRECT(ADDRESS(904,40))-INDIRECT(ADDRESS(905,40))</f>
        <v>0</v>
      </c>
      <c r="AO906">
        <f>SUM(INDIRECT(ADDRESS(905,8)):INDIRECT(ADDRESS(905,39)))</f>
        <v>0</v>
      </c>
    </row>
    <row r="907" spans="1:41">
      <c r="A907" t="s">
        <v>185</v>
      </c>
      <c r="B907" t="s">
        <v>461</v>
      </c>
      <c r="C907" t="s">
        <v>462</v>
      </c>
      <c r="E907">
        <v>1</v>
      </c>
      <c r="I907" t="s">
        <v>177</v>
      </c>
    </row>
    <row r="908" spans="1:41">
      <c r="I908" t="s">
        <v>178</v>
      </c>
      <c r="J908">
        <f>IFERROR(VLOOKUP("921-000000-100",B:AB,1+8,0),0)</f>
        <v>0</v>
      </c>
      <c r="K908">
        <f>IFERROR(VLOOKUP("921-000000-100",B:AB,2+8,0),0)</f>
        <v>0</v>
      </c>
      <c r="L908">
        <f>IFERROR(VLOOKUP("921-000000-100",B:AB,3+8,0),0)</f>
        <v>0</v>
      </c>
      <c r="M908">
        <f>IFERROR(VLOOKUP("921-000000-100",B:AB,4+8,0),0)</f>
        <v>0</v>
      </c>
      <c r="N908">
        <f>IFERROR(VLOOKUP("921-000000-100",B:AB,5+8,0),0)</f>
        <v>0</v>
      </c>
      <c r="O908">
        <f>IFERROR(VLOOKUP("921-000000-100",B:AB,6+8,0),0)</f>
        <v>0</v>
      </c>
      <c r="P908">
        <f>IFERROR(VLOOKUP("921-000000-100",B:AB,7+8,0),0)</f>
        <v>0</v>
      </c>
      <c r="Q908">
        <f>IFERROR(VLOOKUP("921-000000-100",B:AB,8+8,0),0)</f>
        <v>0</v>
      </c>
      <c r="R908">
        <f>IFERROR(VLOOKUP("921-000000-100",B:AB,9+8,0),0)</f>
        <v>0</v>
      </c>
      <c r="S908">
        <f>IFERROR(VLOOKUP("921-000000-100",B:AB,10+8,0),0)</f>
        <v>0</v>
      </c>
      <c r="T908">
        <f>IFERROR(VLOOKUP("921-000000-100",B:AB,11+8,0),0)</f>
        <v>0</v>
      </c>
      <c r="U908">
        <f>IFERROR(VLOOKUP("921-000000-100",B:AB,12+8,0),0)</f>
        <v>0</v>
      </c>
      <c r="V908">
        <f>IFERROR(VLOOKUP("921-000000-100",B:AB,13+8,0),0)</f>
        <v>0</v>
      </c>
      <c r="W908">
        <f>IFERROR(VLOOKUP("921-000000-100",B:AB,14+8,0),0)</f>
        <v>0</v>
      </c>
      <c r="X908">
        <f>IFERROR(VLOOKUP("921-000000-100",B:AB,15+8,0),0)</f>
        <v>0</v>
      </c>
      <c r="Y908">
        <f>IFERROR(VLOOKUP("921-000000-100",B:AB,16+8,0),0)</f>
        <v>0</v>
      </c>
      <c r="Z908">
        <f>IFERROR(VLOOKUP("921-000000-100",B:AB,17+8,0),0)</f>
        <v>0</v>
      </c>
      <c r="AA908">
        <f>IFERROR(VLOOKUP("921-000000-100",B:AB,18+8,0),0)</f>
        <v>0</v>
      </c>
      <c r="AB908">
        <f>IFERROR(VLOOKUP("921-000000-100",B:AB,19+8,0),0)</f>
        <v>0</v>
      </c>
      <c r="AC908">
        <f>IFERROR(VLOOKUP("921-000000-100",B:AB,20+8,0),0)</f>
        <v>0</v>
      </c>
      <c r="AD908">
        <f>IFERROR(VLOOKUP("921-000000-100",B:AB,21+8,0),0)</f>
        <v>0</v>
      </c>
      <c r="AE908">
        <f>IFERROR(VLOOKUP("921-000000-100",B:AB,22+8,0),0)</f>
        <v>0</v>
      </c>
      <c r="AF908">
        <f>IFERROR(VLOOKUP("921-000000-100",B:AB,23+8,0),0)</f>
        <v>0</v>
      </c>
      <c r="AG908">
        <f>IFERROR(VLOOKUP("921-000000-100",B:AB,24+8,0),0)</f>
        <v>0</v>
      </c>
      <c r="AH908">
        <f>IFERROR(VLOOKUP("921-000000-100",B:AB,25+8,0),0)</f>
        <v>0</v>
      </c>
      <c r="AI908">
        <f>IFERROR(VLOOKUP("921-000000-100",B:AB,26+8,0),0)</f>
        <v>0</v>
      </c>
      <c r="AJ908">
        <f>IFERROR(VLOOKUP("921-000000-100",B:AB,27+8,0),0)</f>
        <v>0</v>
      </c>
      <c r="AK908">
        <f>IFERROR(VLOOKUP("921-000000-100",B:AB,28+8,0),0)</f>
        <v>0</v>
      </c>
      <c r="AL908">
        <f>IFERROR(VLOOKUP("921-000000-100",B:AB,29+8,0),0)</f>
        <v>0</v>
      </c>
      <c r="AM908">
        <f>IFERROR(VLOOKUP("921-000000-100",B:AB,30+8,0),0)</f>
        <v>0</v>
      </c>
      <c r="AN908">
        <f>IFERROR(VLOOKUP("921-000000-100",B:AB,31+8,0),0)</f>
        <v>0</v>
      </c>
      <c r="AO908">
        <f>SUN(INDIRECT(ADDRESS(907,8)):INDIRECT(ADDRESS(907,39)))</f>
        <v>0</v>
      </c>
    </row>
    <row r="909" spans="1:41">
      <c r="H909" t="s">
        <v>179</v>
      </c>
      <c r="J909">
        <f>INDIRECT(ADDRESS(909,9))+INDIRECT(ADDRESS(907,10))-INDIRECT(ADDRESS(908,10))</f>
        <v>0</v>
      </c>
      <c r="K909">
        <f>INDIRECT(ADDRESS(909,10))+INDIRECT(ADDRESS(907,11))-INDIRECT(ADDRESS(908,11))</f>
        <v>0</v>
      </c>
      <c r="L909">
        <f>INDIRECT(ADDRESS(909,11))+INDIRECT(ADDRESS(907,12))-INDIRECT(ADDRESS(908,12))</f>
        <v>0</v>
      </c>
      <c r="M909">
        <f>INDIRECT(ADDRESS(909,12))+INDIRECT(ADDRESS(907,13))-INDIRECT(ADDRESS(908,13))</f>
        <v>0</v>
      </c>
      <c r="N909">
        <f>INDIRECT(ADDRESS(909,13))+INDIRECT(ADDRESS(907,14))-INDIRECT(ADDRESS(908,14))</f>
        <v>0</v>
      </c>
      <c r="O909">
        <f>INDIRECT(ADDRESS(909,14))+INDIRECT(ADDRESS(907,15))-INDIRECT(ADDRESS(908,15))</f>
        <v>0</v>
      </c>
      <c r="P909">
        <f>INDIRECT(ADDRESS(909,15))+INDIRECT(ADDRESS(907,16))-INDIRECT(ADDRESS(908,16))</f>
        <v>0</v>
      </c>
      <c r="Q909">
        <f>INDIRECT(ADDRESS(909,16))+INDIRECT(ADDRESS(907,17))-INDIRECT(ADDRESS(908,17))</f>
        <v>0</v>
      </c>
      <c r="R909">
        <f>INDIRECT(ADDRESS(909,17))+INDIRECT(ADDRESS(907,18))-INDIRECT(ADDRESS(908,18))</f>
        <v>0</v>
      </c>
      <c r="S909">
        <f>INDIRECT(ADDRESS(909,18))+INDIRECT(ADDRESS(907,19))-INDIRECT(ADDRESS(908,19))</f>
        <v>0</v>
      </c>
      <c r="T909">
        <f>INDIRECT(ADDRESS(909,19))+INDIRECT(ADDRESS(907,20))-INDIRECT(ADDRESS(908,20))</f>
        <v>0</v>
      </c>
      <c r="U909">
        <f>INDIRECT(ADDRESS(909,20))+INDIRECT(ADDRESS(907,21))-INDIRECT(ADDRESS(908,21))</f>
        <v>0</v>
      </c>
      <c r="V909">
        <f>INDIRECT(ADDRESS(909,21))+INDIRECT(ADDRESS(907,22))-INDIRECT(ADDRESS(908,22))</f>
        <v>0</v>
      </c>
      <c r="W909">
        <f>INDIRECT(ADDRESS(909,22))+INDIRECT(ADDRESS(907,23))-INDIRECT(ADDRESS(908,23))</f>
        <v>0</v>
      </c>
      <c r="X909">
        <f>INDIRECT(ADDRESS(909,23))+INDIRECT(ADDRESS(907,24))-INDIRECT(ADDRESS(908,24))</f>
        <v>0</v>
      </c>
      <c r="Y909">
        <f>INDIRECT(ADDRESS(909,24))+INDIRECT(ADDRESS(907,25))-INDIRECT(ADDRESS(908,25))</f>
        <v>0</v>
      </c>
      <c r="Z909">
        <f>INDIRECT(ADDRESS(909,25))+INDIRECT(ADDRESS(907,26))-INDIRECT(ADDRESS(908,26))</f>
        <v>0</v>
      </c>
      <c r="AA909">
        <f>INDIRECT(ADDRESS(909,26))+INDIRECT(ADDRESS(907,27))-INDIRECT(ADDRESS(908,27))</f>
        <v>0</v>
      </c>
      <c r="AB909">
        <f>INDIRECT(ADDRESS(909,27))+INDIRECT(ADDRESS(907,28))-INDIRECT(ADDRESS(908,28))</f>
        <v>0</v>
      </c>
      <c r="AC909">
        <f>INDIRECT(ADDRESS(909,28))+INDIRECT(ADDRESS(907,29))-INDIRECT(ADDRESS(908,29))</f>
        <v>0</v>
      </c>
      <c r="AD909">
        <f>INDIRECT(ADDRESS(909,29))+INDIRECT(ADDRESS(907,30))-INDIRECT(ADDRESS(908,30))</f>
        <v>0</v>
      </c>
      <c r="AE909">
        <f>INDIRECT(ADDRESS(909,30))+INDIRECT(ADDRESS(907,31))-INDIRECT(ADDRESS(908,31))</f>
        <v>0</v>
      </c>
      <c r="AF909">
        <f>INDIRECT(ADDRESS(909,31))+INDIRECT(ADDRESS(907,32))-INDIRECT(ADDRESS(908,32))</f>
        <v>0</v>
      </c>
      <c r="AG909">
        <f>INDIRECT(ADDRESS(909,32))+INDIRECT(ADDRESS(907,33))-INDIRECT(ADDRESS(908,33))</f>
        <v>0</v>
      </c>
      <c r="AH909">
        <f>INDIRECT(ADDRESS(909,33))+INDIRECT(ADDRESS(907,34))-INDIRECT(ADDRESS(908,34))</f>
        <v>0</v>
      </c>
      <c r="AI909">
        <f>INDIRECT(ADDRESS(909,34))+INDIRECT(ADDRESS(907,35))-INDIRECT(ADDRESS(908,35))</f>
        <v>0</v>
      </c>
      <c r="AJ909">
        <f>INDIRECT(ADDRESS(909,35))+INDIRECT(ADDRESS(907,36))-INDIRECT(ADDRESS(908,36))</f>
        <v>0</v>
      </c>
      <c r="AK909">
        <f>INDIRECT(ADDRESS(909,36))+INDIRECT(ADDRESS(907,37))-INDIRECT(ADDRESS(908,37))</f>
        <v>0</v>
      </c>
      <c r="AL909">
        <f>INDIRECT(ADDRESS(909,37))+INDIRECT(ADDRESS(907,38))-INDIRECT(ADDRESS(908,38))</f>
        <v>0</v>
      </c>
      <c r="AM909">
        <f>INDIRECT(ADDRESS(909,38))+INDIRECT(ADDRESS(907,39))-INDIRECT(ADDRESS(908,39))</f>
        <v>0</v>
      </c>
      <c r="AN909">
        <f>INDIRECT(ADDRESS(909,39))+INDIRECT(ADDRESS(907,40))-INDIRECT(ADDRESS(908,40))</f>
        <v>0</v>
      </c>
      <c r="AO909">
        <f>SUM(INDIRECT(ADDRESS(908,8)):INDIRECT(ADDRESS(908,39)))</f>
        <v>0</v>
      </c>
    </row>
    <row r="910" spans="1:41">
      <c r="A910" t="s">
        <v>185</v>
      </c>
      <c r="B910" t="s">
        <v>463</v>
      </c>
      <c r="C910" t="s">
        <v>464</v>
      </c>
      <c r="E910">
        <v>1</v>
      </c>
      <c r="I910" t="s">
        <v>177</v>
      </c>
    </row>
    <row r="911" spans="1:41">
      <c r="I911" t="s">
        <v>178</v>
      </c>
      <c r="J911">
        <f>IFERROR(VLOOKUP("921-000000-100",B:AB,1+8,0),0)</f>
        <v>0</v>
      </c>
      <c r="K911">
        <f>IFERROR(VLOOKUP("921-000000-100",B:AB,2+8,0),0)</f>
        <v>0</v>
      </c>
      <c r="L911">
        <f>IFERROR(VLOOKUP("921-000000-100",B:AB,3+8,0),0)</f>
        <v>0</v>
      </c>
      <c r="M911">
        <f>IFERROR(VLOOKUP("921-000000-100",B:AB,4+8,0),0)</f>
        <v>0</v>
      </c>
      <c r="N911">
        <f>IFERROR(VLOOKUP("921-000000-100",B:AB,5+8,0),0)</f>
        <v>0</v>
      </c>
      <c r="O911">
        <f>IFERROR(VLOOKUP("921-000000-100",B:AB,6+8,0),0)</f>
        <v>0</v>
      </c>
      <c r="P911">
        <f>IFERROR(VLOOKUP("921-000000-100",B:AB,7+8,0),0)</f>
        <v>0</v>
      </c>
      <c r="Q911">
        <f>IFERROR(VLOOKUP("921-000000-100",B:AB,8+8,0),0)</f>
        <v>0</v>
      </c>
      <c r="R911">
        <f>IFERROR(VLOOKUP("921-000000-100",B:AB,9+8,0),0)</f>
        <v>0</v>
      </c>
      <c r="S911">
        <f>IFERROR(VLOOKUP("921-000000-100",B:AB,10+8,0),0)</f>
        <v>0</v>
      </c>
      <c r="T911">
        <f>IFERROR(VLOOKUP("921-000000-100",B:AB,11+8,0),0)</f>
        <v>0</v>
      </c>
      <c r="U911">
        <f>IFERROR(VLOOKUP("921-000000-100",B:AB,12+8,0),0)</f>
        <v>0</v>
      </c>
      <c r="V911">
        <f>IFERROR(VLOOKUP("921-000000-100",B:AB,13+8,0),0)</f>
        <v>0</v>
      </c>
      <c r="W911">
        <f>IFERROR(VLOOKUP("921-000000-100",B:AB,14+8,0),0)</f>
        <v>0</v>
      </c>
      <c r="X911">
        <f>IFERROR(VLOOKUP("921-000000-100",B:AB,15+8,0),0)</f>
        <v>0</v>
      </c>
      <c r="Y911">
        <f>IFERROR(VLOOKUP("921-000000-100",B:AB,16+8,0),0)</f>
        <v>0</v>
      </c>
      <c r="Z911">
        <f>IFERROR(VLOOKUP("921-000000-100",B:AB,17+8,0),0)</f>
        <v>0</v>
      </c>
      <c r="AA911">
        <f>IFERROR(VLOOKUP("921-000000-100",B:AB,18+8,0),0)</f>
        <v>0</v>
      </c>
      <c r="AB911">
        <f>IFERROR(VLOOKUP("921-000000-100",B:AB,19+8,0),0)</f>
        <v>0</v>
      </c>
      <c r="AC911">
        <f>IFERROR(VLOOKUP("921-000000-100",B:AB,20+8,0),0)</f>
        <v>0</v>
      </c>
      <c r="AD911">
        <f>IFERROR(VLOOKUP("921-000000-100",B:AB,21+8,0),0)</f>
        <v>0</v>
      </c>
      <c r="AE911">
        <f>IFERROR(VLOOKUP("921-000000-100",B:AB,22+8,0),0)</f>
        <v>0</v>
      </c>
      <c r="AF911">
        <f>IFERROR(VLOOKUP("921-000000-100",B:AB,23+8,0),0)</f>
        <v>0</v>
      </c>
      <c r="AG911">
        <f>IFERROR(VLOOKUP("921-000000-100",B:AB,24+8,0),0)</f>
        <v>0</v>
      </c>
      <c r="AH911">
        <f>IFERROR(VLOOKUP("921-000000-100",B:AB,25+8,0),0)</f>
        <v>0</v>
      </c>
      <c r="AI911">
        <f>IFERROR(VLOOKUP("921-000000-100",B:AB,26+8,0),0)</f>
        <v>0</v>
      </c>
      <c r="AJ911">
        <f>IFERROR(VLOOKUP("921-000000-100",B:AB,27+8,0),0)</f>
        <v>0</v>
      </c>
      <c r="AK911">
        <f>IFERROR(VLOOKUP("921-000000-100",B:AB,28+8,0),0)</f>
        <v>0</v>
      </c>
      <c r="AL911">
        <f>IFERROR(VLOOKUP("921-000000-100",B:AB,29+8,0),0)</f>
        <v>0</v>
      </c>
      <c r="AM911">
        <f>IFERROR(VLOOKUP("921-000000-100",B:AB,30+8,0),0)</f>
        <v>0</v>
      </c>
      <c r="AN911">
        <f>IFERROR(VLOOKUP("921-000000-100",B:AB,31+8,0),0)</f>
        <v>0</v>
      </c>
      <c r="AO911">
        <f>SUN(INDIRECT(ADDRESS(910,8)):INDIRECT(ADDRESS(910,39)))</f>
        <v>0</v>
      </c>
    </row>
    <row r="912" spans="1:41">
      <c r="H912" t="s">
        <v>179</v>
      </c>
      <c r="J912">
        <f>INDIRECT(ADDRESS(912,9))+INDIRECT(ADDRESS(910,10))-INDIRECT(ADDRESS(911,10))</f>
        <v>0</v>
      </c>
      <c r="K912">
        <f>INDIRECT(ADDRESS(912,10))+INDIRECT(ADDRESS(910,11))-INDIRECT(ADDRESS(911,11))</f>
        <v>0</v>
      </c>
      <c r="L912">
        <f>INDIRECT(ADDRESS(912,11))+INDIRECT(ADDRESS(910,12))-INDIRECT(ADDRESS(911,12))</f>
        <v>0</v>
      </c>
      <c r="M912">
        <f>INDIRECT(ADDRESS(912,12))+INDIRECT(ADDRESS(910,13))-INDIRECT(ADDRESS(911,13))</f>
        <v>0</v>
      </c>
      <c r="N912">
        <f>INDIRECT(ADDRESS(912,13))+INDIRECT(ADDRESS(910,14))-INDIRECT(ADDRESS(911,14))</f>
        <v>0</v>
      </c>
      <c r="O912">
        <f>INDIRECT(ADDRESS(912,14))+INDIRECT(ADDRESS(910,15))-INDIRECT(ADDRESS(911,15))</f>
        <v>0</v>
      </c>
      <c r="P912">
        <f>INDIRECT(ADDRESS(912,15))+INDIRECT(ADDRESS(910,16))-INDIRECT(ADDRESS(911,16))</f>
        <v>0</v>
      </c>
      <c r="Q912">
        <f>INDIRECT(ADDRESS(912,16))+INDIRECT(ADDRESS(910,17))-INDIRECT(ADDRESS(911,17))</f>
        <v>0</v>
      </c>
      <c r="R912">
        <f>INDIRECT(ADDRESS(912,17))+INDIRECT(ADDRESS(910,18))-INDIRECT(ADDRESS(911,18))</f>
        <v>0</v>
      </c>
      <c r="S912">
        <f>INDIRECT(ADDRESS(912,18))+INDIRECT(ADDRESS(910,19))-INDIRECT(ADDRESS(911,19))</f>
        <v>0</v>
      </c>
      <c r="T912">
        <f>INDIRECT(ADDRESS(912,19))+INDIRECT(ADDRESS(910,20))-INDIRECT(ADDRESS(911,20))</f>
        <v>0</v>
      </c>
      <c r="U912">
        <f>INDIRECT(ADDRESS(912,20))+INDIRECT(ADDRESS(910,21))-INDIRECT(ADDRESS(911,21))</f>
        <v>0</v>
      </c>
      <c r="V912">
        <f>INDIRECT(ADDRESS(912,21))+INDIRECT(ADDRESS(910,22))-INDIRECT(ADDRESS(911,22))</f>
        <v>0</v>
      </c>
      <c r="W912">
        <f>INDIRECT(ADDRESS(912,22))+INDIRECT(ADDRESS(910,23))-INDIRECT(ADDRESS(911,23))</f>
        <v>0</v>
      </c>
      <c r="X912">
        <f>INDIRECT(ADDRESS(912,23))+INDIRECT(ADDRESS(910,24))-INDIRECT(ADDRESS(911,24))</f>
        <v>0</v>
      </c>
      <c r="Y912">
        <f>INDIRECT(ADDRESS(912,24))+INDIRECT(ADDRESS(910,25))-INDIRECT(ADDRESS(911,25))</f>
        <v>0</v>
      </c>
      <c r="Z912">
        <f>INDIRECT(ADDRESS(912,25))+INDIRECT(ADDRESS(910,26))-INDIRECT(ADDRESS(911,26))</f>
        <v>0</v>
      </c>
      <c r="AA912">
        <f>INDIRECT(ADDRESS(912,26))+INDIRECT(ADDRESS(910,27))-INDIRECT(ADDRESS(911,27))</f>
        <v>0</v>
      </c>
      <c r="AB912">
        <f>INDIRECT(ADDRESS(912,27))+INDIRECT(ADDRESS(910,28))-INDIRECT(ADDRESS(911,28))</f>
        <v>0</v>
      </c>
      <c r="AC912">
        <f>INDIRECT(ADDRESS(912,28))+INDIRECT(ADDRESS(910,29))-INDIRECT(ADDRESS(911,29))</f>
        <v>0</v>
      </c>
      <c r="AD912">
        <f>INDIRECT(ADDRESS(912,29))+INDIRECT(ADDRESS(910,30))-INDIRECT(ADDRESS(911,30))</f>
        <v>0</v>
      </c>
      <c r="AE912">
        <f>INDIRECT(ADDRESS(912,30))+INDIRECT(ADDRESS(910,31))-INDIRECT(ADDRESS(911,31))</f>
        <v>0</v>
      </c>
      <c r="AF912">
        <f>INDIRECT(ADDRESS(912,31))+INDIRECT(ADDRESS(910,32))-INDIRECT(ADDRESS(911,32))</f>
        <v>0</v>
      </c>
      <c r="AG912">
        <f>INDIRECT(ADDRESS(912,32))+INDIRECT(ADDRESS(910,33))-INDIRECT(ADDRESS(911,33))</f>
        <v>0</v>
      </c>
      <c r="AH912">
        <f>INDIRECT(ADDRESS(912,33))+INDIRECT(ADDRESS(910,34))-INDIRECT(ADDRESS(911,34))</f>
        <v>0</v>
      </c>
      <c r="AI912">
        <f>INDIRECT(ADDRESS(912,34))+INDIRECT(ADDRESS(910,35))-INDIRECT(ADDRESS(911,35))</f>
        <v>0</v>
      </c>
      <c r="AJ912">
        <f>INDIRECT(ADDRESS(912,35))+INDIRECT(ADDRESS(910,36))-INDIRECT(ADDRESS(911,36))</f>
        <v>0</v>
      </c>
      <c r="AK912">
        <f>INDIRECT(ADDRESS(912,36))+INDIRECT(ADDRESS(910,37))-INDIRECT(ADDRESS(911,37))</f>
        <v>0</v>
      </c>
      <c r="AL912">
        <f>INDIRECT(ADDRESS(912,37))+INDIRECT(ADDRESS(910,38))-INDIRECT(ADDRESS(911,38))</f>
        <v>0</v>
      </c>
      <c r="AM912">
        <f>INDIRECT(ADDRESS(912,38))+INDIRECT(ADDRESS(910,39))-INDIRECT(ADDRESS(911,39))</f>
        <v>0</v>
      </c>
      <c r="AN912">
        <f>INDIRECT(ADDRESS(912,39))+INDIRECT(ADDRESS(910,40))-INDIRECT(ADDRESS(911,40))</f>
        <v>0</v>
      </c>
      <c r="AO912">
        <f>SUM(INDIRECT(ADDRESS(911,8)):INDIRECT(ADDRESS(911,39)))</f>
        <v>0</v>
      </c>
    </row>
    <row r="913" spans="1:41">
      <c r="A913" t="s">
        <v>185</v>
      </c>
      <c r="B913" t="s">
        <v>465</v>
      </c>
      <c r="C913" t="s">
        <v>466</v>
      </c>
      <c r="E913">
        <v>1</v>
      </c>
      <c r="I913" t="s">
        <v>177</v>
      </c>
    </row>
    <row r="914" spans="1:41">
      <c r="I914" t="s">
        <v>178</v>
      </c>
      <c r="J914">
        <f>IFERROR(VLOOKUP("921-000000-100",B:AB,1+8,0),0)</f>
        <v>0</v>
      </c>
      <c r="K914">
        <f>IFERROR(VLOOKUP("921-000000-100",B:AB,2+8,0),0)</f>
        <v>0</v>
      </c>
      <c r="L914">
        <f>IFERROR(VLOOKUP("921-000000-100",B:AB,3+8,0),0)</f>
        <v>0</v>
      </c>
      <c r="M914">
        <f>IFERROR(VLOOKUP("921-000000-100",B:AB,4+8,0),0)</f>
        <v>0</v>
      </c>
      <c r="N914">
        <f>IFERROR(VLOOKUP("921-000000-100",B:AB,5+8,0),0)</f>
        <v>0</v>
      </c>
      <c r="O914">
        <f>IFERROR(VLOOKUP("921-000000-100",B:AB,6+8,0),0)</f>
        <v>0</v>
      </c>
      <c r="P914">
        <f>IFERROR(VLOOKUP("921-000000-100",B:AB,7+8,0),0)</f>
        <v>0</v>
      </c>
      <c r="Q914">
        <f>IFERROR(VLOOKUP("921-000000-100",B:AB,8+8,0),0)</f>
        <v>0</v>
      </c>
      <c r="R914">
        <f>IFERROR(VLOOKUP("921-000000-100",B:AB,9+8,0),0)</f>
        <v>0</v>
      </c>
      <c r="S914">
        <f>IFERROR(VLOOKUP("921-000000-100",B:AB,10+8,0),0)</f>
        <v>0</v>
      </c>
      <c r="T914">
        <f>IFERROR(VLOOKUP("921-000000-100",B:AB,11+8,0),0)</f>
        <v>0</v>
      </c>
      <c r="U914">
        <f>IFERROR(VLOOKUP("921-000000-100",B:AB,12+8,0),0)</f>
        <v>0</v>
      </c>
      <c r="V914">
        <f>IFERROR(VLOOKUP("921-000000-100",B:AB,13+8,0),0)</f>
        <v>0</v>
      </c>
      <c r="W914">
        <f>IFERROR(VLOOKUP("921-000000-100",B:AB,14+8,0),0)</f>
        <v>0</v>
      </c>
      <c r="X914">
        <f>IFERROR(VLOOKUP("921-000000-100",B:AB,15+8,0),0)</f>
        <v>0</v>
      </c>
      <c r="Y914">
        <f>IFERROR(VLOOKUP("921-000000-100",B:AB,16+8,0),0)</f>
        <v>0</v>
      </c>
      <c r="Z914">
        <f>IFERROR(VLOOKUP("921-000000-100",B:AB,17+8,0),0)</f>
        <v>0</v>
      </c>
      <c r="AA914">
        <f>IFERROR(VLOOKUP("921-000000-100",B:AB,18+8,0),0)</f>
        <v>0</v>
      </c>
      <c r="AB914">
        <f>IFERROR(VLOOKUP("921-000000-100",B:AB,19+8,0),0)</f>
        <v>0</v>
      </c>
      <c r="AC914">
        <f>IFERROR(VLOOKUP("921-000000-100",B:AB,20+8,0),0)</f>
        <v>0</v>
      </c>
      <c r="AD914">
        <f>IFERROR(VLOOKUP("921-000000-100",B:AB,21+8,0),0)</f>
        <v>0</v>
      </c>
      <c r="AE914">
        <f>IFERROR(VLOOKUP("921-000000-100",B:AB,22+8,0),0)</f>
        <v>0</v>
      </c>
      <c r="AF914">
        <f>IFERROR(VLOOKUP("921-000000-100",B:AB,23+8,0),0)</f>
        <v>0</v>
      </c>
      <c r="AG914">
        <f>IFERROR(VLOOKUP("921-000000-100",B:AB,24+8,0),0)</f>
        <v>0</v>
      </c>
      <c r="AH914">
        <f>IFERROR(VLOOKUP("921-000000-100",B:AB,25+8,0),0)</f>
        <v>0</v>
      </c>
      <c r="AI914">
        <f>IFERROR(VLOOKUP("921-000000-100",B:AB,26+8,0),0)</f>
        <v>0</v>
      </c>
      <c r="AJ914">
        <f>IFERROR(VLOOKUP("921-000000-100",B:AB,27+8,0),0)</f>
        <v>0</v>
      </c>
      <c r="AK914">
        <f>IFERROR(VLOOKUP("921-000000-100",B:AB,28+8,0),0)</f>
        <v>0</v>
      </c>
      <c r="AL914">
        <f>IFERROR(VLOOKUP("921-000000-100",B:AB,29+8,0),0)</f>
        <v>0</v>
      </c>
      <c r="AM914">
        <f>IFERROR(VLOOKUP("921-000000-100",B:AB,30+8,0),0)</f>
        <v>0</v>
      </c>
      <c r="AN914">
        <f>IFERROR(VLOOKUP("921-000000-100",B:AB,31+8,0),0)</f>
        <v>0</v>
      </c>
      <c r="AO914">
        <f>SUN(INDIRECT(ADDRESS(913,8)):INDIRECT(ADDRESS(913,39)))</f>
        <v>0</v>
      </c>
    </row>
    <row r="915" spans="1:41">
      <c r="H915" t="s">
        <v>179</v>
      </c>
      <c r="J915">
        <f>INDIRECT(ADDRESS(915,9))+INDIRECT(ADDRESS(913,10))-INDIRECT(ADDRESS(914,10))</f>
        <v>0</v>
      </c>
      <c r="K915">
        <f>INDIRECT(ADDRESS(915,10))+INDIRECT(ADDRESS(913,11))-INDIRECT(ADDRESS(914,11))</f>
        <v>0</v>
      </c>
      <c r="L915">
        <f>INDIRECT(ADDRESS(915,11))+INDIRECT(ADDRESS(913,12))-INDIRECT(ADDRESS(914,12))</f>
        <v>0</v>
      </c>
      <c r="M915">
        <f>INDIRECT(ADDRESS(915,12))+INDIRECT(ADDRESS(913,13))-INDIRECT(ADDRESS(914,13))</f>
        <v>0</v>
      </c>
      <c r="N915">
        <f>INDIRECT(ADDRESS(915,13))+INDIRECT(ADDRESS(913,14))-INDIRECT(ADDRESS(914,14))</f>
        <v>0</v>
      </c>
      <c r="O915">
        <f>INDIRECT(ADDRESS(915,14))+INDIRECT(ADDRESS(913,15))-INDIRECT(ADDRESS(914,15))</f>
        <v>0</v>
      </c>
      <c r="P915">
        <f>INDIRECT(ADDRESS(915,15))+INDIRECT(ADDRESS(913,16))-INDIRECT(ADDRESS(914,16))</f>
        <v>0</v>
      </c>
      <c r="Q915">
        <f>INDIRECT(ADDRESS(915,16))+INDIRECT(ADDRESS(913,17))-INDIRECT(ADDRESS(914,17))</f>
        <v>0</v>
      </c>
      <c r="R915">
        <f>INDIRECT(ADDRESS(915,17))+INDIRECT(ADDRESS(913,18))-INDIRECT(ADDRESS(914,18))</f>
        <v>0</v>
      </c>
      <c r="S915">
        <f>INDIRECT(ADDRESS(915,18))+INDIRECT(ADDRESS(913,19))-INDIRECT(ADDRESS(914,19))</f>
        <v>0</v>
      </c>
      <c r="T915">
        <f>INDIRECT(ADDRESS(915,19))+INDIRECT(ADDRESS(913,20))-INDIRECT(ADDRESS(914,20))</f>
        <v>0</v>
      </c>
      <c r="U915">
        <f>INDIRECT(ADDRESS(915,20))+INDIRECT(ADDRESS(913,21))-INDIRECT(ADDRESS(914,21))</f>
        <v>0</v>
      </c>
      <c r="V915">
        <f>INDIRECT(ADDRESS(915,21))+INDIRECT(ADDRESS(913,22))-INDIRECT(ADDRESS(914,22))</f>
        <v>0</v>
      </c>
      <c r="W915">
        <f>INDIRECT(ADDRESS(915,22))+INDIRECT(ADDRESS(913,23))-INDIRECT(ADDRESS(914,23))</f>
        <v>0</v>
      </c>
      <c r="X915">
        <f>INDIRECT(ADDRESS(915,23))+INDIRECT(ADDRESS(913,24))-INDIRECT(ADDRESS(914,24))</f>
        <v>0</v>
      </c>
      <c r="Y915">
        <f>INDIRECT(ADDRESS(915,24))+INDIRECT(ADDRESS(913,25))-INDIRECT(ADDRESS(914,25))</f>
        <v>0</v>
      </c>
      <c r="Z915">
        <f>INDIRECT(ADDRESS(915,25))+INDIRECT(ADDRESS(913,26))-INDIRECT(ADDRESS(914,26))</f>
        <v>0</v>
      </c>
      <c r="AA915">
        <f>INDIRECT(ADDRESS(915,26))+INDIRECT(ADDRESS(913,27))-INDIRECT(ADDRESS(914,27))</f>
        <v>0</v>
      </c>
      <c r="AB915">
        <f>INDIRECT(ADDRESS(915,27))+INDIRECT(ADDRESS(913,28))-INDIRECT(ADDRESS(914,28))</f>
        <v>0</v>
      </c>
      <c r="AC915">
        <f>INDIRECT(ADDRESS(915,28))+INDIRECT(ADDRESS(913,29))-INDIRECT(ADDRESS(914,29))</f>
        <v>0</v>
      </c>
      <c r="AD915">
        <f>INDIRECT(ADDRESS(915,29))+INDIRECT(ADDRESS(913,30))-INDIRECT(ADDRESS(914,30))</f>
        <v>0</v>
      </c>
      <c r="AE915">
        <f>INDIRECT(ADDRESS(915,30))+INDIRECT(ADDRESS(913,31))-INDIRECT(ADDRESS(914,31))</f>
        <v>0</v>
      </c>
      <c r="AF915">
        <f>INDIRECT(ADDRESS(915,31))+INDIRECT(ADDRESS(913,32))-INDIRECT(ADDRESS(914,32))</f>
        <v>0</v>
      </c>
      <c r="AG915">
        <f>INDIRECT(ADDRESS(915,32))+INDIRECT(ADDRESS(913,33))-INDIRECT(ADDRESS(914,33))</f>
        <v>0</v>
      </c>
      <c r="AH915">
        <f>INDIRECT(ADDRESS(915,33))+INDIRECT(ADDRESS(913,34))-INDIRECT(ADDRESS(914,34))</f>
        <v>0</v>
      </c>
      <c r="AI915">
        <f>INDIRECT(ADDRESS(915,34))+INDIRECT(ADDRESS(913,35))-INDIRECT(ADDRESS(914,35))</f>
        <v>0</v>
      </c>
      <c r="AJ915">
        <f>INDIRECT(ADDRESS(915,35))+INDIRECT(ADDRESS(913,36))-INDIRECT(ADDRESS(914,36))</f>
        <v>0</v>
      </c>
      <c r="AK915">
        <f>INDIRECT(ADDRESS(915,36))+INDIRECT(ADDRESS(913,37))-INDIRECT(ADDRESS(914,37))</f>
        <v>0</v>
      </c>
      <c r="AL915">
        <f>INDIRECT(ADDRESS(915,37))+INDIRECT(ADDRESS(913,38))-INDIRECT(ADDRESS(914,38))</f>
        <v>0</v>
      </c>
      <c r="AM915">
        <f>INDIRECT(ADDRESS(915,38))+INDIRECT(ADDRESS(913,39))-INDIRECT(ADDRESS(914,39))</f>
        <v>0</v>
      </c>
      <c r="AN915">
        <f>INDIRECT(ADDRESS(915,39))+INDIRECT(ADDRESS(913,40))-INDIRECT(ADDRESS(914,40))</f>
        <v>0</v>
      </c>
      <c r="AO915">
        <f>SUM(INDIRECT(ADDRESS(914,8)):INDIRECT(ADDRESS(914,39)))</f>
        <v>0</v>
      </c>
    </row>
    <row r="916" spans="1:41">
      <c r="A916" t="s">
        <v>204</v>
      </c>
      <c r="B916" t="s">
        <v>465</v>
      </c>
      <c r="C916" t="s">
        <v>466</v>
      </c>
      <c r="E916">
        <v>1</v>
      </c>
      <c r="I916" t="s">
        <v>177</v>
      </c>
    </row>
    <row r="917" spans="1:41">
      <c r="I917" t="s">
        <v>178</v>
      </c>
      <c r="J917">
        <f>IFERROR(VLOOKUP("921-000000-100",B:AB,1+8,0),0)</f>
        <v>0</v>
      </c>
      <c r="K917">
        <f>IFERROR(VLOOKUP("921-000000-100",B:AB,2+8,0),0)</f>
        <v>0</v>
      </c>
      <c r="L917">
        <f>IFERROR(VLOOKUP("921-000000-100",B:AB,3+8,0),0)</f>
        <v>0</v>
      </c>
      <c r="M917">
        <f>IFERROR(VLOOKUP("921-000000-100",B:AB,4+8,0),0)</f>
        <v>0</v>
      </c>
      <c r="N917">
        <f>IFERROR(VLOOKUP("921-000000-100",B:AB,5+8,0),0)</f>
        <v>0</v>
      </c>
      <c r="O917">
        <f>IFERROR(VLOOKUP("921-000000-100",B:AB,6+8,0),0)</f>
        <v>0</v>
      </c>
      <c r="P917">
        <f>IFERROR(VLOOKUP("921-000000-100",B:AB,7+8,0),0)</f>
        <v>0</v>
      </c>
      <c r="Q917">
        <f>IFERROR(VLOOKUP("921-000000-100",B:AB,8+8,0),0)</f>
        <v>0</v>
      </c>
      <c r="R917">
        <f>IFERROR(VLOOKUP("921-000000-100",B:AB,9+8,0),0)</f>
        <v>0</v>
      </c>
      <c r="S917">
        <f>IFERROR(VLOOKUP("921-000000-100",B:AB,10+8,0),0)</f>
        <v>0</v>
      </c>
      <c r="T917">
        <f>IFERROR(VLOOKUP("921-000000-100",B:AB,11+8,0),0)</f>
        <v>0</v>
      </c>
      <c r="U917">
        <f>IFERROR(VLOOKUP("921-000000-100",B:AB,12+8,0),0)</f>
        <v>0</v>
      </c>
      <c r="V917">
        <f>IFERROR(VLOOKUP("921-000000-100",B:AB,13+8,0),0)</f>
        <v>0</v>
      </c>
      <c r="W917">
        <f>IFERROR(VLOOKUP("921-000000-100",B:AB,14+8,0),0)</f>
        <v>0</v>
      </c>
      <c r="X917">
        <f>IFERROR(VLOOKUP("921-000000-100",B:AB,15+8,0),0)</f>
        <v>0</v>
      </c>
      <c r="Y917">
        <f>IFERROR(VLOOKUP("921-000000-100",B:AB,16+8,0),0)</f>
        <v>0</v>
      </c>
      <c r="Z917">
        <f>IFERROR(VLOOKUP("921-000000-100",B:AB,17+8,0),0)</f>
        <v>0</v>
      </c>
      <c r="AA917">
        <f>IFERROR(VLOOKUP("921-000000-100",B:AB,18+8,0),0)</f>
        <v>0</v>
      </c>
      <c r="AB917">
        <f>IFERROR(VLOOKUP("921-000000-100",B:AB,19+8,0),0)</f>
        <v>0</v>
      </c>
      <c r="AC917">
        <f>IFERROR(VLOOKUP("921-000000-100",B:AB,20+8,0),0)</f>
        <v>0</v>
      </c>
      <c r="AD917">
        <f>IFERROR(VLOOKUP("921-000000-100",B:AB,21+8,0),0)</f>
        <v>0</v>
      </c>
      <c r="AE917">
        <f>IFERROR(VLOOKUP("921-000000-100",B:AB,22+8,0),0)</f>
        <v>0</v>
      </c>
      <c r="AF917">
        <f>IFERROR(VLOOKUP("921-000000-100",B:AB,23+8,0),0)</f>
        <v>0</v>
      </c>
      <c r="AG917">
        <f>IFERROR(VLOOKUP("921-000000-100",B:AB,24+8,0),0)</f>
        <v>0</v>
      </c>
      <c r="AH917">
        <f>IFERROR(VLOOKUP("921-000000-100",B:AB,25+8,0),0)</f>
        <v>0</v>
      </c>
      <c r="AI917">
        <f>IFERROR(VLOOKUP("921-000000-100",B:AB,26+8,0),0)</f>
        <v>0</v>
      </c>
      <c r="AJ917">
        <f>IFERROR(VLOOKUP("921-000000-100",B:AB,27+8,0),0)</f>
        <v>0</v>
      </c>
      <c r="AK917">
        <f>IFERROR(VLOOKUP("921-000000-100",B:AB,28+8,0),0)</f>
        <v>0</v>
      </c>
      <c r="AL917">
        <f>IFERROR(VLOOKUP("921-000000-100",B:AB,29+8,0),0)</f>
        <v>0</v>
      </c>
      <c r="AM917">
        <f>IFERROR(VLOOKUP("921-000000-100",B:AB,30+8,0),0)</f>
        <v>0</v>
      </c>
      <c r="AN917">
        <f>IFERROR(VLOOKUP("921-000000-100",B:AB,31+8,0),0)</f>
        <v>0</v>
      </c>
      <c r="AO917">
        <f>SUN(INDIRECT(ADDRESS(916,8)):INDIRECT(ADDRESS(916,39)))</f>
        <v>0</v>
      </c>
    </row>
    <row r="918" spans="1:41">
      <c r="H918" t="s">
        <v>179</v>
      </c>
      <c r="J918">
        <f>INDIRECT(ADDRESS(918,9))+INDIRECT(ADDRESS(916,10))-INDIRECT(ADDRESS(917,10))</f>
        <v>0</v>
      </c>
      <c r="K918">
        <f>INDIRECT(ADDRESS(918,10))+INDIRECT(ADDRESS(916,11))-INDIRECT(ADDRESS(917,11))</f>
        <v>0</v>
      </c>
      <c r="L918">
        <f>INDIRECT(ADDRESS(918,11))+INDIRECT(ADDRESS(916,12))-INDIRECT(ADDRESS(917,12))</f>
        <v>0</v>
      </c>
      <c r="M918">
        <f>INDIRECT(ADDRESS(918,12))+INDIRECT(ADDRESS(916,13))-INDIRECT(ADDRESS(917,13))</f>
        <v>0</v>
      </c>
      <c r="N918">
        <f>INDIRECT(ADDRESS(918,13))+INDIRECT(ADDRESS(916,14))-INDIRECT(ADDRESS(917,14))</f>
        <v>0</v>
      </c>
      <c r="O918">
        <f>INDIRECT(ADDRESS(918,14))+INDIRECT(ADDRESS(916,15))-INDIRECT(ADDRESS(917,15))</f>
        <v>0</v>
      </c>
      <c r="P918">
        <f>INDIRECT(ADDRESS(918,15))+INDIRECT(ADDRESS(916,16))-INDIRECT(ADDRESS(917,16))</f>
        <v>0</v>
      </c>
      <c r="Q918">
        <f>INDIRECT(ADDRESS(918,16))+INDIRECT(ADDRESS(916,17))-INDIRECT(ADDRESS(917,17))</f>
        <v>0</v>
      </c>
      <c r="R918">
        <f>INDIRECT(ADDRESS(918,17))+INDIRECT(ADDRESS(916,18))-INDIRECT(ADDRESS(917,18))</f>
        <v>0</v>
      </c>
      <c r="S918">
        <f>INDIRECT(ADDRESS(918,18))+INDIRECT(ADDRESS(916,19))-INDIRECT(ADDRESS(917,19))</f>
        <v>0</v>
      </c>
      <c r="T918">
        <f>INDIRECT(ADDRESS(918,19))+INDIRECT(ADDRESS(916,20))-INDIRECT(ADDRESS(917,20))</f>
        <v>0</v>
      </c>
      <c r="U918">
        <f>INDIRECT(ADDRESS(918,20))+INDIRECT(ADDRESS(916,21))-INDIRECT(ADDRESS(917,21))</f>
        <v>0</v>
      </c>
      <c r="V918">
        <f>INDIRECT(ADDRESS(918,21))+INDIRECT(ADDRESS(916,22))-INDIRECT(ADDRESS(917,22))</f>
        <v>0</v>
      </c>
      <c r="W918">
        <f>INDIRECT(ADDRESS(918,22))+INDIRECT(ADDRESS(916,23))-INDIRECT(ADDRESS(917,23))</f>
        <v>0</v>
      </c>
      <c r="X918">
        <f>INDIRECT(ADDRESS(918,23))+INDIRECT(ADDRESS(916,24))-INDIRECT(ADDRESS(917,24))</f>
        <v>0</v>
      </c>
      <c r="Y918">
        <f>INDIRECT(ADDRESS(918,24))+INDIRECT(ADDRESS(916,25))-INDIRECT(ADDRESS(917,25))</f>
        <v>0</v>
      </c>
      <c r="Z918">
        <f>INDIRECT(ADDRESS(918,25))+INDIRECT(ADDRESS(916,26))-INDIRECT(ADDRESS(917,26))</f>
        <v>0</v>
      </c>
      <c r="AA918">
        <f>INDIRECT(ADDRESS(918,26))+INDIRECT(ADDRESS(916,27))-INDIRECT(ADDRESS(917,27))</f>
        <v>0</v>
      </c>
      <c r="AB918">
        <f>INDIRECT(ADDRESS(918,27))+INDIRECT(ADDRESS(916,28))-INDIRECT(ADDRESS(917,28))</f>
        <v>0</v>
      </c>
      <c r="AC918">
        <f>INDIRECT(ADDRESS(918,28))+INDIRECT(ADDRESS(916,29))-INDIRECT(ADDRESS(917,29))</f>
        <v>0</v>
      </c>
      <c r="AD918">
        <f>INDIRECT(ADDRESS(918,29))+INDIRECT(ADDRESS(916,30))-INDIRECT(ADDRESS(917,30))</f>
        <v>0</v>
      </c>
      <c r="AE918">
        <f>INDIRECT(ADDRESS(918,30))+INDIRECT(ADDRESS(916,31))-INDIRECT(ADDRESS(917,31))</f>
        <v>0</v>
      </c>
      <c r="AF918">
        <f>INDIRECT(ADDRESS(918,31))+INDIRECT(ADDRESS(916,32))-INDIRECT(ADDRESS(917,32))</f>
        <v>0</v>
      </c>
      <c r="AG918">
        <f>INDIRECT(ADDRESS(918,32))+INDIRECT(ADDRESS(916,33))-INDIRECT(ADDRESS(917,33))</f>
        <v>0</v>
      </c>
      <c r="AH918">
        <f>INDIRECT(ADDRESS(918,33))+INDIRECT(ADDRESS(916,34))-INDIRECT(ADDRESS(917,34))</f>
        <v>0</v>
      </c>
      <c r="AI918">
        <f>INDIRECT(ADDRESS(918,34))+INDIRECT(ADDRESS(916,35))-INDIRECT(ADDRESS(917,35))</f>
        <v>0</v>
      </c>
      <c r="AJ918">
        <f>INDIRECT(ADDRESS(918,35))+INDIRECT(ADDRESS(916,36))-INDIRECT(ADDRESS(917,36))</f>
        <v>0</v>
      </c>
      <c r="AK918">
        <f>INDIRECT(ADDRESS(918,36))+INDIRECT(ADDRESS(916,37))-INDIRECT(ADDRESS(917,37))</f>
        <v>0</v>
      </c>
      <c r="AL918">
        <f>INDIRECT(ADDRESS(918,37))+INDIRECT(ADDRESS(916,38))-INDIRECT(ADDRESS(917,38))</f>
        <v>0</v>
      </c>
      <c r="AM918">
        <f>INDIRECT(ADDRESS(918,38))+INDIRECT(ADDRESS(916,39))-INDIRECT(ADDRESS(917,39))</f>
        <v>0</v>
      </c>
      <c r="AN918">
        <f>INDIRECT(ADDRESS(918,39))+INDIRECT(ADDRESS(916,40))-INDIRECT(ADDRESS(917,40))</f>
        <v>0</v>
      </c>
      <c r="AO918">
        <f>SUM(INDIRECT(ADDRESS(917,8)):INDIRECT(ADDRESS(917,39)))</f>
        <v>0</v>
      </c>
    </row>
    <row r="919" spans="1:41">
      <c r="A919" t="s">
        <v>206</v>
      </c>
      <c r="B919" t="s">
        <v>465</v>
      </c>
      <c r="C919" t="s">
        <v>466</v>
      </c>
      <c r="E919">
        <v>1</v>
      </c>
      <c r="I919" t="s">
        <v>177</v>
      </c>
    </row>
    <row r="920" spans="1:41">
      <c r="I920" t="s">
        <v>178</v>
      </c>
      <c r="J920">
        <f>IFERROR(VLOOKUP("921-000000-100",B:AB,1+8,0),0)</f>
        <v>0</v>
      </c>
      <c r="K920">
        <f>IFERROR(VLOOKUP("921-000000-100",B:AB,2+8,0),0)</f>
        <v>0</v>
      </c>
      <c r="L920">
        <f>IFERROR(VLOOKUP("921-000000-100",B:AB,3+8,0),0)</f>
        <v>0</v>
      </c>
      <c r="M920">
        <f>IFERROR(VLOOKUP("921-000000-100",B:AB,4+8,0),0)</f>
        <v>0</v>
      </c>
      <c r="N920">
        <f>IFERROR(VLOOKUP("921-000000-100",B:AB,5+8,0),0)</f>
        <v>0</v>
      </c>
      <c r="O920">
        <f>IFERROR(VLOOKUP("921-000000-100",B:AB,6+8,0),0)</f>
        <v>0</v>
      </c>
      <c r="P920">
        <f>IFERROR(VLOOKUP("921-000000-100",B:AB,7+8,0),0)</f>
        <v>0</v>
      </c>
      <c r="Q920">
        <f>IFERROR(VLOOKUP("921-000000-100",B:AB,8+8,0),0)</f>
        <v>0</v>
      </c>
      <c r="R920">
        <f>IFERROR(VLOOKUP("921-000000-100",B:AB,9+8,0),0)</f>
        <v>0</v>
      </c>
      <c r="S920">
        <f>IFERROR(VLOOKUP("921-000000-100",B:AB,10+8,0),0)</f>
        <v>0</v>
      </c>
      <c r="T920">
        <f>IFERROR(VLOOKUP("921-000000-100",B:AB,11+8,0),0)</f>
        <v>0</v>
      </c>
      <c r="U920">
        <f>IFERROR(VLOOKUP("921-000000-100",B:AB,12+8,0),0)</f>
        <v>0</v>
      </c>
      <c r="V920">
        <f>IFERROR(VLOOKUP("921-000000-100",B:AB,13+8,0),0)</f>
        <v>0</v>
      </c>
      <c r="W920">
        <f>IFERROR(VLOOKUP("921-000000-100",B:AB,14+8,0),0)</f>
        <v>0</v>
      </c>
      <c r="X920">
        <f>IFERROR(VLOOKUP("921-000000-100",B:AB,15+8,0),0)</f>
        <v>0</v>
      </c>
      <c r="Y920">
        <f>IFERROR(VLOOKUP("921-000000-100",B:AB,16+8,0),0)</f>
        <v>0</v>
      </c>
      <c r="Z920">
        <f>IFERROR(VLOOKUP("921-000000-100",B:AB,17+8,0),0)</f>
        <v>0</v>
      </c>
      <c r="AA920">
        <f>IFERROR(VLOOKUP("921-000000-100",B:AB,18+8,0),0)</f>
        <v>0</v>
      </c>
      <c r="AB920">
        <f>IFERROR(VLOOKUP("921-000000-100",B:AB,19+8,0),0)</f>
        <v>0</v>
      </c>
      <c r="AC920">
        <f>IFERROR(VLOOKUP("921-000000-100",B:AB,20+8,0),0)</f>
        <v>0</v>
      </c>
      <c r="AD920">
        <f>IFERROR(VLOOKUP("921-000000-100",B:AB,21+8,0),0)</f>
        <v>0</v>
      </c>
      <c r="AE920">
        <f>IFERROR(VLOOKUP("921-000000-100",B:AB,22+8,0),0)</f>
        <v>0</v>
      </c>
      <c r="AF920">
        <f>IFERROR(VLOOKUP("921-000000-100",B:AB,23+8,0),0)</f>
        <v>0</v>
      </c>
      <c r="AG920">
        <f>IFERROR(VLOOKUP("921-000000-100",B:AB,24+8,0),0)</f>
        <v>0</v>
      </c>
      <c r="AH920">
        <f>IFERROR(VLOOKUP("921-000000-100",B:AB,25+8,0),0)</f>
        <v>0</v>
      </c>
      <c r="AI920">
        <f>IFERROR(VLOOKUP("921-000000-100",B:AB,26+8,0),0)</f>
        <v>0</v>
      </c>
      <c r="AJ920">
        <f>IFERROR(VLOOKUP("921-000000-100",B:AB,27+8,0),0)</f>
        <v>0</v>
      </c>
      <c r="AK920">
        <f>IFERROR(VLOOKUP("921-000000-100",B:AB,28+8,0),0)</f>
        <v>0</v>
      </c>
      <c r="AL920">
        <f>IFERROR(VLOOKUP("921-000000-100",B:AB,29+8,0),0)</f>
        <v>0</v>
      </c>
      <c r="AM920">
        <f>IFERROR(VLOOKUP("921-000000-100",B:AB,30+8,0),0)</f>
        <v>0</v>
      </c>
      <c r="AN920">
        <f>IFERROR(VLOOKUP("921-000000-100",B:AB,31+8,0),0)</f>
        <v>0</v>
      </c>
      <c r="AO920">
        <f>SUN(INDIRECT(ADDRESS(919,8)):INDIRECT(ADDRESS(919,39)))</f>
        <v>0</v>
      </c>
    </row>
    <row r="921" spans="1:41">
      <c r="H921" t="s">
        <v>179</v>
      </c>
      <c r="J921">
        <f>INDIRECT(ADDRESS(921,9))+INDIRECT(ADDRESS(919,10))-INDIRECT(ADDRESS(920,10))</f>
        <v>0</v>
      </c>
      <c r="K921">
        <f>INDIRECT(ADDRESS(921,10))+INDIRECT(ADDRESS(919,11))-INDIRECT(ADDRESS(920,11))</f>
        <v>0</v>
      </c>
      <c r="L921">
        <f>INDIRECT(ADDRESS(921,11))+INDIRECT(ADDRESS(919,12))-INDIRECT(ADDRESS(920,12))</f>
        <v>0</v>
      </c>
      <c r="M921">
        <f>INDIRECT(ADDRESS(921,12))+INDIRECT(ADDRESS(919,13))-INDIRECT(ADDRESS(920,13))</f>
        <v>0</v>
      </c>
      <c r="N921">
        <f>INDIRECT(ADDRESS(921,13))+INDIRECT(ADDRESS(919,14))-INDIRECT(ADDRESS(920,14))</f>
        <v>0</v>
      </c>
      <c r="O921">
        <f>INDIRECT(ADDRESS(921,14))+INDIRECT(ADDRESS(919,15))-INDIRECT(ADDRESS(920,15))</f>
        <v>0</v>
      </c>
      <c r="P921">
        <f>INDIRECT(ADDRESS(921,15))+INDIRECT(ADDRESS(919,16))-INDIRECT(ADDRESS(920,16))</f>
        <v>0</v>
      </c>
      <c r="Q921">
        <f>INDIRECT(ADDRESS(921,16))+INDIRECT(ADDRESS(919,17))-INDIRECT(ADDRESS(920,17))</f>
        <v>0</v>
      </c>
      <c r="R921">
        <f>INDIRECT(ADDRESS(921,17))+INDIRECT(ADDRESS(919,18))-INDIRECT(ADDRESS(920,18))</f>
        <v>0</v>
      </c>
      <c r="S921">
        <f>INDIRECT(ADDRESS(921,18))+INDIRECT(ADDRESS(919,19))-INDIRECT(ADDRESS(920,19))</f>
        <v>0</v>
      </c>
      <c r="T921">
        <f>INDIRECT(ADDRESS(921,19))+INDIRECT(ADDRESS(919,20))-INDIRECT(ADDRESS(920,20))</f>
        <v>0</v>
      </c>
      <c r="U921">
        <f>INDIRECT(ADDRESS(921,20))+INDIRECT(ADDRESS(919,21))-INDIRECT(ADDRESS(920,21))</f>
        <v>0</v>
      </c>
      <c r="V921">
        <f>INDIRECT(ADDRESS(921,21))+INDIRECT(ADDRESS(919,22))-INDIRECT(ADDRESS(920,22))</f>
        <v>0</v>
      </c>
      <c r="W921">
        <f>INDIRECT(ADDRESS(921,22))+INDIRECT(ADDRESS(919,23))-INDIRECT(ADDRESS(920,23))</f>
        <v>0</v>
      </c>
      <c r="X921">
        <f>INDIRECT(ADDRESS(921,23))+INDIRECT(ADDRESS(919,24))-INDIRECT(ADDRESS(920,24))</f>
        <v>0</v>
      </c>
      <c r="Y921">
        <f>INDIRECT(ADDRESS(921,24))+INDIRECT(ADDRESS(919,25))-INDIRECT(ADDRESS(920,25))</f>
        <v>0</v>
      </c>
      <c r="Z921">
        <f>INDIRECT(ADDRESS(921,25))+INDIRECT(ADDRESS(919,26))-INDIRECT(ADDRESS(920,26))</f>
        <v>0</v>
      </c>
      <c r="AA921">
        <f>INDIRECT(ADDRESS(921,26))+INDIRECT(ADDRESS(919,27))-INDIRECT(ADDRESS(920,27))</f>
        <v>0</v>
      </c>
      <c r="AB921">
        <f>INDIRECT(ADDRESS(921,27))+INDIRECT(ADDRESS(919,28))-INDIRECT(ADDRESS(920,28))</f>
        <v>0</v>
      </c>
      <c r="AC921">
        <f>INDIRECT(ADDRESS(921,28))+INDIRECT(ADDRESS(919,29))-INDIRECT(ADDRESS(920,29))</f>
        <v>0</v>
      </c>
      <c r="AD921">
        <f>INDIRECT(ADDRESS(921,29))+INDIRECT(ADDRESS(919,30))-INDIRECT(ADDRESS(920,30))</f>
        <v>0</v>
      </c>
      <c r="AE921">
        <f>INDIRECT(ADDRESS(921,30))+INDIRECT(ADDRESS(919,31))-INDIRECT(ADDRESS(920,31))</f>
        <v>0</v>
      </c>
      <c r="AF921">
        <f>INDIRECT(ADDRESS(921,31))+INDIRECT(ADDRESS(919,32))-INDIRECT(ADDRESS(920,32))</f>
        <v>0</v>
      </c>
      <c r="AG921">
        <f>INDIRECT(ADDRESS(921,32))+INDIRECT(ADDRESS(919,33))-INDIRECT(ADDRESS(920,33))</f>
        <v>0</v>
      </c>
      <c r="AH921">
        <f>INDIRECT(ADDRESS(921,33))+INDIRECT(ADDRESS(919,34))-INDIRECT(ADDRESS(920,34))</f>
        <v>0</v>
      </c>
      <c r="AI921">
        <f>INDIRECT(ADDRESS(921,34))+INDIRECT(ADDRESS(919,35))-INDIRECT(ADDRESS(920,35))</f>
        <v>0</v>
      </c>
      <c r="AJ921">
        <f>INDIRECT(ADDRESS(921,35))+INDIRECT(ADDRESS(919,36))-INDIRECT(ADDRESS(920,36))</f>
        <v>0</v>
      </c>
      <c r="AK921">
        <f>INDIRECT(ADDRESS(921,36))+INDIRECT(ADDRESS(919,37))-INDIRECT(ADDRESS(920,37))</f>
        <v>0</v>
      </c>
      <c r="AL921">
        <f>INDIRECT(ADDRESS(921,37))+INDIRECT(ADDRESS(919,38))-INDIRECT(ADDRESS(920,38))</f>
        <v>0</v>
      </c>
      <c r="AM921">
        <f>INDIRECT(ADDRESS(921,38))+INDIRECT(ADDRESS(919,39))-INDIRECT(ADDRESS(920,39))</f>
        <v>0</v>
      </c>
      <c r="AN921">
        <f>INDIRECT(ADDRESS(921,39))+INDIRECT(ADDRESS(919,40))-INDIRECT(ADDRESS(920,40))</f>
        <v>0</v>
      </c>
      <c r="AO921">
        <f>SUM(INDIRECT(ADDRESS(920,8)):INDIRECT(ADDRESS(920,39)))</f>
        <v>0</v>
      </c>
    </row>
    <row r="922" spans="1:41">
      <c r="A922" t="s">
        <v>8</v>
      </c>
      <c r="B922" t="s">
        <v>72</v>
      </c>
      <c r="C922" t="s">
        <v>70</v>
      </c>
      <c r="E922">
        <v>1</v>
      </c>
      <c r="I922" t="s">
        <v>177</v>
      </c>
    </row>
    <row r="923" spans="1:41">
      <c r="I923" t="s">
        <v>178</v>
      </c>
      <c r="J923">
        <f>IFERROR(VLOOKUP("921-000000-200",Out!B:AB,1+8,0),0)</f>
        <v>0</v>
      </c>
      <c r="K923">
        <f>IFERROR(VLOOKUP("921-000000-200",Out!B:AB,2+8,0),0)</f>
        <v>0</v>
      </c>
      <c r="L923">
        <f>IFERROR(VLOOKUP("921-000000-200",Out!B:AB,3+8,0),0)</f>
        <v>0</v>
      </c>
      <c r="M923">
        <f>IFERROR(VLOOKUP("921-000000-200",Out!B:AB,4+8,0),0)</f>
        <v>0</v>
      </c>
      <c r="N923">
        <f>IFERROR(VLOOKUP("921-000000-200",Out!B:AB,5+8,0),0)</f>
        <v>0</v>
      </c>
      <c r="O923">
        <f>IFERROR(VLOOKUP("921-000000-200",Out!B:AB,6+8,0),0)</f>
        <v>0</v>
      </c>
      <c r="P923">
        <f>IFERROR(VLOOKUP("921-000000-200",Out!B:AB,7+8,0),0)</f>
        <v>0</v>
      </c>
      <c r="Q923">
        <f>IFERROR(VLOOKUP("921-000000-200",Out!B:AB,8+8,0),0)</f>
        <v>0</v>
      </c>
      <c r="R923">
        <f>IFERROR(VLOOKUP("921-000000-200",Out!B:AB,9+8,0),0)</f>
        <v>0</v>
      </c>
      <c r="S923">
        <f>IFERROR(VLOOKUP("921-000000-200",Out!B:AB,10+8,0),0)</f>
        <v>0</v>
      </c>
      <c r="T923">
        <f>IFERROR(VLOOKUP("921-000000-200",Out!B:AB,11+8,0),0)</f>
        <v>0</v>
      </c>
      <c r="U923">
        <f>IFERROR(VLOOKUP("921-000000-200",Out!B:AB,12+8,0),0)</f>
        <v>0</v>
      </c>
      <c r="V923">
        <f>IFERROR(VLOOKUP("921-000000-200",Out!B:AB,13+8,0),0)</f>
        <v>0</v>
      </c>
      <c r="W923">
        <f>IFERROR(VLOOKUP("921-000000-200",Out!B:AB,14+8,0),0)</f>
        <v>0</v>
      </c>
      <c r="X923">
        <f>IFERROR(VLOOKUP("921-000000-200",Out!B:AB,15+8,0),0)</f>
        <v>0</v>
      </c>
      <c r="Y923">
        <f>IFERROR(VLOOKUP("921-000000-200",Out!B:AB,16+8,0),0)</f>
        <v>0</v>
      </c>
      <c r="Z923">
        <f>IFERROR(VLOOKUP("921-000000-200",Out!B:AB,17+8,0),0)</f>
        <v>0</v>
      </c>
      <c r="AA923">
        <f>IFERROR(VLOOKUP("921-000000-200",Out!B:AB,18+8,0),0)</f>
        <v>0</v>
      </c>
      <c r="AB923">
        <f>IFERROR(VLOOKUP("921-000000-200",Out!B:AB,19+8,0),0)</f>
        <v>0</v>
      </c>
      <c r="AC923">
        <f>IFERROR(VLOOKUP("921-000000-200",Out!B:AB,20+8,0),0)</f>
        <v>0</v>
      </c>
      <c r="AD923">
        <f>IFERROR(VLOOKUP("921-000000-200",Out!B:AB,21+8,0),0)</f>
        <v>0</v>
      </c>
      <c r="AE923">
        <f>IFERROR(VLOOKUP("921-000000-200",Out!B:AB,22+8,0),0)</f>
        <v>0</v>
      </c>
      <c r="AF923">
        <f>IFERROR(VLOOKUP("921-000000-200",Out!B:AB,23+8,0),0)</f>
        <v>0</v>
      </c>
      <c r="AG923">
        <f>IFERROR(VLOOKUP("921-000000-200",Out!B:AB,24+8,0),0)</f>
        <v>0</v>
      </c>
      <c r="AH923">
        <f>IFERROR(VLOOKUP("921-000000-200",Out!B:AB,25+8,0),0)</f>
        <v>0</v>
      </c>
      <c r="AI923">
        <f>IFERROR(VLOOKUP("921-000000-200",Out!B:AB,26+8,0),0)</f>
        <v>0</v>
      </c>
      <c r="AJ923">
        <f>IFERROR(VLOOKUP("921-000000-200",Out!B:AB,27+8,0),0)</f>
        <v>0</v>
      </c>
      <c r="AK923">
        <f>IFERROR(VLOOKUP("921-000000-200",Out!B:AB,28+8,0),0)</f>
        <v>0</v>
      </c>
      <c r="AL923">
        <f>IFERROR(VLOOKUP("921-000000-200",Out!B:AB,29+8,0),0)</f>
        <v>0</v>
      </c>
      <c r="AM923">
        <f>IFERROR(VLOOKUP("921-000000-200",Out!B:AB,30+8,0),0)</f>
        <v>0</v>
      </c>
      <c r="AN923">
        <f>IFERROR(VLOOKUP("921-000000-200",Out!B:AB,31+8,0),0)</f>
        <v>0</v>
      </c>
      <c r="AO923">
        <f>SUN(INDIRECT(ADDRESS(922,8)):INDIRECT(ADDRESS(922,39)))</f>
        <v>0</v>
      </c>
    </row>
    <row r="924" spans="1:41">
      <c r="H924" t="s">
        <v>179</v>
      </c>
      <c r="J924">
        <f>INDIRECT(ADDRESS(924,9))+INDIRECT(ADDRESS(922,10))-INDIRECT(ADDRESS(923,10))</f>
        <v>0</v>
      </c>
      <c r="K924">
        <f>INDIRECT(ADDRESS(924,10))+INDIRECT(ADDRESS(922,11))-INDIRECT(ADDRESS(923,11))</f>
        <v>0</v>
      </c>
      <c r="L924">
        <f>INDIRECT(ADDRESS(924,11))+INDIRECT(ADDRESS(922,12))-INDIRECT(ADDRESS(923,12))</f>
        <v>0</v>
      </c>
      <c r="M924">
        <f>INDIRECT(ADDRESS(924,12))+INDIRECT(ADDRESS(922,13))-INDIRECT(ADDRESS(923,13))</f>
        <v>0</v>
      </c>
      <c r="N924">
        <f>INDIRECT(ADDRESS(924,13))+INDIRECT(ADDRESS(922,14))-INDIRECT(ADDRESS(923,14))</f>
        <v>0</v>
      </c>
      <c r="O924">
        <f>INDIRECT(ADDRESS(924,14))+INDIRECT(ADDRESS(922,15))-INDIRECT(ADDRESS(923,15))</f>
        <v>0</v>
      </c>
      <c r="P924">
        <f>INDIRECT(ADDRESS(924,15))+INDIRECT(ADDRESS(922,16))-INDIRECT(ADDRESS(923,16))</f>
        <v>0</v>
      </c>
      <c r="Q924">
        <f>INDIRECT(ADDRESS(924,16))+INDIRECT(ADDRESS(922,17))-INDIRECT(ADDRESS(923,17))</f>
        <v>0</v>
      </c>
      <c r="R924">
        <f>INDIRECT(ADDRESS(924,17))+INDIRECT(ADDRESS(922,18))-INDIRECT(ADDRESS(923,18))</f>
        <v>0</v>
      </c>
      <c r="S924">
        <f>INDIRECT(ADDRESS(924,18))+INDIRECT(ADDRESS(922,19))-INDIRECT(ADDRESS(923,19))</f>
        <v>0</v>
      </c>
      <c r="T924">
        <f>INDIRECT(ADDRESS(924,19))+INDIRECT(ADDRESS(922,20))-INDIRECT(ADDRESS(923,20))</f>
        <v>0</v>
      </c>
      <c r="U924">
        <f>INDIRECT(ADDRESS(924,20))+INDIRECT(ADDRESS(922,21))-INDIRECT(ADDRESS(923,21))</f>
        <v>0</v>
      </c>
      <c r="V924">
        <f>INDIRECT(ADDRESS(924,21))+INDIRECT(ADDRESS(922,22))-INDIRECT(ADDRESS(923,22))</f>
        <v>0</v>
      </c>
      <c r="W924">
        <f>INDIRECT(ADDRESS(924,22))+INDIRECT(ADDRESS(922,23))-INDIRECT(ADDRESS(923,23))</f>
        <v>0</v>
      </c>
      <c r="X924">
        <f>INDIRECT(ADDRESS(924,23))+INDIRECT(ADDRESS(922,24))-INDIRECT(ADDRESS(923,24))</f>
        <v>0</v>
      </c>
      <c r="Y924">
        <f>INDIRECT(ADDRESS(924,24))+INDIRECT(ADDRESS(922,25))-INDIRECT(ADDRESS(923,25))</f>
        <v>0</v>
      </c>
      <c r="Z924">
        <f>INDIRECT(ADDRESS(924,25))+INDIRECT(ADDRESS(922,26))-INDIRECT(ADDRESS(923,26))</f>
        <v>0</v>
      </c>
      <c r="AA924">
        <f>INDIRECT(ADDRESS(924,26))+INDIRECT(ADDRESS(922,27))-INDIRECT(ADDRESS(923,27))</f>
        <v>0</v>
      </c>
      <c r="AB924">
        <f>INDIRECT(ADDRESS(924,27))+INDIRECT(ADDRESS(922,28))-INDIRECT(ADDRESS(923,28))</f>
        <v>0</v>
      </c>
      <c r="AC924">
        <f>INDIRECT(ADDRESS(924,28))+INDIRECT(ADDRESS(922,29))-INDIRECT(ADDRESS(923,29))</f>
        <v>0</v>
      </c>
      <c r="AD924">
        <f>INDIRECT(ADDRESS(924,29))+INDIRECT(ADDRESS(922,30))-INDIRECT(ADDRESS(923,30))</f>
        <v>0</v>
      </c>
      <c r="AE924">
        <f>INDIRECT(ADDRESS(924,30))+INDIRECT(ADDRESS(922,31))-INDIRECT(ADDRESS(923,31))</f>
        <v>0</v>
      </c>
      <c r="AF924">
        <f>INDIRECT(ADDRESS(924,31))+INDIRECT(ADDRESS(922,32))-INDIRECT(ADDRESS(923,32))</f>
        <v>0</v>
      </c>
      <c r="AG924">
        <f>INDIRECT(ADDRESS(924,32))+INDIRECT(ADDRESS(922,33))-INDIRECT(ADDRESS(923,33))</f>
        <v>0</v>
      </c>
      <c r="AH924">
        <f>INDIRECT(ADDRESS(924,33))+INDIRECT(ADDRESS(922,34))-INDIRECT(ADDRESS(923,34))</f>
        <v>0</v>
      </c>
      <c r="AI924">
        <f>INDIRECT(ADDRESS(924,34))+INDIRECT(ADDRESS(922,35))-INDIRECT(ADDRESS(923,35))</f>
        <v>0</v>
      </c>
      <c r="AJ924">
        <f>INDIRECT(ADDRESS(924,35))+INDIRECT(ADDRESS(922,36))-INDIRECT(ADDRESS(923,36))</f>
        <v>0</v>
      </c>
      <c r="AK924">
        <f>INDIRECT(ADDRESS(924,36))+INDIRECT(ADDRESS(922,37))-INDIRECT(ADDRESS(923,37))</f>
        <v>0</v>
      </c>
      <c r="AL924">
        <f>INDIRECT(ADDRESS(924,37))+INDIRECT(ADDRESS(922,38))-INDIRECT(ADDRESS(923,38))</f>
        <v>0</v>
      </c>
      <c r="AM924">
        <f>INDIRECT(ADDRESS(924,38))+INDIRECT(ADDRESS(922,39))-INDIRECT(ADDRESS(923,39))</f>
        <v>0</v>
      </c>
      <c r="AN924">
        <f>INDIRECT(ADDRESS(924,39))+INDIRECT(ADDRESS(922,40))-INDIRECT(ADDRESS(923,40))</f>
        <v>0</v>
      </c>
      <c r="AO924">
        <f>SUM(INDIRECT(ADDRESS(923,8)):INDIRECT(ADDRESS(923,39)))</f>
        <v>0</v>
      </c>
    </row>
    <row r="925" spans="1:41">
      <c r="A925" t="s">
        <v>180</v>
      </c>
      <c r="B925" t="s">
        <v>503</v>
      </c>
      <c r="C925" t="s">
        <v>504</v>
      </c>
      <c r="E925">
        <v>1</v>
      </c>
      <c r="I925" t="s">
        <v>177</v>
      </c>
    </row>
    <row r="926" spans="1:41">
      <c r="I926" t="s">
        <v>178</v>
      </c>
      <c r="J926">
        <f>IFERROR(VLOOKUP("921-000000-200",B:AB,1+8,0),0)</f>
        <v>0</v>
      </c>
      <c r="K926">
        <f>IFERROR(VLOOKUP("921-000000-200",B:AB,2+8,0),0)</f>
        <v>0</v>
      </c>
      <c r="L926">
        <f>IFERROR(VLOOKUP("921-000000-200",B:AB,3+8,0),0)</f>
        <v>0</v>
      </c>
      <c r="M926">
        <f>IFERROR(VLOOKUP("921-000000-200",B:AB,4+8,0),0)</f>
        <v>0</v>
      </c>
      <c r="N926">
        <f>IFERROR(VLOOKUP("921-000000-200",B:AB,5+8,0),0)</f>
        <v>0</v>
      </c>
      <c r="O926">
        <f>IFERROR(VLOOKUP("921-000000-200",B:AB,6+8,0),0)</f>
        <v>0</v>
      </c>
      <c r="P926">
        <f>IFERROR(VLOOKUP("921-000000-200",B:AB,7+8,0),0)</f>
        <v>0</v>
      </c>
      <c r="Q926">
        <f>IFERROR(VLOOKUP("921-000000-200",B:AB,8+8,0),0)</f>
        <v>0</v>
      </c>
      <c r="R926">
        <f>IFERROR(VLOOKUP("921-000000-200",B:AB,9+8,0),0)</f>
        <v>0</v>
      </c>
      <c r="S926">
        <f>IFERROR(VLOOKUP("921-000000-200",B:AB,10+8,0),0)</f>
        <v>0</v>
      </c>
      <c r="T926">
        <f>IFERROR(VLOOKUP("921-000000-200",B:AB,11+8,0),0)</f>
        <v>0</v>
      </c>
      <c r="U926">
        <f>IFERROR(VLOOKUP("921-000000-200",B:AB,12+8,0),0)</f>
        <v>0</v>
      </c>
      <c r="V926">
        <f>IFERROR(VLOOKUP("921-000000-200",B:AB,13+8,0),0)</f>
        <v>0</v>
      </c>
      <c r="W926">
        <f>IFERROR(VLOOKUP("921-000000-200",B:AB,14+8,0),0)</f>
        <v>0</v>
      </c>
      <c r="X926">
        <f>IFERROR(VLOOKUP("921-000000-200",B:AB,15+8,0),0)</f>
        <v>0</v>
      </c>
      <c r="Y926">
        <f>IFERROR(VLOOKUP("921-000000-200",B:AB,16+8,0),0)</f>
        <v>0</v>
      </c>
      <c r="Z926">
        <f>IFERROR(VLOOKUP("921-000000-200",B:AB,17+8,0),0)</f>
        <v>0</v>
      </c>
      <c r="AA926">
        <f>IFERROR(VLOOKUP("921-000000-200",B:AB,18+8,0),0)</f>
        <v>0</v>
      </c>
      <c r="AB926">
        <f>IFERROR(VLOOKUP("921-000000-200",B:AB,19+8,0),0)</f>
        <v>0</v>
      </c>
      <c r="AC926">
        <f>IFERROR(VLOOKUP("921-000000-200",B:AB,20+8,0),0)</f>
        <v>0</v>
      </c>
      <c r="AD926">
        <f>IFERROR(VLOOKUP("921-000000-200",B:AB,21+8,0),0)</f>
        <v>0</v>
      </c>
      <c r="AE926">
        <f>IFERROR(VLOOKUP("921-000000-200",B:AB,22+8,0),0)</f>
        <v>0</v>
      </c>
      <c r="AF926">
        <f>IFERROR(VLOOKUP("921-000000-200",B:AB,23+8,0),0)</f>
        <v>0</v>
      </c>
      <c r="AG926">
        <f>IFERROR(VLOOKUP("921-000000-200",B:AB,24+8,0),0)</f>
        <v>0</v>
      </c>
      <c r="AH926">
        <f>IFERROR(VLOOKUP("921-000000-200",B:AB,25+8,0),0)</f>
        <v>0</v>
      </c>
      <c r="AI926">
        <f>IFERROR(VLOOKUP("921-000000-200",B:AB,26+8,0),0)</f>
        <v>0</v>
      </c>
      <c r="AJ926">
        <f>IFERROR(VLOOKUP("921-000000-200",B:AB,27+8,0),0)</f>
        <v>0</v>
      </c>
      <c r="AK926">
        <f>IFERROR(VLOOKUP("921-000000-200",B:AB,28+8,0),0)</f>
        <v>0</v>
      </c>
      <c r="AL926">
        <f>IFERROR(VLOOKUP("921-000000-200",B:AB,29+8,0),0)</f>
        <v>0</v>
      </c>
      <c r="AM926">
        <f>IFERROR(VLOOKUP("921-000000-200",B:AB,30+8,0),0)</f>
        <v>0</v>
      </c>
      <c r="AN926">
        <f>IFERROR(VLOOKUP("921-000000-200",B:AB,31+8,0),0)</f>
        <v>0</v>
      </c>
      <c r="AO926">
        <f>SUN(INDIRECT(ADDRESS(925,8)):INDIRECT(ADDRESS(925,39)))</f>
        <v>0</v>
      </c>
    </row>
    <row r="927" spans="1:41">
      <c r="H927" t="s">
        <v>179</v>
      </c>
      <c r="J927">
        <f>INDIRECT(ADDRESS(927,9))+INDIRECT(ADDRESS(925,10))-INDIRECT(ADDRESS(926,10))</f>
        <v>0</v>
      </c>
      <c r="K927">
        <f>INDIRECT(ADDRESS(927,10))+INDIRECT(ADDRESS(925,11))-INDIRECT(ADDRESS(926,11))</f>
        <v>0</v>
      </c>
      <c r="L927">
        <f>INDIRECT(ADDRESS(927,11))+INDIRECT(ADDRESS(925,12))-INDIRECT(ADDRESS(926,12))</f>
        <v>0</v>
      </c>
      <c r="M927">
        <f>INDIRECT(ADDRESS(927,12))+INDIRECT(ADDRESS(925,13))-INDIRECT(ADDRESS(926,13))</f>
        <v>0</v>
      </c>
      <c r="N927">
        <f>INDIRECT(ADDRESS(927,13))+INDIRECT(ADDRESS(925,14))-INDIRECT(ADDRESS(926,14))</f>
        <v>0</v>
      </c>
      <c r="O927">
        <f>INDIRECT(ADDRESS(927,14))+INDIRECT(ADDRESS(925,15))-INDIRECT(ADDRESS(926,15))</f>
        <v>0</v>
      </c>
      <c r="P927">
        <f>INDIRECT(ADDRESS(927,15))+INDIRECT(ADDRESS(925,16))-INDIRECT(ADDRESS(926,16))</f>
        <v>0</v>
      </c>
      <c r="Q927">
        <f>INDIRECT(ADDRESS(927,16))+INDIRECT(ADDRESS(925,17))-INDIRECT(ADDRESS(926,17))</f>
        <v>0</v>
      </c>
      <c r="R927">
        <f>INDIRECT(ADDRESS(927,17))+INDIRECT(ADDRESS(925,18))-INDIRECT(ADDRESS(926,18))</f>
        <v>0</v>
      </c>
      <c r="S927">
        <f>INDIRECT(ADDRESS(927,18))+INDIRECT(ADDRESS(925,19))-INDIRECT(ADDRESS(926,19))</f>
        <v>0</v>
      </c>
      <c r="T927">
        <f>INDIRECT(ADDRESS(927,19))+INDIRECT(ADDRESS(925,20))-INDIRECT(ADDRESS(926,20))</f>
        <v>0</v>
      </c>
      <c r="U927">
        <f>INDIRECT(ADDRESS(927,20))+INDIRECT(ADDRESS(925,21))-INDIRECT(ADDRESS(926,21))</f>
        <v>0</v>
      </c>
      <c r="V927">
        <f>INDIRECT(ADDRESS(927,21))+INDIRECT(ADDRESS(925,22))-INDIRECT(ADDRESS(926,22))</f>
        <v>0</v>
      </c>
      <c r="W927">
        <f>INDIRECT(ADDRESS(927,22))+INDIRECT(ADDRESS(925,23))-INDIRECT(ADDRESS(926,23))</f>
        <v>0</v>
      </c>
      <c r="X927">
        <f>INDIRECT(ADDRESS(927,23))+INDIRECT(ADDRESS(925,24))-INDIRECT(ADDRESS(926,24))</f>
        <v>0</v>
      </c>
      <c r="Y927">
        <f>INDIRECT(ADDRESS(927,24))+INDIRECT(ADDRESS(925,25))-INDIRECT(ADDRESS(926,25))</f>
        <v>0</v>
      </c>
      <c r="Z927">
        <f>INDIRECT(ADDRESS(927,25))+INDIRECT(ADDRESS(925,26))-INDIRECT(ADDRESS(926,26))</f>
        <v>0</v>
      </c>
      <c r="AA927">
        <f>INDIRECT(ADDRESS(927,26))+INDIRECT(ADDRESS(925,27))-INDIRECT(ADDRESS(926,27))</f>
        <v>0</v>
      </c>
      <c r="AB927">
        <f>INDIRECT(ADDRESS(927,27))+INDIRECT(ADDRESS(925,28))-INDIRECT(ADDRESS(926,28))</f>
        <v>0</v>
      </c>
      <c r="AC927">
        <f>INDIRECT(ADDRESS(927,28))+INDIRECT(ADDRESS(925,29))-INDIRECT(ADDRESS(926,29))</f>
        <v>0</v>
      </c>
      <c r="AD927">
        <f>INDIRECT(ADDRESS(927,29))+INDIRECT(ADDRESS(925,30))-INDIRECT(ADDRESS(926,30))</f>
        <v>0</v>
      </c>
      <c r="AE927">
        <f>INDIRECT(ADDRESS(927,30))+INDIRECT(ADDRESS(925,31))-INDIRECT(ADDRESS(926,31))</f>
        <v>0</v>
      </c>
      <c r="AF927">
        <f>INDIRECT(ADDRESS(927,31))+INDIRECT(ADDRESS(925,32))-INDIRECT(ADDRESS(926,32))</f>
        <v>0</v>
      </c>
      <c r="AG927">
        <f>INDIRECT(ADDRESS(927,32))+INDIRECT(ADDRESS(925,33))-INDIRECT(ADDRESS(926,33))</f>
        <v>0</v>
      </c>
      <c r="AH927">
        <f>INDIRECT(ADDRESS(927,33))+INDIRECT(ADDRESS(925,34))-INDIRECT(ADDRESS(926,34))</f>
        <v>0</v>
      </c>
      <c r="AI927">
        <f>INDIRECT(ADDRESS(927,34))+INDIRECT(ADDRESS(925,35))-INDIRECT(ADDRESS(926,35))</f>
        <v>0</v>
      </c>
      <c r="AJ927">
        <f>INDIRECT(ADDRESS(927,35))+INDIRECT(ADDRESS(925,36))-INDIRECT(ADDRESS(926,36))</f>
        <v>0</v>
      </c>
      <c r="AK927">
        <f>INDIRECT(ADDRESS(927,36))+INDIRECT(ADDRESS(925,37))-INDIRECT(ADDRESS(926,37))</f>
        <v>0</v>
      </c>
      <c r="AL927">
        <f>INDIRECT(ADDRESS(927,37))+INDIRECT(ADDRESS(925,38))-INDIRECT(ADDRESS(926,38))</f>
        <v>0</v>
      </c>
      <c r="AM927">
        <f>INDIRECT(ADDRESS(927,38))+INDIRECT(ADDRESS(925,39))-INDIRECT(ADDRESS(926,39))</f>
        <v>0</v>
      </c>
      <c r="AN927">
        <f>INDIRECT(ADDRESS(927,39))+INDIRECT(ADDRESS(925,40))-INDIRECT(ADDRESS(926,40))</f>
        <v>0</v>
      </c>
      <c r="AO927">
        <f>SUM(INDIRECT(ADDRESS(926,8)):INDIRECT(ADDRESS(926,39)))</f>
        <v>0</v>
      </c>
    </row>
    <row r="928" spans="1:41">
      <c r="A928" t="s">
        <v>180</v>
      </c>
      <c r="B928" t="s">
        <v>505</v>
      </c>
      <c r="C928" t="s">
        <v>506</v>
      </c>
      <c r="E928">
        <v>1</v>
      </c>
      <c r="I928" t="s">
        <v>177</v>
      </c>
    </row>
    <row r="929" spans="1:41">
      <c r="I929" t="s">
        <v>178</v>
      </c>
      <c r="J929">
        <f>IFERROR(VLOOKUP("921-000000-200",B:AB,1+8,0),0)</f>
        <v>0</v>
      </c>
      <c r="K929">
        <f>IFERROR(VLOOKUP("921-000000-200",B:AB,2+8,0),0)</f>
        <v>0</v>
      </c>
      <c r="L929">
        <f>IFERROR(VLOOKUP("921-000000-200",B:AB,3+8,0),0)</f>
        <v>0</v>
      </c>
      <c r="M929">
        <f>IFERROR(VLOOKUP("921-000000-200",B:AB,4+8,0),0)</f>
        <v>0</v>
      </c>
      <c r="N929">
        <f>IFERROR(VLOOKUP("921-000000-200",B:AB,5+8,0),0)</f>
        <v>0</v>
      </c>
      <c r="O929">
        <f>IFERROR(VLOOKUP("921-000000-200",B:AB,6+8,0),0)</f>
        <v>0</v>
      </c>
      <c r="P929">
        <f>IFERROR(VLOOKUP("921-000000-200",B:AB,7+8,0),0)</f>
        <v>0</v>
      </c>
      <c r="Q929">
        <f>IFERROR(VLOOKUP("921-000000-200",B:AB,8+8,0),0)</f>
        <v>0</v>
      </c>
      <c r="R929">
        <f>IFERROR(VLOOKUP("921-000000-200",B:AB,9+8,0),0)</f>
        <v>0</v>
      </c>
      <c r="S929">
        <f>IFERROR(VLOOKUP("921-000000-200",B:AB,10+8,0),0)</f>
        <v>0</v>
      </c>
      <c r="T929">
        <f>IFERROR(VLOOKUP("921-000000-200",B:AB,11+8,0),0)</f>
        <v>0</v>
      </c>
      <c r="U929">
        <f>IFERROR(VLOOKUP("921-000000-200",B:AB,12+8,0),0)</f>
        <v>0</v>
      </c>
      <c r="V929">
        <f>IFERROR(VLOOKUP("921-000000-200",B:AB,13+8,0),0)</f>
        <v>0</v>
      </c>
      <c r="W929">
        <f>IFERROR(VLOOKUP("921-000000-200",B:AB,14+8,0),0)</f>
        <v>0</v>
      </c>
      <c r="X929">
        <f>IFERROR(VLOOKUP("921-000000-200",B:AB,15+8,0),0)</f>
        <v>0</v>
      </c>
      <c r="Y929">
        <f>IFERROR(VLOOKUP("921-000000-200",B:AB,16+8,0),0)</f>
        <v>0</v>
      </c>
      <c r="Z929">
        <f>IFERROR(VLOOKUP("921-000000-200",B:AB,17+8,0),0)</f>
        <v>0</v>
      </c>
      <c r="AA929">
        <f>IFERROR(VLOOKUP("921-000000-200",B:AB,18+8,0),0)</f>
        <v>0</v>
      </c>
      <c r="AB929">
        <f>IFERROR(VLOOKUP("921-000000-200",B:AB,19+8,0),0)</f>
        <v>0</v>
      </c>
      <c r="AC929">
        <f>IFERROR(VLOOKUP("921-000000-200",B:AB,20+8,0),0)</f>
        <v>0</v>
      </c>
      <c r="AD929">
        <f>IFERROR(VLOOKUP("921-000000-200",B:AB,21+8,0),0)</f>
        <v>0</v>
      </c>
      <c r="AE929">
        <f>IFERROR(VLOOKUP("921-000000-200",B:AB,22+8,0),0)</f>
        <v>0</v>
      </c>
      <c r="AF929">
        <f>IFERROR(VLOOKUP("921-000000-200",B:AB,23+8,0),0)</f>
        <v>0</v>
      </c>
      <c r="AG929">
        <f>IFERROR(VLOOKUP("921-000000-200",B:AB,24+8,0),0)</f>
        <v>0</v>
      </c>
      <c r="AH929">
        <f>IFERROR(VLOOKUP("921-000000-200",B:AB,25+8,0),0)</f>
        <v>0</v>
      </c>
      <c r="AI929">
        <f>IFERROR(VLOOKUP("921-000000-200",B:AB,26+8,0),0)</f>
        <v>0</v>
      </c>
      <c r="AJ929">
        <f>IFERROR(VLOOKUP("921-000000-200",B:AB,27+8,0),0)</f>
        <v>0</v>
      </c>
      <c r="AK929">
        <f>IFERROR(VLOOKUP("921-000000-200",B:AB,28+8,0),0)</f>
        <v>0</v>
      </c>
      <c r="AL929">
        <f>IFERROR(VLOOKUP("921-000000-200",B:AB,29+8,0),0)</f>
        <v>0</v>
      </c>
      <c r="AM929">
        <f>IFERROR(VLOOKUP("921-000000-200",B:AB,30+8,0),0)</f>
        <v>0</v>
      </c>
      <c r="AN929">
        <f>IFERROR(VLOOKUP("921-000000-200",B:AB,31+8,0),0)</f>
        <v>0</v>
      </c>
      <c r="AO929">
        <f>SUN(INDIRECT(ADDRESS(928,8)):INDIRECT(ADDRESS(928,39)))</f>
        <v>0</v>
      </c>
    </row>
    <row r="930" spans="1:41">
      <c r="H930" t="s">
        <v>179</v>
      </c>
      <c r="J930">
        <f>INDIRECT(ADDRESS(930,9))+INDIRECT(ADDRESS(928,10))-INDIRECT(ADDRESS(929,10))</f>
        <v>0</v>
      </c>
      <c r="K930">
        <f>INDIRECT(ADDRESS(930,10))+INDIRECT(ADDRESS(928,11))-INDIRECT(ADDRESS(929,11))</f>
        <v>0</v>
      </c>
      <c r="L930">
        <f>INDIRECT(ADDRESS(930,11))+INDIRECT(ADDRESS(928,12))-INDIRECT(ADDRESS(929,12))</f>
        <v>0</v>
      </c>
      <c r="M930">
        <f>INDIRECT(ADDRESS(930,12))+INDIRECT(ADDRESS(928,13))-INDIRECT(ADDRESS(929,13))</f>
        <v>0</v>
      </c>
      <c r="N930">
        <f>INDIRECT(ADDRESS(930,13))+INDIRECT(ADDRESS(928,14))-INDIRECT(ADDRESS(929,14))</f>
        <v>0</v>
      </c>
      <c r="O930">
        <f>INDIRECT(ADDRESS(930,14))+INDIRECT(ADDRESS(928,15))-INDIRECT(ADDRESS(929,15))</f>
        <v>0</v>
      </c>
      <c r="P930">
        <f>INDIRECT(ADDRESS(930,15))+INDIRECT(ADDRESS(928,16))-INDIRECT(ADDRESS(929,16))</f>
        <v>0</v>
      </c>
      <c r="Q930">
        <f>INDIRECT(ADDRESS(930,16))+INDIRECT(ADDRESS(928,17))-INDIRECT(ADDRESS(929,17))</f>
        <v>0</v>
      </c>
      <c r="R930">
        <f>INDIRECT(ADDRESS(930,17))+INDIRECT(ADDRESS(928,18))-INDIRECT(ADDRESS(929,18))</f>
        <v>0</v>
      </c>
      <c r="S930">
        <f>INDIRECT(ADDRESS(930,18))+INDIRECT(ADDRESS(928,19))-INDIRECT(ADDRESS(929,19))</f>
        <v>0</v>
      </c>
      <c r="T930">
        <f>INDIRECT(ADDRESS(930,19))+INDIRECT(ADDRESS(928,20))-INDIRECT(ADDRESS(929,20))</f>
        <v>0</v>
      </c>
      <c r="U930">
        <f>INDIRECT(ADDRESS(930,20))+INDIRECT(ADDRESS(928,21))-INDIRECT(ADDRESS(929,21))</f>
        <v>0</v>
      </c>
      <c r="V930">
        <f>INDIRECT(ADDRESS(930,21))+INDIRECT(ADDRESS(928,22))-INDIRECT(ADDRESS(929,22))</f>
        <v>0</v>
      </c>
      <c r="W930">
        <f>INDIRECT(ADDRESS(930,22))+INDIRECT(ADDRESS(928,23))-INDIRECT(ADDRESS(929,23))</f>
        <v>0</v>
      </c>
      <c r="X930">
        <f>INDIRECT(ADDRESS(930,23))+INDIRECT(ADDRESS(928,24))-INDIRECT(ADDRESS(929,24))</f>
        <v>0</v>
      </c>
      <c r="Y930">
        <f>INDIRECT(ADDRESS(930,24))+INDIRECT(ADDRESS(928,25))-INDIRECT(ADDRESS(929,25))</f>
        <v>0</v>
      </c>
      <c r="Z930">
        <f>INDIRECT(ADDRESS(930,25))+INDIRECT(ADDRESS(928,26))-INDIRECT(ADDRESS(929,26))</f>
        <v>0</v>
      </c>
      <c r="AA930">
        <f>INDIRECT(ADDRESS(930,26))+INDIRECT(ADDRESS(928,27))-INDIRECT(ADDRESS(929,27))</f>
        <v>0</v>
      </c>
      <c r="AB930">
        <f>INDIRECT(ADDRESS(930,27))+INDIRECT(ADDRESS(928,28))-INDIRECT(ADDRESS(929,28))</f>
        <v>0</v>
      </c>
      <c r="AC930">
        <f>INDIRECT(ADDRESS(930,28))+INDIRECT(ADDRESS(928,29))-INDIRECT(ADDRESS(929,29))</f>
        <v>0</v>
      </c>
      <c r="AD930">
        <f>INDIRECT(ADDRESS(930,29))+INDIRECT(ADDRESS(928,30))-INDIRECT(ADDRESS(929,30))</f>
        <v>0</v>
      </c>
      <c r="AE930">
        <f>INDIRECT(ADDRESS(930,30))+INDIRECT(ADDRESS(928,31))-INDIRECT(ADDRESS(929,31))</f>
        <v>0</v>
      </c>
      <c r="AF930">
        <f>INDIRECT(ADDRESS(930,31))+INDIRECT(ADDRESS(928,32))-INDIRECT(ADDRESS(929,32))</f>
        <v>0</v>
      </c>
      <c r="AG930">
        <f>INDIRECT(ADDRESS(930,32))+INDIRECT(ADDRESS(928,33))-INDIRECT(ADDRESS(929,33))</f>
        <v>0</v>
      </c>
      <c r="AH930">
        <f>INDIRECT(ADDRESS(930,33))+INDIRECT(ADDRESS(928,34))-INDIRECT(ADDRESS(929,34))</f>
        <v>0</v>
      </c>
      <c r="AI930">
        <f>INDIRECT(ADDRESS(930,34))+INDIRECT(ADDRESS(928,35))-INDIRECT(ADDRESS(929,35))</f>
        <v>0</v>
      </c>
      <c r="AJ930">
        <f>INDIRECT(ADDRESS(930,35))+INDIRECT(ADDRESS(928,36))-INDIRECT(ADDRESS(929,36))</f>
        <v>0</v>
      </c>
      <c r="AK930">
        <f>INDIRECT(ADDRESS(930,36))+INDIRECT(ADDRESS(928,37))-INDIRECT(ADDRESS(929,37))</f>
        <v>0</v>
      </c>
      <c r="AL930">
        <f>INDIRECT(ADDRESS(930,37))+INDIRECT(ADDRESS(928,38))-INDIRECT(ADDRESS(929,38))</f>
        <v>0</v>
      </c>
      <c r="AM930">
        <f>INDIRECT(ADDRESS(930,38))+INDIRECT(ADDRESS(928,39))-INDIRECT(ADDRESS(929,39))</f>
        <v>0</v>
      </c>
      <c r="AN930">
        <f>INDIRECT(ADDRESS(930,39))+INDIRECT(ADDRESS(928,40))-INDIRECT(ADDRESS(929,40))</f>
        <v>0</v>
      </c>
      <c r="AO930">
        <f>SUM(INDIRECT(ADDRESS(929,8)):INDIRECT(ADDRESS(929,39)))</f>
        <v>0</v>
      </c>
    </row>
    <row r="931" spans="1:41">
      <c r="A931" t="s">
        <v>180</v>
      </c>
      <c r="B931" t="s">
        <v>507</v>
      </c>
      <c r="C931" t="s">
        <v>508</v>
      </c>
      <c r="E931">
        <v>1</v>
      </c>
      <c r="I931" t="s">
        <v>177</v>
      </c>
    </row>
    <row r="932" spans="1:41">
      <c r="I932" t="s">
        <v>178</v>
      </c>
      <c r="J932">
        <f>IFERROR(VLOOKUP("921-000000-200",B:AB,1+8,0),0)</f>
        <v>0</v>
      </c>
      <c r="K932">
        <f>IFERROR(VLOOKUP("921-000000-200",B:AB,2+8,0),0)</f>
        <v>0</v>
      </c>
      <c r="L932">
        <f>IFERROR(VLOOKUP("921-000000-200",B:AB,3+8,0),0)</f>
        <v>0</v>
      </c>
      <c r="M932">
        <f>IFERROR(VLOOKUP("921-000000-200",B:AB,4+8,0),0)</f>
        <v>0</v>
      </c>
      <c r="N932">
        <f>IFERROR(VLOOKUP("921-000000-200",B:AB,5+8,0),0)</f>
        <v>0</v>
      </c>
      <c r="O932">
        <f>IFERROR(VLOOKUP("921-000000-200",B:AB,6+8,0),0)</f>
        <v>0</v>
      </c>
      <c r="P932">
        <f>IFERROR(VLOOKUP("921-000000-200",B:AB,7+8,0),0)</f>
        <v>0</v>
      </c>
      <c r="Q932">
        <f>IFERROR(VLOOKUP("921-000000-200",B:AB,8+8,0),0)</f>
        <v>0</v>
      </c>
      <c r="R932">
        <f>IFERROR(VLOOKUP("921-000000-200",B:AB,9+8,0),0)</f>
        <v>0</v>
      </c>
      <c r="S932">
        <f>IFERROR(VLOOKUP("921-000000-200",B:AB,10+8,0),0)</f>
        <v>0</v>
      </c>
      <c r="T932">
        <f>IFERROR(VLOOKUP("921-000000-200",B:AB,11+8,0),0)</f>
        <v>0</v>
      </c>
      <c r="U932">
        <f>IFERROR(VLOOKUP("921-000000-200",B:AB,12+8,0),0)</f>
        <v>0</v>
      </c>
      <c r="V932">
        <f>IFERROR(VLOOKUP("921-000000-200",B:AB,13+8,0),0)</f>
        <v>0</v>
      </c>
      <c r="W932">
        <f>IFERROR(VLOOKUP("921-000000-200",B:AB,14+8,0),0)</f>
        <v>0</v>
      </c>
      <c r="X932">
        <f>IFERROR(VLOOKUP("921-000000-200",B:AB,15+8,0),0)</f>
        <v>0</v>
      </c>
      <c r="Y932">
        <f>IFERROR(VLOOKUP("921-000000-200",B:AB,16+8,0),0)</f>
        <v>0</v>
      </c>
      <c r="Z932">
        <f>IFERROR(VLOOKUP("921-000000-200",B:AB,17+8,0),0)</f>
        <v>0</v>
      </c>
      <c r="AA932">
        <f>IFERROR(VLOOKUP("921-000000-200",B:AB,18+8,0),0)</f>
        <v>0</v>
      </c>
      <c r="AB932">
        <f>IFERROR(VLOOKUP("921-000000-200",B:AB,19+8,0),0)</f>
        <v>0</v>
      </c>
      <c r="AC932">
        <f>IFERROR(VLOOKUP("921-000000-200",B:AB,20+8,0),0)</f>
        <v>0</v>
      </c>
      <c r="AD932">
        <f>IFERROR(VLOOKUP("921-000000-200",B:AB,21+8,0),0)</f>
        <v>0</v>
      </c>
      <c r="AE932">
        <f>IFERROR(VLOOKUP("921-000000-200",B:AB,22+8,0),0)</f>
        <v>0</v>
      </c>
      <c r="AF932">
        <f>IFERROR(VLOOKUP("921-000000-200",B:AB,23+8,0),0)</f>
        <v>0</v>
      </c>
      <c r="AG932">
        <f>IFERROR(VLOOKUP("921-000000-200",B:AB,24+8,0),0)</f>
        <v>0</v>
      </c>
      <c r="AH932">
        <f>IFERROR(VLOOKUP("921-000000-200",B:AB,25+8,0),0)</f>
        <v>0</v>
      </c>
      <c r="AI932">
        <f>IFERROR(VLOOKUP("921-000000-200",B:AB,26+8,0),0)</f>
        <v>0</v>
      </c>
      <c r="AJ932">
        <f>IFERROR(VLOOKUP("921-000000-200",B:AB,27+8,0),0)</f>
        <v>0</v>
      </c>
      <c r="AK932">
        <f>IFERROR(VLOOKUP("921-000000-200",B:AB,28+8,0),0)</f>
        <v>0</v>
      </c>
      <c r="AL932">
        <f>IFERROR(VLOOKUP("921-000000-200",B:AB,29+8,0),0)</f>
        <v>0</v>
      </c>
      <c r="AM932">
        <f>IFERROR(VLOOKUP("921-000000-200",B:AB,30+8,0),0)</f>
        <v>0</v>
      </c>
      <c r="AN932">
        <f>IFERROR(VLOOKUP("921-000000-200",B:AB,31+8,0),0)</f>
        <v>0</v>
      </c>
      <c r="AO932">
        <f>SUN(INDIRECT(ADDRESS(931,8)):INDIRECT(ADDRESS(931,39)))</f>
        <v>0</v>
      </c>
    </row>
    <row r="933" spans="1:41">
      <c r="H933" t="s">
        <v>179</v>
      </c>
      <c r="J933">
        <f>INDIRECT(ADDRESS(933,9))+INDIRECT(ADDRESS(931,10))-INDIRECT(ADDRESS(932,10))</f>
        <v>0</v>
      </c>
      <c r="K933">
        <f>INDIRECT(ADDRESS(933,10))+INDIRECT(ADDRESS(931,11))-INDIRECT(ADDRESS(932,11))</f>
        <v>0</v>
      </c>
      <c r="L933">
        <f>INDIRECT(ADDRESS(933,11))+INDIRECT(ADDRESS(931,12))-INDIRECT(ADDRESS(932,12))</f>
        <v>0</v>
      </c>
      <c r="M933">
        <f>INDIRECT(ADDRESS(933,12))+INDIRECT(ADDRESS(931,13))-INDIRECT(ADDRESS(932,13))</f>
        <v>0</v>
      </c>
      <c r="N933">
        <f>INDIRECT(ADDRESS(933,13))+INDIRECT(ADDRESS(931,14))-INDIRECT(ADDRESS(932,14))</f>
        <v>0</v>
      </c>
      <c r="O933">
        <f>INDIRECT(ADDRESS(933,14))+INDIRECT(ADDRESS(931,15))-INDIRECT(ADDRESS(932,15))</f>
        <v>0</v>
      </c>
      <c r="P933">
        <f>INDIRECT(ADDRESS(933,15))+INDIRECT(ADDRESS(931,16))-INDIRECT(ADDRESS(932,16))</f>
        <v>0</v>
      </c>
      <c r="Q933">
        <f>INDIRECT(ADDRESS(933,16))+INDIRECT(ADDRESS(931,17))-INDIRECT(ADDRESS(932,17))</f>
        <v>0</v>
      </c>
      <c r="R933">
        <f>INDIRECT(ADDRESS(933,17))+INDIRECT(ADDRESS(931,18))-INDIRECT(ADDRESS(932,18))</f>
        <v>0</v>
      </c>
      <c r="S933">
        <f>INDIRECT(ADDRESS(933,18))+INDIRECT(ADDRESS(931,19))-INDIRECT(ADDRESS(932,19))</f>
        <v>0</v>
      </c>
      <c r="T933">
        <f>INDIRECT(ADDRESS(933,19))+INDIRECT(ADDRESS(931,20))-INDIRECT(ADDRESS(932,20))</f>
        <v>0</v>
      </c>
      <c r="U933">
        <f>INDIRECT(ADDRESS(933,20))+INDIRECT(ADDRESS(931,21))-INDIRECT(ADDRESS(932,21))</f>
        <v>0</v>
      </c>
      <c r="V933">
        <f>INDIRECT(ADDRESS(933,21))+INDIRECT(ADDRESS(931,22))-INDIRECT(ADDRESS(932,22))</f>
        <v>0</v>
      </c>
      <c r="W933">
        <f>INDIRECT(ADDRESS(933,22))+INDIRECT(ADDRESS(931,23))-INDIRECT(ADDRESS(932,23))</f>
        <v>0</v>
      </c>
      <c r="X933">
        <f>INDIRECT(ADDRESS(933,23))+INDIRECT(ADDRESS(931,24))-INDIRECT(ADDRESS(932,24))</f>
        <v>0</v>
      </c>
      <c r="Y933">
        <f>INDIRECT(ADDRESS(933,24))+INDIRECT(ADDRESS(931,25))-INDIRECT(ADDRESS(932,25))</f>
        <v>0</v>
      </c>
      <c r="Z933">
        <f>INDIRECT(ADDRESS(933,25))+INDIRECT(ADDRESS(931,26))-INDIRECT(ADDRESS(932,26))</f>
        <v>0</v>
      </c>
      <c r="AA933">
        <f>INDIRECT(ADDRESS(933,26))+INDIRECT(ADDRESS(931,27))-INDIRECT(ADDRESS(932,27))</f>
        <v>0</v>
      </c>
      <c r="AB933">
        <f>INDIRECT(ADDRESS(933,27))+INDIRECT(ADDRESS(931,28))-INDIRECT(ADDRESS(932,28))</f>
        <v>0</v>
      </c>
      <c r="AC933">
        <f>INDIRECT(ADDRESS(933,28))+INDIRECT(ADDRESS(931,29))-INDIRECT(ADDRESS(932,29))</f>
        <v>0</v>
      </c>
      <c r="AD933">
        <f>INDIRECT(ADDRESS(933,29))+INDIRECT(ADDRESS(931,30))-INDIRECT(ADDRESS(932,30))</f>
        <v>0</v>
      </c>
      <c r="AE933">
        <f>INDIRECT(ADDRESS(933,30))+INDIRECT(ADDRESS(931,31))-INDIRECT(ADDRESS(932,31))</f>
        <v>0</v>
      </c>
      <c r="AF933">
        <f>INDIRECT(ADDRESS(933,31))+INDIRECT(ADDRESS(931,32))-INDIRECT(ADDRESS(932,32))</f>
        <v>0</v>
      </c>
      <c r="AG933">
        <f>INDIRECT(ADDRESS(933,32))+INDIRECT(ADDRESS(931,33))-INDIRECT(ADDRESS(932,33))</f>
        <v>0</v>
      </c>
      <c r="AH933">
        <f>INDIRECT(ADDRESS(933,33))+INDIRECT(ADDRESS(931,34))-INDIRECT(ADDRESS(932,34))</f>
        <v>0</v>
      </c>
      <c r="AI933">
        <f>INDIRECT(ADDRESS(933,34))+INDIRECT(ADDRESS(931,35))-INDIRECT(ADDRESS(932,35))</f>
        <v>0</v>
      </c>
      <c r="AJ933">
        <f>INDIRECT(ADDRESS(933,35))+INDIRECT(ADDRESS(931,36))-INDIRECT(ADDRESS(932,36))</f>
        <v>0</v>
      </c>
      <c r="AK933">
        <f>INDIRECT(ADDRESS(933,36))+INDIRECT(ADDRESS(931,37))-INDIRECT(ADDRESS(932,37))</f>
        <v>0</v>
      </c>
      <c r="AL933">
        <f>INDIRECT(ADDRESS(933,37))+INDIRECT(ADDRESS(931,38))-INDIRECT(ADDRESS(932,38))</f>
        <v>0</v>
      </c>
      <c r="AM933">
        <f>INDIRECT(ADDRESS(933,38))+INDIRECT(ADDRESS(931,39))-INDIRECT(ADDRESS(932,39))</f>
        <v>0</v>
      </c>
      <c r="AN933">
        <f>INDIRECT(ADDRESS(933,39))+INDIRECT(ADDRESS(931,40))-INDIRECT(ADDRESS(932,40))</f>
        <v>0</v>
      </c>
      <c r="AO933">
        <f>SUM(INDIRECT(ADDRESS(932,8)):INDIRECT(ADDRESS(932,39)))</f>
        <v>0</v>
      </c>
    </row>
    <row r="934" spans="1:41">
      <c r="A934" t="s">
        <v>180</v>
      </c>
      <c r="B934" t="s">
        <v>475</v>
      </c>
      <c r="C934" t="s">
        <v>476</v>
      </c>
      <c r="E934">
        <v>1</v>
      </c>
      <c r="I934" t="s">
        <v>177</v>
      </c>
    </row>
    <row r="935" spans="1:41">
      <c r="I935" t="s">
        <v>178</v>
      </c>
      <c r="J935">
        <f>IFERROR(VLOOKUP("921-000000-200",B:AB,1+8,0),0)</f>
        <v>0</v>
      </c>
      <c r="K935">
        <f>IFERROR(VLOOKUP("921-000000-200",B:AB,2+8,0),0)</f>
        <v>0</v>
      </c>
      <c r="L935">
        <f>IFERROR(VLOOKUP("921-000000-200",B:AB,3+8,0),0)</f>
        <v>0</v>
      </c>
      <c r="M935">
        <f>IFERROR(VLOOKUP("921-000000-200",B:AB,4+8,0),0)</f>
        <v>0</v>
      </c>
      <c r="N935">
        <f>IFERROR(VLOOKUP("921-000000-200",B:AB,5+8,0),0)</f>
        <v>0</v>
      </c>
      <c r="O935">
        <f>IFERROR(VLOOKUP("921-000000-200",B:AB,6+8,0),0)</f>
        <v>0</v>
      </c>
      <c r="P935">
        <f>IFERROR(VLOOKUP("921-000000-200",B:AB,7+8,0),0)</f>
        <v>0</v>
      </c>
      <c r="Q935">
        <f>IFERROR(VLOOKUP("921-000000-200",B:AB,8+8,0),0)</f>
        <v>0</v>
      </c>
      <c r="R935">
        <f>IFERROR(VLOOKUP("921-000000-200",B:AB,9+8,0),0)</f>
        <v>0</v>
      </c>
      <c r="S935">
        <f>IFERROR(VLOOKUP("921-000000-200",B:AB,10+8,0),0)</f>
        <v>0</v>
      </c>
      <c r="T935">
        <f>IFERROR(VLOOKUP("921-000000-200",B:AB,11+8,0),0)</f>
        <v>0</v>
      </c>
      <c r="U935">
        <f>IFERROR(VLOOKUP("921-000000-200",B:AB,12+8,0),0)</f>
        <v>0</v>
      </c>
      <c r="V935">
        <f>IFERROR(VLOOKUP("921-000000-200",B:AB,13+8,0),0)</f>
        <v>0</v>
      </c>
      <c r="W935">
        <f>IFERROR(VLOOKUP("921-000000-200",B:AB,14+8,0),0)</f>
        <v>0</v>
      </c>
      <c r="X935">
        <f>IFERROR(VLOOKUP("921-000000-200",B:AB,15+8,0),0)</f>
        <v>0</v>
      </c>
      <c r="Y935">
        <f>IFERROR(VLOOKUP("921-000000-200",B:AB,16+8,0),0)</f>
        <v>0</v>
      </c>
      <c r="Z935">
        <f>IFERROR(VLOOKUP("921-000000-200",B:AB,17+8,0),0)</f>
        <v>0</v>
      </c>
      <c r="AA935">
        <f>IFERROR(VLOOKUP("921-000000-200",B:AB,18+8,0),0)</f>
        <v>0</v>
      </c>
      <c r="AB935">
        <f>IFERROR(VLOOKUP("921-000000-200",B:AB,19+8,0),0)</f>
        <v>0</v>
      </c>
      <c r="AC935">
        <f>IFERROR(VLOOKUP("921-000000-200",B:AB,20+8,0),0)</f>
        <v>0</v>
      </c>
      <c r="AD935">
        <f>IFERROR(VLOOKUP("921-000000-200",B:AB,21+8,0),0)</f>
        <v>0</v>
      </c>
      <c r="AE935">
        <f>IFERROR(VLOOKUP("921-000000-200",B:AB,22+8,0),0)</f>
        <v>0</v>
      </c>
      <c r="AF935">
        <f>IFERROR(VLOOKUP("921-000000-200",B:AB,23+8,0),0)</f>
        <v>0</v>
      </c>
      <c r="AG935">
        <f>IFERROR(VLOOKUP("921-000000-200",B:AB,24+8,0),0)</f>
        <v>0</v>
      </c>
      <c r="AH935">
        <f>IFERROR(VLOOKUP("921-000000-200",B:AB,25+8,0),0)</f>
        <v>0</v>
      </c>
      <c r="AI935">
        <f>IFERROR(VLOOKUP("921-000000-200",B:AB,26+8,0),0)</f>
        <v>0</v>
      </c>
      <c r="AJ935">
        <f>IFERROR(VLOOKUP("921-000000-200",B:AB,27+8,0),0)</f>
        <v>0</v>
      </c>
      <c r="AK935">
        <f>IFERROR(VLOOKUP("921-000000-200",B:AB,28+8,0),0)</f>
        <v>0</v>
      </c>
      <c r="AL935">
        <f>IFERROR(VLOOKUP("921-000000-200",B:AB,29+8,0),0)</f>
        <v>0</v>
      </c>
      <c r="AM935">
        <f>IFERROR(VLOOKUP("921-000000-200",B:AB,30+8,0),0)</f>
        <v>0</v>
      </c>
      <c r="AN935">
        <f>IFERROR(VLOOKUP("921-000000-200",B:AB,31+8,0),0)</f>
        <v>0</v>
      </c>
      <c r="AO935">
        <f>SUN(INDIRECT(ADDRESS(934,8)):INDIRECT(ADDRESS(934,39)))</f>
        <v>0</v>
      </c>
    </row>
    <row r="936" spans="1:41">
      <c r="H936" t="s">
        <v>179</v>
      </c>
      <c r="J936">
        <f>INDIRECT(ADDRESS(936,9))+INDIRECT(ADDRESS(934,10))-INDIRECT(ADDRESS(935,10))</f>
        <v>0</v>
      </c>
      <c r="K936">
        <f>INDIRECT(ADDRESS(936,10))+INDIRECT(ADDRESS(934,11))-INDIRECT(ADDRESS(935,11))</f>
        <v>0</v>
      </c>
      <c r="L936">
        <f>INDIRECT(ADDRESS(936,11))+INDIRECT(ADDRESS(934,12))-INDIRECT(ADDRESS(935,12))</f>
        <v>0</v>
      </c>
      <c r="M936">
        <f>INDIRECT(ADDRESS(936,12))+INDIRECT(ADDRESS(934,13))-INDIRECT(ADDRESS(935,13))</f>
        <v>0</v>
      </c>
      <c r="N936">
        <f>INDIRECT(ADDRESS(936,13))+INDIRECT(ADDRESS(934,14))-INDIRECT(ADDRESS(935,14))</f>
        <v>0</v>
      </c>
      <c r="O936">
        <f>INDIRECT(ADDRESS(936,14))+INDIRECT(ADDRESS(934,15))-INDIRECT(ADDRESS(935,15))</f>
        <v>0</v>
      </c>
      <c r="P936">
        <f>INDIRECT(ADDRESS(936,15))+INDIRECT(ADDRESS(934,16))-INDIRECT(ADDRESS(935,16))</f>
        <v>0</v>
      </c>
      <c r="Q936">
        <f>INDIRECT(ADDRESS(936,16))+INDIRECT(ADDRESS(934,17))-INDIRECT(ADDRESS(935,17))</f>
        <v>0</v>
      </c>
      <c r="R936">
        <f>INDIRECT(ADDRESS(936,17))+INDIRECT(ADDRESS(934,18))-INDIRECT(ADDRESS(935,18))</f>
        <v>0</v>
      </c>
      <c r="S936">
        <f>INDIRECT(ADDRESS(936,18))+INDIRECT(ADDRESS(934,19))-INDIRECT(ADDRESS(935,19))</f>
        <v>0</v>
      </c>
      <c r="T936">
        <f>INDIRECT(ADDRESS(936,19))+INDIRECT(ADDRESS(934,20))-INDIRECT(ADDRESS(935,20))</f>
        <v>0</v>
      </c>
      <c r="U936">
        <f>INDIRECT(ADDRESS(936,20))+INDIRECT(ADDRESS(934,21))-INDIRECT(ADDRESS(935,21))</f>
        <v>0</v>
      </c>
      <c r="V936">
        <f>INDIRECT(ADDRESS(936,21))+INDIRECT(ADDRESS(934,22))-INDIRECT(ADDRESS(935,22))</f>
        <v>0</v>
      </c>
      <c r="W936">
        <f>INDIRECT(ADDRESS(936,22))+INDIRECT(ADDRESS(934,23))-INDIRECT(ADDRESS(935,23))</f>
        <v>0</v>
      </c>
      <c r="X936">
        <f>INDIRECT(ADDRESS(936,23))+INDIRECT(ADDRESS(934,24))-INDIRECT(ADDRESS(935,24))</f>
        <v>0</v>
      </c>
      <c r="Y936">
        <f>INDIRECT(ADDRESS(936,24))+INDIRECT(ADDRESS(934,25))-INDIRECT(ADDRESS(935,25))</f>
        <v>0</v>
      </c>
      <c r="Z936">
        <f>INDIRECT(ADDRESS(936,25))+INDIRECT(ADDRESS(934,26))-INDIRECT(ADDRESS(935,26))</f>
        <v>0</v>
      </c>
      <c r="AA936">
        <f>INDIRECT(ADDRESS(936,26))+INDIRECT(ADDRESS(934,27))-INDIRECT(ADDRESS(935,27))</f>
        <v>0</v>
      </c>
      <c r="AB936">
        <f>INDIRECT(ADDRESS(936,27))+INDIRECT(ADDRESS(934,28))-INDIRECT(ADDRESS(935,28))</f>
        <v>0</v>
      </c>
      <c r="AC936">
        <f>INDIRECT(ADDRESS(936,28))+INDIRECT(ADDRESS(934,29))-INDIRECT(ADDRESS(935,29))</f>
        <v>0</v>
      </c>
      <c r="AD936">
        <f>INDIRECT(ADDRESS(936,29))+INDIRECT(ADDRESS(934,30))-INDIRECT(ADDRESS(935,30))</f>
        <v>0</v>
      </c>
      <c r="AE936">
        <f>INDIRECT(ADDRESS(936,30))+INDIRECT(ADDRESS(934,31))-INDIRECT(ADDRESS(935,31))</f>
        <v>0</v>
      </c>
      <c r="AF936">
        <f>INDIRECT(ADDRESS(936,31))+INDIRECT(ADDRESS(934,32))-INDIRECT(ADDRESS(935,32))</f>
        <v>0</v>
      </c>
      <c r="AG936">
        <f>INDIRECT(ADDRESS(936,32))+INDIRECT(ADDRESS(934,33))-INDIRECT(ADDRESS(935,33))</f>
        <v>0</v>
      </c>
      <c r="AH936">
        <f>INDIRECT(ADDRESS(936,33))+INDIRECT(ADDRESS(934,34))-INDIRECT(ADDRESS(935,34))</f>
        <v>0</v>
      </c>
      <c r="AI936">
        <f>INDIRECT(ADDRESS(936,34))+INDIRECT(ADDRESS(934,35))-INDIRECT(ADDRESS(935,35))</f>
        <v>0</v>
      </c>
      <c r="AJ936">
        <f>INDIRECT(ADDRESS(936,35))+INDIRECT(ADDRESS(934,36))-INDIRECT(ADDRESS(935,36))</f>
        <v>0</v>
      </c>
      <c r="AK936">
        <f>INDIRECT(ADDRESS(936,36))+INDIRECT(ADDRESS(934,37))-INDIRECT(ADDRESS(935,37))</f>
        <v>0</v>
      </c>
      <c r="AL936">
        <f>INDIRECT(ADDRESS(936,37))+INDIRECT(ADDRESS(934,38))-INDIRECT(ADDRESS(935,38))</f>
        <v>0</v>
      </c>
      <c r="AM936">
        <f>INDIRECT(ADDRESS(936,38))+INDIRECT(ADDRESS(934,39))-INDIRECT(ADDRESS(935,39))</f>
        <v>0</v>
      </c>
      <c r="AN936">
        <f>INDIRECT(ADDRESS(936,39))+INDIRECT(ADDRESS(934,40))-INDIRECT(ADDRESS(935,40))</f>
        <v>0</v>
      </c>
      <c r="AO936">
        <f>SUM(INDIRECT(ADDRESS(935,8)):INDIRECT(ADDRESS(935,39)))</f>
        <v>0</v>
      </c>
    </row>
    <row r="937" spans="1:41">
      <c r="A937" t="s">
        <v>185</v>
      </c>
      <c r="B937" t="s">
        <v>477</v>
      </c>
      <c r="C937" t="s">
        <v>478</v>
      </c>
      <c r="E937">
        <v>2</v>
      </c>
      <c r="I937" t="s">
        <v>177</v>
      </c>
    </row>
    <row r="938" spans="1:41">
      <c r="I938" t="s">
        <v>178</v>
      </c>
      <c r="J938">
        <f>IFERROR(VLOOKUP("921-000000-200",B:AB,1+8,0),0)</f>
        <v>0</v>
      </c>
      <c r="K938">
        <f>IFERROR(VLOOKUP("921-000000-200",B:AB,2+8,0),0)</f>
        <v>0</v>
      </c>
      <c r="L938">
        <f>IFERROR(VLOOKUP("921-000000-200",B:AB,3+8,0),0)</f>
        <v>0</v>
      </c>
      <c r="M938">
        <f>IFERROR(VLOOKUP("921-000000-200",B:AB,4+8,0),0)</f>
        <v>0</v>
      </c>
      <c r="N938">
        <f>IFERROR(VLOOKUP("921-000000-200",B:AB,5+8,0),0)</f>
        <v>0</v>
      </c>
      <c r="O938">
        <f>IFERROR(VLOOKUP("921-000000-200",B:AB,6+8,0),0)</f>
        <v>0</v>
      </c>
      <c r="P938">
        <f>IFERROR(VLOOKUP("921-000000-200",B:AB,7+8,0),0)</f>
        <v>0</v>
      </c>
      <c r="Q938">
        <f>IFERROR(VLOOKUP("921-000000-200",B:AB,8+8,0),0)</f>
        <v>0</v>
      </c>
      <c r="R938">
        <f>IFERROR(VLOOKUP("921-000000-200",B:AB,9+8,0),0)</f>
        <v>0</v>
      </c>
      <c r="S938">
        <f>IFERROR(VLOOKUP("921-000000-200",B:AB,10+8,0),0)</f>
        <v>0</v>
      </c>
      <c r="T938">
        <f>IFERROR(VLOOKUP("921-000000-200",B:AB,11+8,0),0)</f>
        <v>0</v>
      </c>
      <c r="U938">
        <f>IFERROR(VLOOKUP("921-000000-200",B:AB,12+8,0),0)</f>
        <v>0</v>
      </c>
      <c r="V938">
        <f>IFERROR(VLOOKUP("921-000000-200",B:AB,13+8,0),0)</f>
        <v>0</v>
      </c>
      <c r="W938">
        <f>IFERROR(VLOOKUP("921-000000-200",B:AB,14+8,0),0)</f>
        <v>0</v>
      </c>
      <c r="X938">
        <f>IFERROR(VLOOKUP("921-000000-200",B:AB,15+8,0),0)</f>
        <v>0</v>
      </c>
      <c r="Y938">
        <f>IFERROR(VLOOKUP("921-000000-200",B:AB,16+8,0),0)</f>
        <v>0</v>
      </c>
      <c r="Z938">
        <f>IFERROR(VLOOKUP("921-000000-200",B:AB,17+8,0),0)</f>
        <v>0</v>
      </c>
      <c r="AA938">
        <f>IFERROR(VLOOKUP("921-000000-200",B:AB,18+8,0),0)</f>
        <v>0</v>
      </c>
      <c r="AB938">
        <f>IFERROR(VLOOKUP("921-000000-200",B:AB,19+8,0),0)</f>
        <v>0</v>
      </c>
      <c r="AC938">
        <f>IFERROR(VLOOKUP("921-000000-200",B:AB,20+8,0),0)</f>
        <v>0</v>
      </c>
      <c r="AD938">
        <f>IFERROR(VLOOKUP("921-000000-200",B:AB,21+8,0),0)</f>
        <v>0</v>
      </c>
      <c r="AE938">
        <f>IFERROR(VLOOKUP("921-000000-200",B:AB,22+8,0),0)</f>
        <v>0</v>
      </c>
      <c r="AF938">
        <f>IFERROR(VLOOKUP("921-000000-200",B:AB,23+8,0),0)</f>
        <v>0</v>
      </c>
      <c r="AG938">
        <f>IFERROR(VLOOKUP("921-000000-200",B:AB,24+8,0),0)</f>
        <v>0</v>
      </c>
      <c r="AH938">
        <f>IFERROR(VLOOKUP("921-000000-200",B:AB,25+8,0),0)</f>
        <v>0</v>
      </c>
      <c r="AI938">
        <f>IFERROR(VLOOKUP("921-000000-200",B:AB,26+8,0),0)</f>
        <v>0</v>
      </c>
      <c r="AJ938">
        <f>IFERROR(VLOOKUP("921-000000-200",B:AB,27+8,0),0)</f>
        <v>0</v>
      </c>
      <c r="AK938">
        <f>IFERROR(VLOOKUP("921-000000-200",B:AB,28+8,0),0)</f>
        <v>0</v>
      </c>
      <c r="AL938">
        <f>IFERROR(VLOOKUP("921-000000-200",B:AB,29+8,0),0)</f>
        <v>0</v>
      </c>
      <c r="AM938">
        <f>IFERROR(VLOOKUP("921-000000-200",B:AB,30+8,0),0)</f>
        <v>0</v>
      </c>
      <c r="AN938">
        <f>IFERROR(VLOOKUP("921-000000-200",B:AB,31+8,0),0)</f>
        <v>0</v>
      </c>
      <c r="AO938">
        <f>SUN(INDIRECT(ADDRESS(937,8)):INDIRECT(ADDRESS(937,39)))</f>
        <v>0</v>
      </c>
    </row>
    <row r="939" spans="1:41">
      <c r="H939" t="s">
        <v>179</v>
      </c>
      <c r="J939">
        <f>INDIRECT(ADDRESS(939,9))+INDIRECT(ADDRESS(937,10))-INDIRECT(ADDRESS(938,10))</f>
        <v>0</v>
      </c>
      <c r="K939">
        <f>INDIRECT(ADDRESS(939,10))+INDIRECT(ADDRESS(937,11))-INDIRECT(ADDRESS(938,11))</f>
        <v>0</v>
      </c>
      <c r="L939">
        <f>INDIRECT(ADDRESS(939,11))+INDIRECT(ADDRESS(937,12))-INDIRECT(ADDRESS(938,12))</f>
        <v>0</v>
      </c>
      <c r="M939">
        <f>INDIRECT(ADDRESS(939,12))+INDIRECT(ADDRESS(937,13))-INDIRECT(ADDRESS(938,13))</f>
        <v>0</v>
      </c>
      <c r="N939">
        <f>INDIRECT(ADDRESS(939,13))+INDIRECT(ADDRESS(937,14))-INDIRECT(ADDRESS(938,14))</f>
        <v>0</v>
      </c>
      <c r="O939">
        <f>INDIRECT(ADDRESS(939,14))+INDIRECT(ADDRESS(937,15))-INDIRECT(ADDRESS(938,15))</f>
        <v>0</v>
      </c>
      <c r="P939">
        <f>INDIRECT(ADDRESS(939,15))+INDIRECT(ADDRESS(937,16))-INDIRECT(ADDRESS(938,16))</f>
        <v>0</v>
      </c>
      <c r="Q939">
        <f>INDIRECT(ADDRESS(939,16))+INDIRECT(ADDRESS(937,17))-INDIRECT(ADDRESS(938,17))</f>
        <v>0</v>
      </c>
      <c r="R939">
        <f>INDIRECT(ADDRESS(939,17))+INDIRECT(ADDRESS(937,18))-INDIRECT(ADDRESS(938,18))</f>
        <v>0</v>
      </c>
      <c r="S939">
        <f>INDIRECT(ADDRESS(939,18))+INDIRECT(ADDRESS(937,19))-INDIRECT(ADDRESS(938,19))</f>
        <v>0</v>
      </c>
      <c r="T939">
        <f>INDIRECT(ADDRESS(939,19))+INDIRECT(ADDRESS(937,20))-INDIRECT(ADDRESS(938,20))</f>
        <v>0</v>
      </c>
      <c r="U939">
        <f>INDIRECT(ADDRESS(939,20))+INDIRECT(ADDRESS(937,21))-INDIRECT(ADDRESS(938,21))</f>
        <v>0</v>
      </c>
      <c r="V939">
        <f>INDIRECT(ADDRESS(939,21))+INDIRECT(ADDRESS(937,22))-INDIRECT(ADDRESS(938,22))</f>
        <v>0</v>
      </c>
      <c r="W939">
        <f>INDIRECT(ADDRESS(939,22))+INDIRECT(ADDRESS(937,23))-INDIRECT(ADDRESS(938,23))</f>
        <v>0</v>
      </c>
      <c r="X939">
        <f>INDIRECT(ADDRESS(939,23))+INDIRECT(ADDRESS(937,24))-INDIRECT(ADDRESS(938,24))</f>
        <v>0</v>
      </c>
      <c r="Y939">
        <f>INDIRECT(ADDRESS(939,24))+INDIRECT(ADDRESS(937,25))-INDIRECT(ADDRESS(938,25))</f>
        <v>0</v>
      </c>
      <c r="Z939">
        <f>INDIRECT(ADDRESS(939,25))+INDIRECT(ADDRESS(937,26))-INDIRECT(ADDRESS(938,26))</f>
        <v>0</v>
      </c>
      <c r="AA939">
        <f>INDIRECT(ADDRESS(939,26))+INDIRECT(ADDRESS(937,27))-INDIRECT(ADDRESS(938,27))</f>
        <v>0</v>
      </c>
      <c r="AB939">
        <f>INDIRECT(ADDRESS(939,27))+INDIRECT(ADDRESS(937,28))-INDIRECT(ADDRESS(938,28))</f>
        <v>0</v>
      </c>
      <c r="AC939">
        <f>INDIRECT(ADDRESS(939,28))+INDIRECT(ADDRESS(937,29))-INDIRECT(ADDRESS(938,29))</f>
        <v>0</v>
      </c>
      <c r="AD939">
        <f>INDIRECT(ADDRESS(939,29))+INDIRECT(ADDRESS(937,30))-INDIRECT(ADDRESS(938,30))</f>
        <v>0</v>
      </c>
      <c r="AE939">
        <f>INDIRECT(ADDRESS(939,30))+INDIRECT(ADDRESS(937,31))-INDIRECT(ADDRESS(938,31))</f>
        <v>0</v>
      </c>
      <c r="AF939">
        <f>INDIRECT(ADDRESS(939,31))+INDIRECT(ADDRESS(937,32))-INDIRECT(ADDRESS(938,32))</f>
        <v>0</v>
      </c>
      <c r="AG939">
        <f>INDIRECT(ADDRESS(939,32))+INDIRECT(ADDRESS(937,33))-INDIRECT(ADDRESS(938,33))</f>
        <v>0</v>
      </c>
      <c r="AH939">
        <f>INDIRECT(ADDRESS(939,33))+INDIRECT(ADDRESS(937,34))-INDIRECT(ADDRESS(938,34))</f>
        <v>0</v>
      </c>
      <c r="AI939">
        <f>INDIRECT(ADDRESS(939,34))+INDIRECT(ADDRESS(937,35))-INDIRECT(ADDRESS(938,35))</f>
        <v>0</v>
      </c>
      <c r="AJ939">
        <f>INDIRECT(ADDRESS(939,35))+INDIRECT(ADDRESS(937,36))-INDIRECT(ADDRESS(938,36))</f>
        <v>0</v>
      </c>
      <c r="AK939">
        <f>INDIRECT(ADDRESS(939,36))+INDIRECT(ADDRESS(937,37))-INDIRECT(ADDRESS(938,37))</f>
        <v>0</v>
      </c>
      <c r="AL939">
        <f>INDIRECT(ADDRESS(939,37))+INDIRECT(ADDRESS(937,38))-INDIRECT(ADDRESS(938,38))</f>
        <v>0</v>
      </c>
      <c r="AM939">
        <f>INDIRECT(ADDRESS(939,38))+INDIRECT(ADDRESS(937,39))-INDIRECT(ADDRESS(938,39))</f>
        <v>0</v>
      </c>
      <c r="AN939">
        <f>INDIRECT(ADDRESS(939,39))+INDIRECT(ADDRESS(937,40))-INDIRECT(ADDRESS(938,40))</f>
        <v>0</v>
      </c>
      <c r="AO939">
        <f>SUM(INDIRECT(ADDRESS(938,8)):INDIRECT(ADDRESS(938,39)))</f>
        <v>0</v>
      </c>
    </row>
    <row r="940" spans="1:41">
      <c r="A940" t="s">
        <v>185</v>
      </c>
      <c r="B940" t="s">
        <v>479</v>
      </c>
      <c r="C940" t="s">
        <v>480</v>
      </c>
      <c r="E940">
        <v>1</v>
      </c>
      <c r="I940" t="s">
        <v>177</v>
      </c>
    </row>
    <row r="941" spans="1:41">
      <c r="I941" t="s">
        <v>178</v>
      </c>
      <c r="J941">
        <f>IFERROR(VLOOKUP("921-000000-200",B:AB,1+8,0),0)</f>
        <v>0</v>
      </c>
      <c r="K941">
        <f>IFERROR(VLOOKUP("921-000000-200",B:AB,2+8,0),0)</f>
        <v>0</v>
      </c>
      <c r="L941">
        <f>IFERROR(VLOOKUP("921-000000-200",B:AB,3+8,0),0)</f>
        <v>0</v>
      </c>
      <c r="M941">
        <f>IFERROR(VLOOKUP("921-000000-200",B:AB,4+8,0),0)</f>
        <v>0</v>
      </c>
      <c r="N941">
        <f>IFERROR(VLOOKUP("921-000000-200",B:AB,5+8,0),0)</f>
        <v>0</v>
      </c>
      <c r="O941">
        <f>IFERROR(VLOOKUP("921-000000-200",B:AB,6+8,0),0)</f>
        <v>0</v>
      </c>
      <c r="P941">
        <f>IFERROR(VLOOKUP("921-000000-200",B:AB,7+8,0),0)</f>
        <v>0</v>
      </c>
      <c r="Q941">
        <f>IFERROR(VLOOKUP("921-000000-200",B:AB,8+8,0),0)</f>
        <v>0</v>
      </c>
      <c r="R941">
        <f>IFERROR(VLOOKUP("921-000000-200",B:AB,9+8,0),0)</f>
        <v>0</v>
      </c>
      <c r="S941">
        <f>IFERROR(VLOOKUP("921-000000-200",B:AB,10+8,0),0)</f>
        <v>0</v>
      </c>
      <c r="T941">
        <f>IFERROR(VLOOKUP("921-000000-200",B:AB,11+8,0),0)</f>
        <v>0</v>
      </c>
      <c r="U941">
        <f>IFERROR(VLOOKUP("921-000000-200",B:AB,12+8,0),0)</f>
        <v>0</v>
      </c>
      <c r="V941">
        <f>IFERROR(VLOOKUP("921-000000-200",B:AB,13+8,0),0)</f>
        <v>0</v>
      </c>
      <c r="W941">
        <f>IFERROR(VLOOKUP("921-000000-200",B:AB,14+8,0),0)</f>
        <v>0</v>
      </c>
      <c r="X941">
        <f>IFERROR(VLOOKUP("921-000000-200",B:AB,15+8,0),0)</f>
        <v>0</v>
      </c>
      <c r="Y941">
        <f>IFERROR(VLOOKUP("921-000000-200",B:AB,16+8,0),0)</f>
        <v>0</v>
      </c>
      <c r="Z941">
        <f>IFERROR(VLOOKUP("921-000000-200",B:AB,17+8,0),0)</f>
        <v>0</v>
      </c>
      <c r="AA941">
        <f>IFERROR(VLOOKUP("921-000000-200",B:AB,18+8,0),0)</f>
        <v>0</v>
      </c>
      <c r="AB941">
        <f>IFERROR(VLOOKUP("921-000000-200",B:AB,19+8,0),0)</f>
        <v>0</v>
      </c>
      <c r="AC941">
        <f>IFERROR(VLOOKUP("921-000000-200",B:AB,20+8,0),0)</f>
        <v>0</v>
      </c>
      <c r="AD941">
        <f>IFERROR(VLOOKUP("921-000000-200",B:AB,21+8,0),0)</f>
        <v>0</v>
      </c>
      <c r="AE941">
        <f>IFERROR(VLOOKUP("921-000000-200",B:AB,22+8,0),0)</f>
        <v>0</v>
      </c>
      <c r="AF941">
        <f>IFERROR(VLOOKUP("921-000000-200",B:AB,23+8,0),0)</f>
        <v>0</v>
      </c>
      <c r="AG941">
        <f>IFERROR(VLOOKUP("921-000000-200",B:AB,24+8,0),0)</f>
        <v>0</v>
      </c>
      <c r="AH941">
        <f>IFERROR(VLOOKUP("921-000000-200",B:AB,25+8,0),0)</f>
        <v>0</v>
      </c>
      <c r="AI941">
        <f>IFERROR(VLOOKUP("921-000000-200",B:AB,26+8,0),0)</f>
        <v>0</v>
      </c>
      <c r="AJ941">
        <f>IFERROR(VLOOKUP("921-000000-200",B:AB,27+8,0),0)</f>
        <v>0</v>
      </c>
      <c r="AK941">
        <f>IFERROR(VLOOKUP("921-000000-200",B:AB,28+8,0),0)</f>
        <v>0</v>
      </c>
      <c r="AL941">
        <f>IFERROR(VLOOKUP("921-000000-200",B:AB,29+8,0),0)</f>
        <v>0</v>
      </c>
      <c r="AM941">
        <f>IFERROR(VLOOKUP("921-000000-200",B:AB,30+8,0),0)</f>
        <v>0</v>
      </c>
      <c r="AN941">
        <f>IFERROR(VLOOKUP("921-000000-200",B:AB,31+8,0),0)</f>
        <v>0</v>
      </c>
      <c r="AO941">
        <f>SUN(INDIRECT(ADDRESS(940,8)):INDIRECT(ADDRESS(940,39)))</f>
        <v>0</v>
      </c>
    </row>
    <row r="942" spans="1:41">
      <c r="H942" t="s">
        <v>179</v>
      </c>
      <c r="J942">
        <f>INDIRECT(ADDRESS(942,9))+INDIRECT(ADDRESS(940,10))-INDIRECT(ADDRESS(941,10))</f>
        <v>0</v>
      </c>
      <c r="K942">
        <f>INDIRECT(ADDRESS(942,10))+INDIRECT(ADDRESS(940,11))-INDIRECT(ADDRESS(941,11))</f>
        <v>0</v>
      </c>
      <c r="L942">
        <f>INDIRECT(ADDRESS(942,11))+INDIRECT(ADDRESS(940,12))-INDIRECT(ADDRESS(941,12))</f>
        <v>0</v>
      </c>
      <c r="M942">
        <f>INDIRECT(ADDRESS(942,12))+INDIRECT(ADDRESS(940,13))-INDIRECT(ADDRESS(941,13))</f>
        <v>0</v>
      </c>
      <c r="N942">
        <f>INDIRECT(ADDRESS(942,13))+INDIRECT(ADDRESS(940,14))-INDIRECT(ADDRESS(941,14))</f>
        <v>0</v>
      </c>
      <c r="O942">
        <f>INDIRECT(ADDRESS(942,14))+INDIRECT(ADDRESS(940,15))-INDIRECT(ADDRESS(941,15))</f>
        <v>0</v>
      </c>
      <c r="P942">
        <f>INDIRECT(ADDRESS(942,15))+INDIRECT(ADDRESS(940,16))-INDIRECT(ADDRESS(941,16))</f>
        <v>0</v>
      </c>
      <c r="Q942">
        <f>INDIRECT(ADDRESS(942,16))+INDIRECT(ADDRESS(940,17))-INDIRECT(ADDRESS(941,17))</f>
        <v>0</v>
      </c>
      <c r="R942">
        <f>INDIRECT(ADDRESS(942,17))+INDIRECT(ADDRESS(940,18))-INDIRECT(ADDRESS(941,18))</f>
        <v>0</v>
      </c>
      <c r="S942">
        <f>INDIRECT(ADDRESS(942,18))+INDIRECT(ADDRESS(940,19))-INDIRECT(ADDRESS(941,19))</f>
        <v>0</v>
      </c>
      <c r="T942">
        <f>INDIRECT(ADDRESS(942,19))+INDIRECT(ADDRESS(940,20))-INDIRECT(ADDRESS(941,20))</f>
        <v>0</v>
      </c>
      <c r="U942">
        <f>INDIRECT(ADDRESS(942,20))+INDIRECT(ADDRESS(940,21))-INDIRECT(ADDRESS(941,21))</f>
        <v>0</v>
      </c>
      <c r="V942">
        <f>INDIRECT(ADDRESS(942,21))+INDIRECT(ADDRESS(940,22))-INDIRECT(ADDRESS(941,22))</f>
        <v>0</v>
      </c>
      <c r="W942">
        <f>INDIRECT(ADDRESS(942,22))+INDIRECT(ADDRESS(940,23))-INDIRECT(ADDRESS(941,23))</f>
        <v>0</v>
      </c>
      <c r="X942">
        <f>INDIRECT(ADDRESS(942,23))+INDIRECT(ADDRESS(940,24))-INDIRECT(ADDRESS(941,24))</f>
        <v>0</v>
      </c>
      <c r="Y942">
        <f>INDIRECT(ADDRESS(942,24))+INDIRECT(ADDRESS(940,25))-INDIRECT(ADDRESS(941,25))</f>
        <v>0</v>
      </c>
      <c r="Z942">
        <f>INDIRECT(ADDRESS(942,25))+INDIRECT(ADDRESS(940,26))-INDIRECT(ADDRESS(941,26))</f>
        <v>0</v>
      </c>
      <c r="AA942">
        <f>INDIRECT(ADDRESS(942,26))+INDIRECT(ADDRESS(940,27))-INDIRECT(ADDRESS(941,27))</f>
        <v>0</v>
      </c>
      <c r="AB942">
        <f>INDIRECT(ADDRESS(942,27))+INDIRECT(ADDRESS(940,28))-INDIRECT(ADDRESS(941,28))</f>
        <v>0</v>
      </c>
      <c r="AC942">
        <f>INDIRECT(ADDRESS(942,28))+INDIRECT(ADDRESS(940,29))-INDIRECT(ADDRESS(941,29))</f>
        <v>0</v>
      </c>
      <c r="AD942">
        <f>INDIRECT(ADDRESS(942,29))+INDIRECT(ADDRESS(940,30))-INDIRECT(ADDRESS(941,30))</f>
        <v>0</v>
      </c>
      <c r="AE942">
        <f>INDIRECT(ADDRESS(942,30))+INDIRECT(ADDRESS(940,31))-INDIRECT(ADDRESS(941,31))</f>
        <v>0</v>
      </c>
      <c r="AF942">
        <f>INDIRECT(ADDRESS(942,31))+INDIRECT(ADDRESS(940,32))-INDIRECT(ADDRESS(941,32))</f>
        <v>0</v>
      </c>
      <c r="AG942">
        <f>INDIRECT(ADDRESS(942,32))+INDIRECT(ADDRESS(940,33))-INDIRECT(ADDRESS(941,33))</f>
        <v>0</v>
      </c>
      <c r="AH942">
        <f>INDIRECT(ADDRESS(942,33))+INDIRECT(ADDRESS(940,34))-INDIRECT(ADDRESS(941,34))</f>
        <v>0</v>
      </c>
      <c r="AI942">
        <f>INDIRECT(ADDRESS(942,34))+INDIRECT(ADDRESS(940,35))-INDIRECT(ADDRESS(941,35))</f>
        <v>0</v>
      </c>
      <c r="AJ942">
        <f>INDIRECT(ADDRESS(942,35))+INDIRECT(ADDRESS(940,36))-INDIRECT(ADDRESS(941,36))</f>
        <v>0</v>
      </c>
      <c r="AK942">
        <f>INDIRECT(ADDRESS(942,36))+INDIRECT(ADDRESS(940,37))-INDIRECT(ADDRESS(941,37))</f>
        <v>0</v>
      </c>
      <c r="AL942">
        <f>INDIRECT(ADDRESS(942,37))+INDIRECT(ADDRESS(940,38))-INDIRECT(ADDRESS(941,38))</f>
        <v>0</v>
      </c>
      <c r="AM942">
        <f>INDIRECT(ADDRESS(942,38))+INDIRECT(ADDRESS(940,39))-INDIRECT(ADDRESS(941,39))</f>
        <v>0</v>
      </c>
      <c r="AN942">
        <f>INDIRECT(ADDRESS(942,39))+INDIRECT(ADDRESS(940,40))-INDIRECT(ADDRESS(941,40))</f>
        <v>0</v>
      </c>
      <c r="AO942">
        <f>SUM(INDIRECT(ADDRESS(941,8)):INDIRECT(ADDRESS(941,39)))</f>
        <v>0</v>
      </c>
    </row>
    <row r="943" spans="1:41">
      <c r="A943" t="s">
        <v>185</v>
      </c>
      <c r="B943" t="s">
        <v>481</v>
      </c>
      <c r="C943" t="s">
        <v>482</v>
      </c>
      <c r="E943">
        <v>1</v>
      </c>
      <c r="I943" t="s">
        <v>177</v>
      </c>
    </row>
    <row r="944" spans="1:41">
      <c r="I944" t="s">
        <v>178</v>
      </c>
      <c r="J944">
        <f>IFERROR(VLOOKUP("921-000000-200",B:AB,1+8,0),0)</f>
        <v>0</v>
      </c>
      <c r="K944">
        <f>IFERROR(VLOOKUP("921-000000-200",B:AB,2+8,0),0)</f>
        <v>0</v>
      </c>
      <c r="L944">
        <f>IFERROR(VLOOKUP("921-000000-200",B:AB,3+8,0),0)</f>
        <v>0</v>
      </c>
      <c r="M944">
        <f>IFERROR(VLOOKUP("921-000000-200",B:AB,4+8,0),0)</f>
        <v>0</v>
      </c>
      <c r="N944">
        <f>IFERROR(VLOOKUP("921-000000-200",B:AB,5+8,0),0)</f>
        <v>0</v>
      </c>
      <c r="O944">
        <f>IFERROR(VLOOKUP("921-000000-200",B:AB,6+8,0),0)</f>
        <v>0</v>
      </c>
      <c r="P944">
        <f>IFERROR(VLOOKUP("921-000000-200",B:AB,7+8,0),0)</f>
        <v>0</v>
      </c>
      <c r="Q944">
        <f>IFERROR(VLOOKUP("921-000000-200",B:AB,8+8,0),0)</f>
        <v>0</v>
      </c>
      <c r="R944">
        <f>IFERROR(VLOOKUP("921-000000-200",B:AB,9+8,0),0)</f>
        <v>0</v>
      </c>
      <c r="S944">
        <f>IFERROR(VLOOKUP("921-000000-200",B:AB,10+8,0),0)</f>
        <v>0</v>
      </c>
      <c r="T944">
        <f>IFERROR(VLOOKUP("921-000000-200",B:AB,11+8,0),0)</f>
        <v>0</v>
      </c>
      <c r="U944">
        <f>IFERROR(VLOOKUP("921-000000-200",B:AB,12+8,0),0)</f>
        <v>0</v>
      </c>
      <c r="V944">
        <f>IFERROR(VLOOKUP("921-000000-200",B:AB,13+8,0),0)</f>
        <v>0</v>
      </c>
      <c r="W944">
        <f>IFERROR(VLOOKUP("921-000000-200",B:AB,14+8,0),0)</f>
        <v>0</v>
      </c>
      <c r="X944">
        <f>IFERROR(VLOOKUP("921-000000-200",B:AB,15+8,0),0)</f>
        <v>0</v>
      </c>
      <c r="Y944">
        <f>IFERROR(VLOOKUP("921-000000-200",B:AB,16+8,0),0)</f>
        <v>0</v>
      </c>
      <c r="Z944">
        <f>IFERROR(VLOOKUP("921-000000-200",B:AB,17+8,0),0)</f>
        <v>0</v>
      </c>
      <c r="AA944">
        <f>IFERROR(VLOOKUP("921-000000-200",B:AB,18+8,0),0)</f>
        <v>0</v>
      </c>
      <c r="AB944">
        <f>IFERROR(VLOOKUP("921-000000-200",B:AB,19+8,0),0)</f>
        <v>0</v>
      </c>
      <c r="AC944">
        <f>IFERROR(VLOOKUP("921-000000-200",B:AB,20+8,0),0)</f>
        <v>0</v>
      </c>
      <c r="AD944">
        <f>IFERROR(VLOOKUP("921-000000-200",B:AB,21+8,0),0)</f>
        <v>0</v>
      </c>
      <c r="AE944">
        <f>IFERROR(VLOOKUP("921-000000-200",B:AB,22+8,0),0)</f>
        <v>0</v>
      </c>
      <c r="AF944">
        <f>IFERROR(VLOOKUP("921-000000-200",B:AB,23+8,0),0)</f>
        <v>0</v>
      </c>
      <c r="AG944">
        <f>IFERROR(VLOOKUP("921-000000-200",B:AB,24+8,0),0)</f>
        <v>0</v>
      </c>
      <c r="AH944">
        <f>IFERROR(VLOOKUP("921-000000-200",B:AB,25+8,0),0)</f>
        <v>0</v>
      </c>
      <c r="AI944">
        <f>IFERROR(VLOOKUP("921-000000-200",B:AB,26+8,0),0)</f>
        <v>0</v>
      </c>
      <c r="AJ944">
        <f>IFERROR(VLOOKUP("921-000000-200",B:AB,27+8,0),0)</f>
        <v>0</v>
      </c>
      <c r="AK944">
        <f>IFERROR(VLOOKUP("921-000000-200",B:AB,28+8,0),0)</f>
        <v>0</v>
      </c>
      <c r="AL944">
        <f>IFERROR(VLOOKUP("921-000000-200",B:AB,29+8,0),0)</f>
        <v>0</v>
      </c>
      <c r="AM944">
        <f>IFERROR(VLOOKUP("921-000000-200",B:AB,30+8,0),0)</f>
        <v>0</v>
      </c>
      <c r="AN944">
        <f>IFERROR(VLOOKUP("921-000000-200",B:AB,31+8,0),0)</f>
        <v>0</v>
      </c>
      <c r="AO944">
        <f>SUN(INDIRECT(ADDRESS(943,8)):INDIRECT(ADDRESS(943,39)))</f>
        <v>0</v>
      </c>
    </row>
    <row r="945" spans="1:41">
      <c r="H945" t="s">
        <v>179</v>
      </c>
      <c r="J945">
        <f>INDIRECT(ADDRESS(945,9))+INDIRECT(ADDRESS(943,10))-INDIRECT(ADDRESS(944,10))</f>
        <v>0</v>
      </c>
      <c r="K945">
        <f>INDIRECT(ADDRESS(945,10))+INDIRECT(ADDRESS(943,11))-INDIRECT(ADDRESS(944,11))</f>
        <v>0</v>
      </c>
      <c r="L945">
        <f>INDIRECT(ADDRESS(945,11))+INDIRECT(ADDRESS(943,12))-INDIRECT(ADDRESS(944,12))</f>
        <v>0</v>
      </c>
      <c r="M945">
        <f>INDIRECT(ADDRESS(945,12))+INDIRECT(ADDRESS(943,13))-INDIRECT(ADDRESS(944,13))</f>
        <v>0</v>
      </c>
      <c r="N945">
        <f>INDIRECT(ADDRESS(945,13))+INDIRECT(ADDRESS(943,14))-INDIRECT(ADDRESS(944,14))</f>
        <v>0</v>
      </c>
      <c r="O945">
        <f>INDIRECT(ADDRESS(945,14))+INDIRECT(ADDRESS(943,15))-INDIRECT(ADDRESS(944,15))</f>
        <v>0</v>
      </c>
      <c r="P945">
        <f>INDIRECT(ADDRESS(945,15))+INDIRECT(ADDRESS(943,16))-INDIRECT(ADDRESS(944,16))</f>
        <v>0</v>
      </c>
      <c r="Q945">
        <f>INDIRECT(ADDRESS(945,16))+INDIRECT(ADDRESS(943,17))-INDIRECT(ADDRESS(944,17))</f>
        <v>0</v>
      </c>
      <c r="R945">
        <f>INDIRECT(ADDRESS(945,17))+INDIRECT(ADDRESS(943,18))-INDIRECT(ADDRESS(944,18))</f>
        <v>0</v>
      </c>
      <c r="S945">
        <f>INDIRECT(ADDRESS(945,18))+INDIRECT(ADDRESS(943,19))-INDIRECT(ADDRESS(944,19))</f>
        <v>0</v>
      </c>
      <c r="T945">
        <f>INDIRECT(ADDRESS(945,19))+INDIRECT(ADDRESS(943,20))-INDIRECT(ADDRESS(944,20))</f>
        <v>0</v>
      </c>
      <c r="U945">
        <f>INDIRECT(ADDRESS(945,20))+INDIRECT(ADDRESS(943,21))-INDIRECT(ADDRESS(944,21))</f>
        <v>0</v>
      </c>
      <c r="V945">
        <f>INDIRECT(ADDRESS(945,21))+INDIRECT(ADDRESS(943,22))-INDIRECT(ADDRESS(944,22))</f>
        <v>0</v>
      </c>
      <c r="W945">
        <f>INDIRECT(ADDRESS(945,22))+INDIRECT(ADDRESS(943,23))-INDIRECT(ADDRESS(944,23))</f>
        <v>0</v>
      </c>
      <c r="X945">
        <f>INDIRECT(ADDRESS(945,23))+INDIRECT(ADDRESS(943,24))-INDIRECT(ADDRESS(944,24))</f>
        <v>0</v>
      </c>
      <c r="Y945">
        <f>INDIRECT(ADDRESS(945,24))+INDIRECT(ADDRESS(943,25))-INDIRECT(ADDRESS(944,25))</f>
        <v>0</v>
      </c>
      <c r="Z945">
        <f>INDIRECT(ADDRESS(945,25))+INDIRECT(ADDRESS(943,26))-INDIRECT(ADDRESS(944,26))</f>
        <v>0</v>
      </c>
      <c r="AA945">
        <f>INDIRECT(ADDRESS(945,26))+INDIRECT(ADDRESS(943,27))-INDIRECT(ADDRESS(944,27))</f>
        <v>0</v>
      </c>
      <c r="AB945">
        <f>INDIRECT(ADDRESS(945,27))+INDIRECT(ADDRESS(943,28))-INDIRECT(ADDRESS(944,28))</f>
        <v>0</v>
      </c>
      <c r="AC945">
        <f>INDIRECT(ADDRESS(945,28))+INDIRECT(ADDRESS(943,29))-INDIRECT(ADDRESS(944,29))</f>
        <v>0</v>
      </c>
      <c r="AD945">
        <f>INDIRECT(ADDRESS(945,29))+INDIRECT(ADDRESS(943,30))-INDIRECT(ADDRESS(944,30))</f>
        <v>0</v>
      </c>
      <c r="AE945">
        <f>INDIRECT(ADDRESS(945,30))+INDIRECT(ADDRESS(943,31))-INDIRECT(ADDRESS(944,31))</f>
        <v>0</v>
      </c>
      <c r="AF945">
        <f>INDIRECT(ADDRESS(945,31))+INDIRECT(ADDRESS(943,32))-INDIRECT(ADDRESS(944,32))</f>
        <v>0</v>
      </c>
      <c r="AG945">
        <f>INDIRECT(ADDRESS(945,32))+INDIRECT(ADDRESS(943,33))-INDIRECT(ADDRESS(944,33))</f>
        <v>0</v>
      </c>
      <c r="AH945">
        <f>INDIRECT(ADDRESS(945,33))+INDIRECT(ADDRESS(943,34))-INDIRECT(ADDRESS(944,34))</f>
        <v>0</v>
      </c>
      <c r="AI945">
        <f>INDIRECT(ADDRESS(945,34))+INDIRECT(ADDRESS(943,35))-INDIRECT(ADDRESS(944,35))</f>
        <v>0</v>
      </c>
      <c r="AJ945">
        <f>INDIRECT(ADDRESS(945,35))+INDIRECT(ADDRESS(943,36))-INDIRECT(ADDRESS(944,36))</f>
        <v>0</v>
      </c>
      <c r="AK945">
        <f>INDIRECT(ADDRESS(945,36))+INDIRECT(ADDRESS(943,37))-INDIRECT(ADDRESS(944,37))</f>
        <v>0</v>
      </c>
      <c r="AL945">
        <f>INDIRECT(ADDRESS(945,37))+INDIRECT(ADDRESS(943,38))-INDIRECT(ADDRESS(944,38))</f>
        <v>0</v>
      </c>
      <c r="AM945">
        <f>INDIRECT(ADDRESS(945,38))+INDIRECT(ADDRESS(943,39))-INDIRECT(ADDRESS(944,39))</f>
        <v>0</v>
      </c>
      <c r="AN945">
        <f>INDIRECT(ADDRESS(945,39))+INDIRECT(ADDRESS(943,40))-INDIRECT(ADDRESS(944,40))</f>
        <v>0</v>
      </c>
      <c r="AO945">
        <f>SUM(INDIRECT(ADDRESS(944,8)):INDIRECT(ADDRESS(944,39)))</f>
        <v>0</v>
      </c>
    </row>
    <row r="946" spans="1:41">
      <c r="A946" t="s">
        <v>185</v>
      </c>
      <c r="B946" t="s">
        <v>483</v>
      </c>
      <c r="C946" t="s">
        <v>484</v>
      </c>
      <c r="E946">
        <v>1</v>
      </c>
      <c r="I946" t="s">
        <v>177</v>
      </c>
    </row>
    <row r="947" spans="1:41">
      <c r="I947" t="s">
        <v>178</v>
      </c>
      <c r="J947">
        <f>IFERROR(VLOOKUP("921-000000-200",B:AB,1+8,0),0)</f>
        <v>0</v>
      </c>
      <c r="K947">
        <f>IFERROR(VLOOKUP("921-000000-200",B:AB,2+8,0),0)</f>
        <v>0</v>
      </c>
      <c r="L947">
        <f>IFERROR(VLOOKUP("921-000000-200",B:AB,3+8,0),0)</f>
        <v>0</v>
      </c>
      <c r="M947">
        <f>IFERROR(VLOOKUP("921-000000-200",B:AB,4+8,0),0)</f>
        <v>0</v>
      </c>
      <c r="N947">
        <f>IFERROR(VLOOKUP("921-000000-200",B:AB,5+8,0),0)</f>
        <v>0</v>
      </c>
      <c r="O947">
        <f>IFERROR(VLOOKUP("921-000000-200",B:AB,6+8,0),0)</f>
        <v>0</v>
      </c>
      <c r="P947">
        <f>IFERROR(VLOOKUP("921-000000-200",B:AB,7+8,0),0)</f>
        <v>0</v>
      </c>
      <c r="Q947">
        <f>IFERROR(VLOOKUP("921-000000-200",B:AB,8+8,0),0)</f>
        <v>0</v>
      </c>
      <c r="R947">
        <f>IFERROR(VLOOKUP("921-000000-200",B:AB,9+8,0),0)</f>
        <v>0</v>
      </c>
      <c r="S947">
        <f>IFERROR(VLOOKUP("921-000000-200",B:AB,10+8,0),0)</f>
        <v>0</v>
      </c>
      <c r="T947">
        <f>IFERROR(VLOOKUP("921-000000-200",B:AB,11+8,0),0)</f>
        <v>0</v>
      </c>
      <c r="U947">
        <f>IFERROR(VLOOKUP("921-000000-200",B:AB,12+8,0),0)</f>
        <v>0</v>
      </c>
      <c r="V947">
        <f>IFERROR(VLOOKUP("921-000000-200",B:AB,13+8,0),0)</f>
        <v>0</v>
      </c>
      <c r="W947">
        <f>IFERROR(VLOOKUP("921-000000-200",B:AB,14+8,0),0)</f>
        <v>0</v>
      </c>
      <c r="X947">
        <f>IFERROR(VLOOKUP("921-000000-200",B:AB,15+8,0),0)</f>
        <v>0</v>
      </c>
      <c r="Y947">
        <f>IFERROR(VLOOKUP("921-000000-200",B:AB,16+8,0),0)</f>
        <v>0</v>
      </c>
      <c r="Z947">
        <f>IFERROR(VLOOKUP("921-000000-200",B:AB,17+8,0),0)</f>
        <v>0</v>
      </c>
      <c r="AA947">
        <f>IFERROR(VLOOKUP("921-000000-200",B:AB,18+8,0),0)</f>
        <v>0</v>
      </c>
      <c r="AB947">
        <f>IFERROR(VLOOKUP("921-000000-200",B:AB,19+8,0),0)</f>
        <v>0</v>
      </c>
      <c r="AC947">
        <f>IFERROR(VLOOKUP("921-000000-200",B:AB,20+8,0),0)</f>
        <v>0</v>
      </c>
      <c r="AD947">
        <f>IFERROR(VLOOKUP("921-000000-200",B:AB,21+8,0),0)</f>
        <v>0</v>
      </c>
      <c r="AE947">
        <f>IFERROR(VLOOKUP("921-000000-200",B:AB,22+8,0),0)</f>
        <v>0</v>
      </c>
      <c r="AF947">
        <f>IFERROR(VLOOKUP("921-000000-200",B:AB,23+8,0),0)</f>
        <v>0</v>
      </c>
      <c r="AG947">
        <f>IFERROR(VLOOKUP("921-000000-200",B:AB,24+8,0),0)</f>
        <v>0</v>
      </c>
      <c r="AH947">
        <f>IFERROR(VLOOKUP("921-000000-200",B:AB,25+8,0),0)</f>
        <v>0</v>
      </c>
      <c r="AI947">
        <f>IFERROR(VLOOKUP("921-000000-200",B:AB,26+8,0),0)</f>
        <v>0</v>
      </c>
      <c r="AJ947">
        <f>IFERROR(VLOOKUP("921-000000-200",B:AB,27+8,0),0)</f>
        <v>0</v>
      </c>
      <c r="AK947">
        <f>IFERROR(VLOOKUP("921-000000-200",B:AB,28+8,0),0)</f>
        <v>0</v>
      </c>
      <c r="AL947">
        <f>IFERROR(VLOOKUP("921-000000-200",B:AB,29+8,0),0)</f>
        <v>0</v>
      </c>
      <c r="AM947">
        <f>IFERROR(VLOOKUP("921-000000-200",B:AB,30+8,0),0)</f>
        <v>0</v>
      </c>
      <c r="AN947">
        <f>IFERROR(VLOOKUP("921-000000-200",B:AB,31+8,0),0)</f>
        <v>0</v>
      </c>
      <c r="AO947">
        <f>SUN(INDIRECT(ADDRESS(946,8)):INDIRECT(ADDRESS(946,39)))</f>
        <v>0</v>
      </c>
    </row>
    <row r="948" spans="1:41">
      <c r="H948" t="s">
        <v>179</v>
      </c>
      <c r="J948">
        <f>INDIRECT(ADDRESS(948,9))+INDIRECT(ADDRESS(946,10))-INDIRECT(ADDRESS(947,10))</f>
        <v>0</v>
      </c>
      <c r="K948">
        <f>INDIRECT(ADDRESS(948,10))+INDIRECT(ADDRESS(946,11))-INDIRECT(ADDRESS(947,11))</f>
        <v>0</v>
      </c>
      <c r="L948">
        <f>INDIRECT(ADDRESS(948,11))+INDIRECT(ADDRESS(946,12))-INDIRECT(ADDRESS(947,12))</f>
        <v>0</v>
      </c>
      <c r="M948">
        <f>INDIRECT(ADDRESS(948,12))+INDIRECT(ADDRESS(946,13))-INDIRECT(ADDRESS(947,13))</f>
        <v>0</v>
      </c>
      <c r="N948">
        <f>INDIRECT(ADDRESS(948,13))+INDIRECT(ADDRESS(946,14))-INDIRECT(ADDRESS(947,14))</f>
        <v>0</v>
      </c>
      <c r="O948">
        <f>INDIRECT(ADDRESS(948,14))+INDIRECT(ADDRESS(946,15))-INDIRECT(ADDRESS(947,15))</f>
        <v>0</v>
      </c>
      <c r="P948">
        <f>INDIRECT(ADDRESS(948,15))+INDIRECT(ADDRESS(946,16))-INDIRECT(ADDRESS(947,16))</f>
        <v>0</v>
      </c>
      <c r="Q948">
        <f>INDIRECT(ADDRESS(948,16))+INDIRECT(ADDRESS(946,17))-INDIRECT(ADDRESS(947,17))</f>
        <v>0</v>
      </c>
      <c r="R948">
        <f>INDIRECT(ADDRESS(948,17))+INDIRECT(ADDRESS(946,18))-INDIRECT(ADDRESS(947,18))</f>
        <v>0</v>
      </c>
      <c r="S948">
        <f>INDIRECT(ADDRESS(948,18))+INDIRECT(ADDRESS(946,19))-INDIRECT(ADDRESS(947,19))</f>
        <v>0</v>
      </c>
      <c r="T948">
        <f>INDIRECT(ADDRESS(948,19))+INDIRECT(ADDRESS(946,20))-INDIRECT(ADDRESS(947,20))</f>
        <v>0</v>
      </c>
      <c r="U948">
        <f>INDIRECT(ADDRESS(948,20))+INDIRECT(ADDRESS(946,21))-INDIRECT(ADDRESS(947,21))</f>
        <v>0</v>
      </c>
      <c r="V948">
        <f>INDIRECT(ADDRESS(948,21))+INDIRECT(ADDRESS(946,22))-INDIRECT(ADDRESS(947,22))</f>
        <v>0</v>
      </c>
      <c r="W948">
        <f>INDIRECT(ADDRESS(948,22))+INDIRECT(ADDRESS(946,23))-INDIRECT(ADDRESS(947,23))</f>
        <v>0</v>
      </c>
      <c r="X948">
        <f>INDIRECT(ADDRESS(948,23))+INDIRECT(ADDRESS(946,24))-INDIRECT(ADDRESS(947,24))</f>
        <v>0</v>
      </c>
      <c r="Y948">
        <f>INDIRECT(ADDRESS(948,24))+INDIRECT(ADDRESS(946,25))-INDIRECT(ADDRESS(947,25))</f>
        <v>0</v>
      </c>
      <c r="Z948">
        <f>INDIRECT(ADDRESS(948,25))+INDIRECT(ADDRESS(946,26))-INDIRECT(ADDRESS(947,26))</f>
        <v>0</v>
      </c>
      <c r="AA948">
        <f>INDIRECT(ADDRESS(948,26))+INDIRECT(ADDRESS(946,27))-INDIRECT(ADDRESS(947,27))</f>
        <v>0</v>
      </c>
      <c r="AB948">
        <f>INDIRECT(ADDRESS(948,27))+INDIRECT(ADDRESS(946,28))-INDIRECT(ADDRESS(947,28))</f>
        <v>0</v>
      </c>
      <c r="AC948">
        <f>INDIRECT(ADDRESS(948,28))+INDIRECT(ADDRESS(946,29))-INDIRECT(ADDRESS(947,29))</f>
        <v>0</v>
      </c>
      <c r="AD948">
        <f>INDIRECT(ADDRESS(948,29))+INDIRECT(ADDRESS(946,30))-INDIRECT(ADDRESS(947,30))</f>
        <v>0</v>
      </c>
      <c r="AE948">
        <f>INDIRECT(ADDRESS(948,30))+INDIRECT(ADDRESS(946,31))-INDIRECT(ADDRESS(947,31))</f>
        <v>0</v>
      </c>
      <c r="AF948">
        <f>INDIRECT(ADDRESS(948,31))+INDIRECT(ADDRESS(946,32))-INDIRECT(ADDRESS(947,32))</f>
        <v>0</v>
      </c>
      <c r="AG948">
        <f>INDIRECT(ADDRESS(948,32))+INDIRECT(ADDRESS(946,33))-INDIRECT(ADDRESS(947,33))</f>
        <v>0</v>
      </c>
      <c r="AH948">
        <f>INDIRECT(ADDRESS(948,33))+INDIRECT(ADDRESS(946,34))-INDIRECT(ADDRESS(947,34))</f>
        <v>0</v>
      </c>
      <c r="AI948">
        <f>INDIRECT(ADDRESS(948,34))+INDIRECT(ADDRESS(946,35))-INDIRECT(ADDRESS(947,35))</f>
        <v>0</v>
      </c>
      <c r="AJ948">
        <f>INDIRECT(ADDRESS(948,35))+INDIRECT(ADDRESS(946,36))-INDIRECT(ADDRESS(947,36))</f>
        <v>0</v>
      </c>
      <c r="AK948">
        <f>INDIRECT(ADDRESS(948,36))+INDIRECT(ADDRESS(946,37))-INDIRECT(ADDRESS(947,37))</f>
        <v>0</v>
      </c>
      <c r="AL948">
        <f>INDIRECT(ADDRESS(948,37))+INDIRECT(ADDRESS(946,38))-INDIRECT(ADDRESS(947,38))</f>
        <v>0</v>
      </c>
      <c r="AM948">
        <f>INDIRECT(ADDRESS(948,38))+INDIRECT(ADDRESS(946,39))-INDIRECT(ADDRESS(947,39))</f>
        <v>0</v>
      </c>
      <c r="AN948">
        <f>INDIRECT(ADDRESS(948,39))+INDIRECT(ADDRESS(946,40))-INDIRECT(ADDRESS(947,40))</f>
        <v>0</v>
      </c>
      <c r="AO948">
        <f>SUM(INDIRECT(ADDRESS(947,8)):INDIRECT(ADDRESS(947,39)))</f>
        <v>0</v>
      </c>
    </row>
    <row r="949" spans="1:41">
      <c r="A949" t="s">
        <v>185</v>
      </c>
      <c r="B949" t="s">
        <v>485</v>
      </c>
      <c r="C949" t="s">
        <v>486</v>
      </c>
      <c r="E949">
        <v>1</v>
      </c>
      <c r="I949" t="s">
        <v>177</v>
      </c>
    </row>
    <row r="950" spans="1:41">
      <c r="I950" t="s">
        <v>178</v>
      </c>
      <c r="J950">
        <f>IFERROR(VLOOKUP("921-000000-200",B:AB,1+8,0),0)</f>
        <v>0</v>
      </c>
      <c r="K950">
        <f>IFERROR(VLOOKUP("921-000000-200",B:AB,2+8,0),0)</f>
        <v>0</v>
      </c>
      <c r="L950">
        <f>IFERROR(VLOOKUP("921-000000-200",B:AB,3+8,0),0)</f>
        <v>0</v>
      </c>
      <c r="M950">
        <f>IFERROR(VLOOKUP("921-000000-200",B:AB,4+8,0),0)</f>
        <v>0</v>
      </c>
      <c r="N950">
        <f>IFERROR(VLOOKUP("921-000000-200",B:AB,5+8,0),0)</f>
        <v>0</v>
      </c>
      <c r="O950">
        <f>IFERROR(VLOOKUP("921-000000-200",B:AB,6+8,0),0)</f>
        <v>0</v>
      </c>
      <c r="P950">
        <f>IFERROR(VLOOKUP("921-000000-200",B:AB,7+8,0),0)</f>
        <v>0</v>
      </c>
      <c r="Q950">
        <f>IFERROR(VLOOKUP("921-000000-200",B:AB,8+8,0),0)</f>
        <v>0</v>
      </c>
      <c r="R950">
        <f>IFERROR(VLOOKUP("921-000000-200",B:AB,9+8,0),0)</f>
        <v>0</v>
      </c>
      <c r="S950">
        <f>IFERROR(VLOOKUP("921-000000-200",B:AB,10+8,0),0)</f>
        <v>0</v>
      </c>
      <c r="T950">
        <f>IFERROR(VLOOKUP("921-000000-200",B:AB,11+8,0),0)</f>
        <v>0</v>
      </c>
      <c r="U950">
        <f>IFERROR(VLOOKUP("921-000000-200",B:AB,12+8,0),0)</f>
        <v>0</v>
      </c>
      <c r="V950">
        <f>IFERROR(VLOOKUP("921-000000-200",B:AB,13+8,0),0)</f>
        <v>0</v>
      </c>
      <c r="W950">
        <f>IFERROR(VLOOKUP("921-000000-200",B:AB,14+8,0),0)</f>
        <v>0</v>
      </c>
      <c r="X950">
        <f>IFERROR(VLOOKUP("921-000000-200",B:AB,15+8,0),0)</f>
        <v>0</v>
      </c>
      <c r="Y950">
        <f>IFERROR(VLOOKUP("921-000000-200",B:AB,16+8,0),0)</f>
        <v>0</v>
      </c>
      <c r="Z950">
        <f>IFERROR(VLOOKUP("921-000000-200",B:AB,17+8,0),0)</f>
        <v>0</v>
      </c>
      <c r="AA950">
        <f>IFERROR(VLOOKUP("921-000000-200",B:AB,18+8,0),0)</f>
        <v>0</v>
      </c>
      <c r="AB950">
        <f>IFERROR(VLOOKUP("921-000000-200",B:AB,19+8,0),0)</f>
        <v>0</v>
      </c>
      <c r="AC950">
        <f>IFERROR(VLOOKUP("921-000000-200",B:AB,20+8,0),0)</f>
        <v>0</v>
      </c>
      <c r="AD950">
        <f>IFERROR(VLOOKUP("921-000000-200",B:AB,21+8,0),0)</f>
        <v>0</v>
      </c>
      <c r="AE950">
        <f>IFERROR(VLOOKUP("921-000000-200",B:AB,22+8,0),0)</f>
        <v>0</v>
      </c>
      <c r="AF950">
        <f>IFERROR(VLOOKUP("921-000000-200",B:AB,23+8,0),0)</f>
        <v>0</v>
      </c>
      <c r="AG950">
        <f>IFERROR(VLOOKUP("921-000000-200",B:AB,24+8,0),0)</f>
        <v>0</v>
      </c>
      <c r="AH950">
        <f>IFERROR(VLOOKUP("921-000000-200",B:AB,25+8,0),0)</f>
        <v>0</v>
      </c>
      <c r="AI950">
        <f>IFERROR(VLOOKUP("921-000000-200",B:AB,26+8,0),0)</f>
        <v>0</v>
      </c>
      <c r="AJ950">
        <f>IFERROR(VLOOKUP("921-000000-200",B:AB,27+8,0),0)</f>
        <v>0</v>
      </c>
      <c r="AK950">
        <f>IFERROR(VLOOKUP("921-000000-200",B:AB,28+8,0),0)</f>
        <v>0</v>
      </c>
      <c r="AL950">
        <f>IFERROR(VLOOKUP("921-000000-200",B:AB,29+8,0),0)</f>
        <v>0</v>
      </c>
      <c r="AM950">
        <f>IFERROR(VLOOKUP("921-000000-200",B:AB,30+8,0),0)</f>
        <v>0</v>
      </c>
      <c r="AN950">
        <f>IFERROR(VLOOKUP("921-000000-200",B:AB,31+8,0),0)</f>
        <v>0</v>
      </c>
      <c r="AO950">
        <f>SUN(INDIRECT(ADDRESS(949,8)):INDIRECT(ADDRESS(949,39)))</f>
        <v>0</v>
      </c>
    </row>
    <row r="951" spans="1:41">
      <c r="H951" t="s">
        <v>179</v>
      </c>
      <c r="J951">
        <f>INDIRECT(ADDRESS(951,9))+INDIRECT(ADDRESS(949,10))-INDIRECT(ADDRESS(950,10))</f>
        <v>0</v>
      </c>
      <c r="K951">
        <f>INDIRECT(ADDRESS(951,10))+INDIRECT(ADDRESS(949,11))-INDIRECT(ADDRESS(950,11))</f>
        <v>0</v>
      </c>
      <c r="L951">
        <f>INDIRECT(ADDRESS(951,11))+INDIRECT(ADDRESS(949,12))-INDIRECT(ADDRESS(950,12))</f>
        <v>0</v>
      </c>
      <c r="M951">
        <f>INDIRECT(ADDRESS(951,12))+INDIRECT(ADDRESS(949,13))-INDIRECT(ADDRESS(950,13))</f>
        <v>0</v>
      </c>
      <c r="N951">
        <f>INDIRECT(ADDRESS(951,13))+INDIRECT(ADDRESS(949,14))-INDIRECT(ADDRESS(950,14))</f>
        <v>0</v>
      </c>
      <c r="O951">
        <f>INDIRECT(ADDRESS(951,14))+INDIRECT(ADDRESS(949,15))-INDIRECT(ADDRESS(950,15))</f>
        <v>0</v>
      </c>
      <c r="P951">
        <f>INDIRECT(ADDRESS(951,15))+INDIRECT(ADDRESS(949,16))-INDIRECT(ADDRESS(950,16))</f>
        <v>0</v>
      </c>
      <c r="Q951">
        <f>INDIRECT(ADDRESS(951,16))+INDIRECT(ADDRESS(949,17))-INDIRECT(ADDRESS(950,17))</f>
        <v>0</v>
      </c>
      <c r="R951">
        <f>INDIRECT(ADDRESS(951,17))+INDIRECT(ADDRESS(949,18))-INDIRECT(ADDRESS(950,18))</f>
        <v>0</v>
      </c>
      <c r="S951">
        <f>INDIRECT(ADDRESS(951,18))+INDIRECT(ADDRESS(949,19))-INDIRECT(ADDRESS(950,19))</f>
        <v>0</v>
      </c>
      <c r="T951">
        <f>INDIRECT(ADDRESS(951,19))+INDIRECT(ADDRESS(949,20))-INDIRECT(ADDRESS(950,20))</f>
        <v>0</v>
      </c>
      <c r="U951">
        <f>INDIRECT(ADDRESS(951,20))+INDIRECT(ADDRESS(949,21))-INDIRECT(ADDRESS(950,21))</f>
        <v>0</v>
      </c>
      <c r="V951">
        <f>INDIRECT(ADDRESS(951,21))+INDIRECT(ADDRESS(949,22))-INDIRECT(ADDRESS(950,22))</f>
        <v>0</v>
      </c>
      <c r="W951">
        <f>INDIRECT(ADDRESS(951,22))+INDIRECT(ADDRESS(949,23))-INDIRECT(ADDRESS(950,23))</f>
        <v>0</v>
      </c>
      <c r="X951">
        <f>INDIRECT(ADDRESS(951,23))+INDIRECT(ADDRESS(949,24))-INDIRECT(ADDRESS(950,24))</f>
        <v>0</v>
      </c>
      <c r="Y951">
        <f>INDIRECT(ADDRESS(951,24))+INDIRECT(ADDRESS(949,25))-INDIRECT(ADDRESS(950,25))</f>
        <v>0</v>
      </c>
      <c r="Z951">
        <f>INDIRECT(ADDRESS(951,25))+INDIRECT(ADDRESS(949,26))-INDIRECT(ADDRESS(950,26))</f>
        <v>0</v>
      </c>
      <c r="AA951">
        <f>INDIRECT(ADDRESS(951,26))+INDIRECT(ADDRESS(949,27))-INDIRECT(ADDRESS(950,27))</f>
        <v>0</v>
      </c>
      <c r="AB951">
        <f>INDIRECT(ADDRESS(951,27))+INDIRECT(ADDRESS(949,28))-INDIRECT(ADDRESS(950,28))</f>
        <v>0</v>
      </c>
      <c r="AC951">
        <f>INDIRECT(ADDRESS(951,28))+INDIRECT(ADDRESS(949,29))-INDIRECT(ADDRESS(950,29))</f>
        <v>0</v>
      </c>
      <c r="AD951">
        <f>INDIRECT(ADDRESS(951,29))+INDIRECT(ADDRESS(949,30))-INDIRECT(ADDRESS(950,30))</f>
        <v>0</v>
      </c>
      <c r="AE951">
        <f>INDIRECT(ADDRESS(951,30))+INDIRECT(ADDRESS(949,31))-INDIRECT(ADDRESS(950,31))</f>
        <v>0</v>
      </c>
      <c r="AF951">
        <f>INDIRECT(ADDRESS(951,31))+INDIRECT(ADDRESS(949,32))-INDIRECT(ADDRESS(950,32))</f>
        <v>0</v>
      </c>
      <c r="AG951">
        <f>INDIRECT(ADDRESS(951,32))+INDIRECT(ADDRESS(949,33))-INDIRECT(ADDRESS(950,33))</f>
        <v>0</v>
      </c>
      <c r="AH951">
        <f>INDIRECT(ADDRESS(951,33))+INDIRECT(ADDRESS(949,34))-INDIRECT(ADDRESS(950,34))</f>
        <v>0</v>
      </c>
      <c r="AI951">
        <f>INDIRECT(ADDRESS(951,34))+INDIRECT(ADDRESS(949,35))-INDIRECT(ADDRESS(950,35))</f>
        <v>0</v>
      </c>
      <c r="AJ951">
        <f>INDIRECT(ADDRESS(951,35))+INDIRECT(ADDRESS(949,36))-INDIRECT(ADDRESS(950,36))</f>
        <v>0</v>
      </c>
      <c r="AK951">
        <f>INDIRECT(ADDRESS(951,36))+INDIRECT(ADDRESS(949,37))-INDIRECT(ADDRESS(950,37))</f>
        <v>0</v>
      </c>
      <c r="AL951">
        <f>INDIRECT(ADDRESS(951,37))+INDIRECT(ADDRESS(949,38))-INDIRECT(ADDRESS(950,38))</f>
        <v>0</v>
      </c>
      <c r="AM951">
        <f>INDIRECT(ADDRESS(951,38))+INDIRECT(ADDRESS(949,39))-INDIRECT(ADDRESS(950,39))</f>
        <v>0</v>
      </c>
      <c r="AN951">
        <f>INDIRECT(ADDRESS(951,39))+INDIRECT(ADDRESS(949,40))-INDIRECT(ADDRESS(950,40))</f>
        <v>0</v>
      </c>
      <c r="AO951">
        <f>SUM(INDIRECT(ADDRESS(950,8)):INDIRECT(ADDRESS(950,39)))</f>
        <v>0</v>
      </c>
    </row>
    <row r="952" spans="1:41">
      <c r="A952" t="s">
        <v>185</v>
      </c>
      <c r="B952" t="s">
        <v>509</v>
      </c>
      <c r="C952" t="s">
        <v>510</v>
      </c>
      <c r="E952">
        <v>1</v>
      </c>
      <c r="I952" t="s">
        <v>177</v>
      </c>
    </row>
    <row r="953" spans="1:41">
      <c r="I953" t="s">
        <v>178</v>
      </c>
      <c r="J953">
        <f>IFERROR(VLOOKUP("921-000000-200",B:AB,1+8,0),0)</f>
        <v>0</v>
      </c>
      <c r="K953">
        <f>IFERROR(VLOOKUP("921-000000-200",B:AB,2+8,0),0)</f>
        <v>0</v>
      </c>
      <c r="L953">
        <f>IFERROR(VLOOKUP("921-000000-200",B:AB,3+8,0),0)</f>
        <v>0</v>
      </c>
      <c r="M953">
        <f>IFERROR(VLOOKUP("921-000000-200",B:AB,4+8,0),0)</f>
        <v>0</v>
      </c>
      <c r="N953">
        <f>IFERROR(VLOOKUP("921-000000-200",B:AB,5+8,0),0)</f>
        <v>0</v>
      </c>
      <c r="O953">
        <f>IFERROR(VLOOKUP("921-000000-200",B:AB,6+8,0),0)</f>
        <v>0</v>
      </c>
      <c r="P953">
        <f>IFERROR(VLOOKUP("921-000000-200",B:AB,7+8,0),0)</f>
        <v>0</v>
      </c>
      <c r="Q953">
        <f>IFERROR(VLOOKUP("921-000000-200",B:AB,8+8,0),0)</f>
        <v>0</v>
      </c>
      <c r="R953">
        <f>IFERROR(VLOOKUP("921-000000-200",B:AB,9+8,0),0)</f>
        <v>0</v>
      </c>
      <c r="S953">
        <f>IFERROR(VLOOKUP("921-000000-200",B:AB,10+8,0),0)</f>
        <v>0</v>
      </c>
      <c r="T953">
        <f>IFERROR(VLOOKUP("921-000000-200",B:AB,11+8,0),0)</f>
        <v>0</v>
      </c>
      <c r="U953">
        <f>IFERROR(VLOOKUP("921-000000-200",B:AB,12+8,0),0)</f>
        <v>0</v>
      </c>
      <c r="V953">
        <f>IFERROR(VLOOKUP("921-000000-200",B:AB,13+8,0),0)</f>
        <v>0</v>
      </c>
      <c r="W953">
        <f>IFERROR(VLOOKUP("921-000000-200",B:AB,14+8,0),0)</f>
        <v>0</v>
      </c>
      <c r="X953">
        <f>IFERROR(VLOOKUP("921-000000-200",B:AB,15+8,0),0)</f>
        <v>0</v>
      </c>
      <c r="Y953">
        <f>IFERROR(VLOOKUP("921-000000-200",B:AB,16+8,0),0)</f>
        <v>0</v>
      </c>
      <c r="Z953">
        <f>IFERROR(VLOOKUP("921-000000-200",B:AB,17+8,0),0)</f>
        <v>0</v>
      </c>
      <c r="AA953">
        <f>IFERROR(VLOOKUP("921-000000-200",B:AB,18+8,0),0)</f>
        <v>0</v>
      </c>
      <c r="AB953">
        <f>IFERROR(VLOOKUP("921-000000-200",B:AB,19+8,0),0)</f>
        <v>0</v>
      </c>
      <c r="AC953">
        <f>IFERROR(VLOOKUP("921-000000-200",B:AB,20+8,0),0)</f>
        <v>0</v>
      </c>
      <c r="AD953">
        <f>IFERROR(VLOOKUP("921-000000-200",B:AB,21+8,0),0)</f>
        <v>0</v>
      </c>
      <c r="AE953">
        <f>IFERROR(VLOOKUP("921-000000-200",B:AB,22+8,0),0)</f>
        <v>0</v>
      </c>
      <c r="AF953">
        <f>IFERROR(VLOOKUP("921-000000-200",B:AB,23+8,0),0)</f>
        <v>0</v>
      </c>
      <c r="AG953">
        <f>IFERROR(VLOOKUP("921-000000-200",B:AB,24+8,0),0)</f>
        <v>0</v>
      </c>
      <c r="AH953">
        <f>IFERROR(VLOOKUP("921-000000-200",B:AB,25+8,0),0)</f>
        <v>0</v>
      </c>
      <c r="AI953">
        <f>IFERROR(VLOOKUP("921-000000-200",B:AB,26+8,0),0)</f>
        <v>0</v>
      </c>
      <c r="AJ953">
        <f>IFERROR(VLOOKUP("921-000000-200",B:AB,27+8,0),0)</f>
        <v>0</v>
      </c>
      <c r="AK953">
        <f>IFERROR(VLOOKUP("921-000000-200",B:AB,28+8,0),0)</f>
        <v>0</v>
      </c>
      <c r="AL953">
        <f>IFERROR(VLOOKUP("921-000000-200",B:AB,29+8,0),0)</f>
        <v>0</v>
      </c>
      <c r="AM953">
        <f>IFERROR(VLOOKUP("921-000000-200",B:AB,30+8,0),0)</f>
        <v>0</v>
      </c>
      <c r="AN953">
        <f>IFERROR(VLOOKUP("921-000000-200",B:AB,31+8,0),0)</f>
        <v>0</v>
      </c>
      <c r="AO953">
        <f>SUN(INDIRECT(ADDRESS(952,8)):INDIRECT(ADDRESS(952,39)))</f>
        <v>0</v>
      </c>
    </row>
    <row r="954" spans="1:41">
      <c r="H954" t="s">
        <v>179</v>
      </c>
      <c r="J954">
        <f>INDIRECT(ADDRESS(954,9))+INDIRECT(ADDRESS(952,10))-INDIRECT(ADDRESS(953,10))</f>
        <v>0</v>
      </c>
      <c r="K954">
        <f>INDIRECT(ADDRESS(954,10))+INDIRECT(ADDRESS(952,11))-INDIRECT(ADDRESS(953,11))</f>
        <v>0</v>
      </c>
      <c r="L954">
        <f>INDIRECT(ADDRESS(954,11))+INDIRECT(ADDRESS(952,12))-INDIRECT(ADDRESS(953,12))</f>
        <v>0</v>
      </c>
      <c r="M954">
        <f>INDIRECT(ADDRESS(954,12))+INDIRECT(ADDRESS(952,13))-INDIRECT(ADDRESS(953,13))</f>
        <v>0</v>
      </c>
      <c r="N954">
        <f>INDIRECT(ADDRESS(954,13))+INDIRECT(ADDRESS(952,14))-INDIRECT(ADDRESS(953,14))</f>
        <v>0</v>
      </c>
      <c r="O954">
        <f>INDIRECT(ADDRESS(954,14))+INDIRECT(ADDRESS(952,15))-INDIRECT(ADDRESS(953,15))</f>
        <v>0</v>
      </c>
      <c r="P954">
        <f>INDIRECT(ADDRESS(954,15))+INDIRECT(ADDRESS(952,16))-INDIRECT(ADDRESS(953,16))</f>
        <v>0</v>
      </c>
      <c r="Q954">
        <f>INDIRECT(ADDRESS(954,16))+INDIRECT(ADDRESS(952,17))-INDIRECT(ADDRESS(953,17))</f>
        <v>0</v>
      </c>
      <c r="R954">
        <f>INDIRECT(ADDRESS(954,17))+INDIRECT(ADDRESS(952,18))-INDIRECT(ADDRESS(953,18))</f>
        <v>0</v>
      </c>
      <c r="S954">
        <f>INDIRECT(ADDRESS(954,18))+INDIRECT(ADDRESS(952,19))-INDIRECT(ADDRESS(953,19))</f>
        <v>0</v>
      </c>
      <c r="T954">
        <f>INDIRECT(ADDRESS(954,19))+INDIRECT(ADDRESS(952,20))-INDIRECT(ADDRESS(953,20))</f>
        <v>0</v>
      </c>
      <c r="U954">
        <f>INDIRECT(ADDRESS(954,20))+INDIRECT(ADDRESS(952,21))-INDIRECT(ADDRESS(953,21))</f>
        <v>0</v>
      </c>
      <c r="V954">
        <f>INDIRECT(ADDRESS(954,21))+INDIRECT(ADDRESS(952,22))-INDIRECT(ADDRESS(953,22))</f>
        <v>0</v>
      </c>
      <c r="W954">
        <f>INDIRECT(ADDRESS(954,22))+INDIRECT(ADDRESS(952,23))-INDIRECT(ADDRESS(953,23))</f>
        <v>0</v>
      </c>
      <c r="X954">
        <f>INDIRECT(ADDRESS(954,23))+INDIRECT(ADDRESS(952,24))-INDIRECT(ADDRESS(953,24))</f>
        <v>0</v>
      </c>
      <c r="Y954">
        <f>INDIRECT(ADDRESS(954,24))+INDIRECT(ADDRESS(952,25))-INDIRECT(ADDRESS(953,25))</f>
        <v>0</v>
      </c>
      <c r="Z954">
        <f>INDIRECT(ADDRESS(954,25))+INDIRECT(ADDRESS(952,26))-INDIRECT(ADDRESS(953,26))</f>
        <v>0</v>
      </c>
      <c r="AA954">
        <f>INDIRECT(ADDRESS(954,26))+INDIRECT(ADDRESS(952,27))-INDIRECT(ADDRESS(953,27))</f>
        <v>0</v>
      </c>
      <c r="AB954">
        <f>INDIRECT(ADDRESS(954,27))+INDIRECT(ADDRESS(952,28))-INDIRECT(ADDRESS(953,28))</f>
        <v>0</v>
      </c>
      <c r="AC954">
        <f>INDIRECT(ADDRESS(954,28))+INDIRECT(ADDRESS(952,29))-INDIRECT(ADDRESS(953,29))</f>
        <v>0</v>
      </c>
      <c r="AD954">
        <f>INDIRECT(ADDRESS(954,29))+INDIRECT(ADDRESS(952,30))-INDIRECT(ADDRESS(953,30))</f>
        <v>0</v>
      </c>
      <c r="AE954">
        <f>INDIRECT(ADDRESS(954,30))+INDIRECT(ADDRESS(952,31))-INDIRECT(ADDRESS(953,31))</f>
        <v>0</v>
      </c>
      <c r="AF954">
        <f>INDIRECT(ADDRESS(954,31))+INDIRECT(ADDRESS(952,32))-INDIRECT(ADDRESS(953,32))</f>
        <v>0</v>
      </c>
      <c r="AG954">
        <f>INDIRECT(ADDRESS(954,32))+INDIRECT(ADDRESS(952,33))-INDIRECT(ADDRESS(953,33))</f>
        <v>0</v>
      </c>
      <c r="AH954">
        <f>INDIRECT(ADDRESS(954,33))+INDIRECT(ADDRESS(952,34))-INDIRECT(ADDRESS(953,34))</f>
        <v>0</v>
      </c>
      <c r="AI954">
        <f>INDIRECT(ADDRESS(954,34))+INDIRECT(ADDRESS(952,35))-INDIRECT(ADDRESS(953,35))</f>
        <v>0</v>
      </c>
      <c r="AJ954">
        <f>INDIRECT(ADDRESS(954,35))+INDIRECT(ADDRESS(952,36))-INDIRECT(ADDRESS(953,36))</f>
        <v>0</v>
      </c>
      <c r="AK954">
        <f>INDIRECT(ADDRESS(954,36))+INDIRECT(ADDRESS(952,37))-INDIRECT(ADDRESS(953,37))</f>
        <v>0</v>
      </c>
      <c r="AL954">
        <f>INDIRECT(ADDRESS(954,37))+INDIRECT(ADDRESS(952,38))-INDIRECT(ADDRESS(953,38))</f>
        <v>0</v>
      </c>
      <c r="AM954">
        <f>INDIRECT(ADDRESS(954,38))+INDIRECT(ADDRESS(952,39))-INDIRECT(ADDRESS(953,39))</f>
        <v>0</v>
      </c>
      <c r="AN954">
        <f>INDIRECT(ADDRESS(954,39))+INDIRECT(ADDRESS(952,40))-INDIRECT(ADDRESS(953,40))</f>
        <v>0</v>
      </c>
      <c r="AO954">
        <f>SUM(INDIRECT(ADDRESS(953,8)):INDIRECT(ADDRESS(953,39)))</f>
        <v>0</v>
      </c>
    </row>
    <row r="955" spans="1:41">
      <c r="A955" t="s">
        <v>185</v>
      </c>
      <c r="B955" t="s">
        <v>489</v>
      </c>
      <c r="C955" t="s">
        <v>490</v>
      </c>
      <c r="E955">
        <v>5</v>
      </c>
      <c r="I955" t="s">
        <v>177</v>
      </c>
    </row>
    <row r="956" spans="1:41">
      <c r="I956" t="s">
        <v>178</v>
      </c>
      <c r="J956">
        <f>IFERROR(VLOOKUP("921-000000-200",B:AB,1+8,0),0)</f>
        <v>0</v>
      </c>
      <c r="K956">
        <f>IFERROR(VLOOKUP("921-000000-200",B:AB,2+8,0),0)</f>
        <v>0</v>
      </c>
      <c r="L956">
        <f>IFERROR(VLOOKUP("921-000000-200",B:AB,3+8,0),0)</f>
        <v>0</v>
      </c>
      <c r="M956">
        <f>IFERROR(VLOOKUP("921-000000-200",B:AB,4+8,0),0)</f>
        <v>0</v>
      </c>
      <c r="N956">
        <f>IFERROR(VLOOKUP("921-000000-200",B:AB,5+8,0),0)</f>
        <v>0</v>
      </c>
      <c r="O956">
        <f>IFERROR(VLOOKUP("921-000000-200",B:AB,6+8,0),0)</f>
        <v>0</v>
      </c>
      <c r="P956">
        <f>IFERROR(VLOOKUP("921-000000-200",B:AB,7+8,0),0)</f>
        <v>0</v>
      </c>
      <c r="Q956">
        <f>IFERROR(VLOOKUP("921-000000-200",B:AB,8+8,0),0)</f>
        <v>0</v>
      </c>
      <c r="R956">
        <f>IFERROR(VLOOKUP("921-000000-200",B:AB,9+8,0),0)</f>
        <v>0</v>
      </c>
      <c r="S956">
        <f>IFERROR(VLOOKUP("921-000000-200",B:AB,10+8,0),0)</f>
        <v>0</v>
      </c>
      <c r="T956">
        <f>IFERROR(VLOOKUP("921-000000-200",B:AB,11+8,0),0)</f>
        <v>0</v>
      </c>
      <c r="U956">
        <f>IFERROR(VLOOKUP("921-000000-200",B:AB,12+8,0),0)</f>
        <v>0</v>
      </c>
      <c r="V956">
        <f>IFERROR(VLOOKUP("921-000000-200",B:AB,13+8,0),0)</f>
        <v>0</v>
      </c>
      <c r="W956">
        <f>IFERROR(VLOOKUP("921-000000-200",B:AB,14+8,0),0)</f>
        <v>0</v>
      </c>
      <c r="X956">
        <f>IFERROR(VLOOKUP("921-000000-200",B:AB,15+8,0),0)</f>
        <v>0</v>
      </c>
      <c r="Y956">
        <f>IFERROR(VLOOKUP("921-000000-200",B:AB,16+8,0),0)</f>
        <v>0</v>
      </c>
      <c r="Z956">
        <f>IFERROR(VLOOKUP("921-000000-200",B:AB,17+8,0),0)</f>
        <v>0</v>
      </c>
      <c r="AA956">
        <f>IFERROR(VLOOKUP("921-000000-200",B:AB,18+8,0),0)</f>
        <v>0</v>
      </c>
      <c r="AB956">
        <f>IFERROR(VLOOKUP("921-000000-200",B:AB,19+8,0),0)</f>
        <v>0</v>
      </c>
      <c r="AC956">
        <f>IFERROR(VLOOKUP("921-000000-200",B:AB,20+8,0),0)</f>
        <v>0</v>
      </c>
      <c r="AD956">
        <f>IFERROR(VLOOKUP("921-000000-200",B:AB,21+8,0),0)</f>
        <v>0</v>
      </c>
      <c r="AE956">
        <f>IFERROR(VLOOKUP("921-000000-200",B:AB,22+8,0),0)</f>
        <v>0</v>
      </c>
      <c r="AF956">
        <f>IFERROR(VLOOKUP("921-000000-200",B:AB,23+8,0),0)</f>
        <v>0</v>
      </c>
      <c r="AG956">
        <f>IFERROR(VLOOKUP("921-000000-200",B:AB,24+8,0),0)</f>
        <v>0</v>
      </c>
      <c r="AH956">
        <f>IFERROR(VLOOKUP("921-000000-200",B:AB,25+8,0),0)</f>
        <v>0</v>
      </c>
      <c r="AI956">
        <f>IFERROR(VLOOKUP("921-000000-200",B:AB,26+8,0),0)</f>
        <v>0</v>
      </c>
      <c r="AJ956">
        <f>IFERROR(VLOOKUP("921-000000-200",B:AB,27+8,0),0)</f>
        <v>0</v>
      </c>
      <c r="AK956">
        <f>IFERROR(VLOOKUP("921-000000-200",B:AB,28+8,0),0)</f>
        <v>0</v>
      </c>
      <c r="AL956">
        <f>IFERROR(VLOOKUP("921-000000-200",B:AB,29+8,0),0)</f>
        <v>0</v>
      </c>
      <c r="AM956">
        <f>IFERROR(VLOOKUP("921-000000-200",B:AB,30+8,0),0)</f>
        <v>0</v>
      </c>
      <c r="AN956">
        <f>IFERROR(VLOOKUP("921-000000-200",B:AB,31+8,0),0)</f>
        <v>0</v>
      </c>
      <c r="AO956">
        <f>SUN(INDIRECT(ADDRESS(955,8)):INDIRECT(ADDRESS(955,39)))</f>
        <v>0</v>
      </c>
    </row>
    <row r="957" spans="1:41">
      <c r="H957" t="s">
        <v>179</v>
      </c>
      <c r="J957">
        <f>INDIRECT(ADDRESS(957,9))+INDIRECT(ADDRESS(955,10))-INDIRECT(ADDRESS(956,10))</f>
        <v>0</v>
      </c>
      <c r="K957">
        <f>INDIRECT(ADDRESS(957,10))+INDIRECT(ADDRESS(955,11))-INDIRECT(ADDRESS(956,11))</f>
        <v>0</v>
      </c>
      <c r="L957">
        <f>INDIRECT(ADDRESS(957,11))+INDIRECT(ADDRESS(955,12))-INDIRECT(ADDRESS(956,12))</f>
        <v>0</v>
      </c>
      <c r="M957">
        <f>INDIRECT(ADDRESS(957,12))+INDIRECT(ADDRESS(955,13))-INDIRECT(ADDRESS(956,13))</f>
        <v>0</v>
      </c>
      <c r="N957">
        <f>INDIRECT(ADDRESS(957,13))+INDIRECT(ADDRESS(955,14))-INDIRECT(ADDRESS(956,14))</f>
        <v>0</v>
      </c>
      <c r="O957">
        <f>INDIRECT(ADDRESS(957,14))+INDIRECT(ADDRESS(955,15))-INDIRECT(ADDRESS(956,15))</f>
        <v>0</v>
      </c>
      <c r="P957">
        <f>INDIRECT(ADDRESS(957,15))+INDIRECT(ADDRESS(955,16))-INDIRECT(ADDRESS(956,16))</f>
        <v>0</v>
      </c>
      <c r="Q957">
        <f>INDIRECT(ADDRESS(957,16))+INDIRECT(ADDRESS(955,17))-INDIRECT(ADDRESS(956,17))</f>
        <v>0</v>
      </c>
      <c r="R957">
        <f>INDIRECT(ADDRESS(957,17))+INDIRECT(ADDRESS(955,18))-INDIRECT(ADDRESS(956,18))</f>
        <v>0</v>
      </c>
      <c r="S957">
        <f>INDIRECT(ADDRESS(957,18))+INDIRECT(ADDRESS(955,19))-INDIRECT(ADDRESS(956,19))</f>
        <v>0</v>
      </c>
      <c r="T957">
        <f>INDIRECT(ADDRESS(957,19))+INDIRECT(ADDRESS(955,20))-INDIRECT(ADDRESS(956,20))</f>
        <v>0</v>
      </c>
      <c r="U957">
        <f>INDIRECT(ADDRESS(957,20))+INDIRECT(ADDRESS(955,21))-INDIRECT(ADDRESS(956,21))</f>
        <v>0</v>
      </c>
      <c r="V957">
        <f>INDIRECT(ADDRESS(957,21))+INDIRECT(ADDRESS(955,22))-INDIRECT(ADDRESS(956,22))</f>
        <v>0</v>
      </c>
      <c r="W957">
        <f>INDIRECT(ADDRESS(957,22))+INDIRECT(ADDRESS(955,23))-INDIRECT(ADDRESS(956,23))</f>
        <v>0</v>
      </c>
      <c r="X957">
        <f>INDIRECT(ADDRESS(957,23))+INDIRECT(ADDRESS(955,24))-INDIRECT(ADDRESS(956,24))</f>
        <v>0</v>
      </c>
      <c r="Y957">
        <f>INDIRECT(ADDRESS(957,24))+INDIRECT(ADDRESS(955,25))-INDIRECT(ADDRESS(956,25))</f>
        <v>0</v>
      </c>
      <c r="Z957">
        <f>INDIRECT(ADDRESS(957,25))+INDIRECT(ADDRESS(955,26))-INDIRECT(ADDRESS(956,26))</f>
        <v>0</v>
      </c>
      <c r="AA957">
        <f>INDIRECT(ADDRESS(957,26))+INDIRECT(ADDRESS(955,27))-INDIRECT(ADDRESS(956,27))</f>
        <v>0</v>
      </c>
      <c r="AB957">
        <f>INDIRECT(ADDRESS(957,27))+INDIRECT(ADDRESS(955,28))-INDIRECT(ADDRESS(956,28))</f>
        <v>0</v>
      </c>
      <c r="AC957">
        <f>INDIRECT(ADDRESS(957,28))+INDIRECT(ADDRESS(955,29))-INDIRECT(ADDRESS(956,29))</f>
        <v>0</v>
      </c>
      <c r="AD957">
        <f>INDIRECT(ADDRESS(957,29))+INDIRECT(ADDRESS(955,30))-INDIRECT(ADDRESS(956,30))</f>
        <v>0</v>
      </c>
      <c r="AE957">
        <f>INDIRECT(ADDRESS(957,30))+INDIRECT(ADDRESS(955,31))-INDIRECT(ADDRESS(956,31))</f>
        <v>0</v>
      </c>
      <c r="AF957">
        <f>INDIRECT(ADDRESS(957,31))+INDIRECT(ADDRESS(955,32))-INDIRECT(ADDRESS(956,32))</f>
        <v>0</v>
      </c>
      <c r="AG957">
        <f>INDIRECT(ADDRESS(957,32))+INDIRECT(ADDRESS(955,33))-INDIRECT(ADDRESS(956,33))</f>
        <v>0</v>
      </c>
      <c r="AH957">
        <f>INDIRECT(ADDRESS(957,33))+INDIRECT(ADDRESS(955,34))-INDIRECT(ADDRESS(956,34))</f>
        <v>0</v>
      </c>
      <c r="AI957">
        <f>INDIRECT(ADDRESS(957,34))+INDIRECT(ADDRESS(955,35))-INDIRECT(ADDRESS(956,35))</f>
        <v>0</v>
      </c>
      <c r="AJ957">
        <f>INDIRECT(ADDRESS(957,35))+INDIRECT(ADDRESS(955,36))-INDIRECT(ADDRESS(956,36))</f>
        <v>0</v>
      </c>
      <c r="AK957">
        <f>INDIRECT(ADDRESS(957,36))+INDIRECT(ADDRESS(955,37))-INDIRECT(ADDRESS(956,37))</f>
        <v>0</v>
      </c>
      <c r="AL957">
        <f>INDIRECT(ADDRESS(957,37))+INDIRECT(ADDRESS(955,38))-INDIRECT(ADDRESS(956,38))</f>
        <v>0</v>
      </c>
      <c r="AM957">
        <f>INDIRECT(ADDRESS(957,38))+INDIRECT(ADDRESS(955,39))-INDIRECT(ADDRESS(956,39))</f>
        <v>0</v>
      </c>
      <c r="AN957">
        <f>INDIRECT(ADDRESS(957,39))+INDIRECT(ADDRESS(955,40))-INDIRECT(ADDRESS(956,40))</f>
        <v>0</v>
      </c>
      <c r="AO957">
        <f>SUM(INDIRECT(ADDRESS(956,8)):INDIRECT(ADDRESS(956,39)))</f>
        <v>0</v>
      </c>
    </row>
    <row r="958" spans="1:41">
      <c r="A958" t="s">
        <v>185</v>
      </c>
      <c r="B958" t="s">
        <v>453</v>
      </c>
      <c r="C958" t="s">
        <v>454</v>
      </c>
      <c r="E958">
        <v>1</v>
      </c>
      <c r="I958" t="s">
        <v>177</v>
      </c>
    </row>
    <row r="959" spans="1:41">
      <c r="I959" t="s">
        <v>178</v>
      </c>
      <c r="J959">
        <f>IFERROR(VLOOKUP("921-000000-200",B:AB,1+8,0),0)</f>
        <v>0</v>
      </c>
      <c r="K959">
        <f>IFERROR(VLOOKUP("921-000000-200",B:AB,2+8,0),0)</f>
        <v>0</v>
      </c>
      <c r="L959">
        <f>IFERROR(VLOOKUP("921-000000-200",B:AB,3+8,0),0)</f>
        <v>0</v>
      </c>
      <c r="M959">
        <f>IFERROR(VLOOKUP("921-000000-200",B:AB,4+8,0),0)</f>
        <v>0</v>
      </c>
      <c r="N959">
        <f>IFERROR(VLOOKUP("921-000000-200",B:AB,5+8,0),0)</f>
        <v>0</v>
      </c>
      <c r="O959">
        <f>IFERROR(VLOOKUP("921-000000-200",B:AB,6+8,0),0)</f>
        <v>0</v>
      </c>
      <c r="P959">
        <f>IFERROR(VLOOKUP("921-000000-200",B:AB,7+8,0),0)</f>
        <v>0</v>
      </c>
      <c r="Q959">
        <f>IFERROR(VLOOKUP("921-000000-200",B:AB,8+8,0),0)</f>
        <v>0</v>
      </c>
      <c r="R959">
        <f>IFERROR(VLOOKUP("921-000000-200",B:AB,9+8,0),0)</f>
        <v>0</v>
      </c>
      <c r="S959">
        <f>IFERROR(VLOOKUP("921-000000-200",B:AB,10+8,0),0)</f>
        <v>0</v>
      </c>
      <c r="T959">
        <f>IFERROR(VLOOKUP("921-000000-200",B:AB,11+8,0),0)</f>
        <v>0</v>
      </c>
      <c r="U959">
        <f>IFERROR(VLOOKUP("921-000000-200",B:AB,12+8,0),0)</f>
        <v>0</v>
      </c>
      <c r="V959">
        <f>IFERROR(VLOOKUP("921-000000-200",B:AB,13+8,0),0)</f>
        <v>0</v>
      </c>
      <c r="W959">
        <f>IFERROR(VLOOKUP("921-000000-200",B:AB,14+8,0),0)</f>
        <v>0</v>
      </c>
      <c r="X959">
        <f>IFERROR(VLOOKUP("921-000000-200",B:AB,15+8,0),0)</f>
        <v>0</v>
      </c>
      <c r="Y959">
        <f>IFERROR(VLOOKUP("921-000000-200",B:AB,16+8,0),0)</f>
        <v>0</v>
      </c>
      <c r="Z959">
        <f>IFERROR(VLOOKUP("921-000000-200",B:AB,17+8,0),0)</f>
        <v>0</v>
      </c>
      <c r="AA959">
        <f>IFERROR(VLOOKUP("921-000000-200",B:AB,18+8,0),0)</f>
        <v>0</v>
      </c>
      <c r="AB959">
        <f>IFERROR(VLOOKUP("921-000000-200",B:AB,19+8,0),0)</f>
        <v>0</v>
      </c>
      <c r="AC959">
        <f>IFERROR(VLOOKUP("921-000000-200",B:AB,20+8,0),0)</f>
        <v>0</v>
      </c>
      <c r="AD959">
        <f>IFERROR(VLOOKUP("921-000000-200",B:AB,21+8,0),0)</f>
        <v>0</v>
      </c>
      <c r="AE959">
        <f>IFERROR(VLOOKUP("921-000000-200",B:AB,22+8,0),0)</f>
        <v>0</v>
      </c>
      <c r="AF959">
        <f>IFERROR(VLOOKUP("921-000000-200",B:AB,23+8,0),0)</f>
        <v>0</v>
      </c>
      <c r="AG959">
        <f>IFERROR(VLOOKUP("921-000000-200",B:AB,24+8,0),0)</f>
        <v>0</v>
      </c>
      <c r="AH959">
        <f>IFERROR(VLOOKUP("921-000000-200",B:AB,25+8,0),0)</f>
        <v>0</v>
      </c>
      <c r="AI959">
        <f>IFERROR(VLOOKUP("921-000000-200",B:AB,26+8,0),0)</f>
        <v>0</v>
      </c>
      <c r="AJ959">
        <f>IFERROR(VLOOKUP("921-000000-200",B:AB,27+8,0),0)</f>
        <v>0</v>
      </c>
      <c r="AK959">
        <f>IFERROR(VLOOKUP("921-000000-200",B:AB,28+8,0),0)</f>
        <v>0</v>
      </c>
      <c r="AL959">
        <f>IFERROR(VLOOKUP("921-000000-200",B:AB,29+8,0),0)</f>
        <v>0</v>
      </c>
      <c r="AM959">
        <f>IFERROR(VLOOKUP("921-000000-200",B:AB,30+8,0),0)</f>
        <v>0</v>
      </c>
      <c r="AN959">
        <f>IFERROR(VLOOKUP("921-000000-200",B:AB,31+8,0),0)</f>
        <v>0</v>
      </c>
      <c r="AO959">
        <f>SUN(INDIRECT(ADDRESS(958,8)):INDIRECT(ADDRESS(958,39)))</f>
        <v>0</v>
      </c>
    </row>
    <row r="960" spans="1:41">
      <c r="H960" t="s">
        <v>179</v>
      </c>
      <c r="J960">
        <f>INDIRECT(ADDRESS(960,9))+INDIRECT(ADDRESS(958,10))-INDIRECT(ADDRESS(959,10))</f>
        <v>0</v>
      </c>
      <c r="K960">
        <f>INDIRECT(ADDRESS(960,10))+INDIRECT(ADDRESS(958,11))-INDIRECT(ADDRESS(959,11))</f>
        <v>0</v>
      </c>
      <c r="L960">
        <f>INDIRECT(ADDRESS(960,11))+INDIRECT(ADDRESS(958,12))-INDIRECT(ADDRESS(959,12))</f>
        <v>0</v>
      </c>
      <c r="M960">
        <f>INDIRECT(ADDRESS(960,12))+INDIRECT(ADDRESS(958,13))-INDIRECT(ADDRESS(959,13))</f>
        <v>0</v>
      </c>
      <c r="N960">
        <f>INDIRECT(ADDRESS(960,13))+INDIRECT(ADDRESS(958,14))-INDIRECT(ADDRESS(959,14))</f>
        <v>0</v>
      </c>
      <c r="O960">
        <f>INDIRECT(ADDRESS(960,14))+INDIRECT(ADDRESS(958,15))-INDIRECT(ADDRESS(959,15))</f>
        <v>0</v>
      </c>
      <c r="P960">
        <f>INDIRECT(ADDRESS(960,15))+INDIRECT(ADDRESS(958,16))-INDIRECT(ADDRESS(959,16))</f>
        <v>0</v>
      </c>
      <c r="Q960">
        <f>INDIRECT(ADDRESS(960,16))+INDIRECT(ADDRESS(958,17))-INDIRECT(ADDRESS(959,17))</f>
        <v>0</v>
      </c>
      <c r="R960">
        <f>INDIRECT(ADDRESS(960,17))+INDIRECT(ADDRESS(958,18))-INDIRECT(ADDRESS(959,18))</f>
        <v>0</v>
      </c>
      <c r="S960">
        <f>INDIRECT(ADDRESS(960,18))+INDIRECT(ADDRESS(958,19))-INDIRECT(ADDRESS(959,19))</f>
        <v>0</v>
      </c>
      <c r="T960">
        <f>INDIRECT(ADDRESS(960,19))+INDIRECT(ADDRESS(958,20))-INDIRECT(ADDRESS(959,20))</f>
        <v>0</v>
      </c>
      <c r="U960">
        <f>INDIRECT(ADDRESS(960,20))+INDIRECT(ADDRESS(958,21))-INDIRECT(ADDRESS(959,21))</f>
        <v>0</v>
      </c>
      <c r="V960">
        <f>INDIRECT(ADDRESS(960,21))+INDIRECT(ADDRESS(958,22))-INDIRECT(ADDRESS(959,22))</f>
        <v>0</v>
      </c>
      <c r="W960">
        <f>INDIRECT(ADDRESS(960,22))+INDIRECT(ADDRESS(958,23))-INDIRECT(ADDRESS(959,23))</f>
        <v>0</v>
      </c>
      <c r="X960">
        <f>INDIRECT(ADDRESS(960,23))+INDIRECT(ADDRESS(958,24))-INDIRECT(ADDRESS(959,24))</f>
        <v>0</v>
      </c>
      <c r="Y960">
        <f>INDIRECT(ADDRESS(960,24))+INDIRECT(ADDRESS(958,25))-INDIRECT(ADDRESS(959,25))</f>
        <v>0</v>
      </c>
      <c r="Z960">
        <f>INDIRECT(ADDRESS(960,25))+INDIRECT(ADDRESS(958,26))-INDIRECT(ADDRESS(959,26))</f>
        <v>0</v>
      </c>
      <c r="AA960">
        <f>INDIRECT(ADDRESS(960,26))+INDIRECT(ADDRESS(958,27))-INDIRECT(ADDRESS(959,27))</f>
        <v>0</v>
      </c>
      <c r="AB960">
        <f>INDIRECT(ADDRESS(960,27))+INDIRECT(ADDRESS(958,28))-INDIRECT(ADDRESS(959,28))</f>
        <v>0</v>
      </c>
      <c r="AC960">
        <f>INDIRECT(ADDRESS(960,28))+INDIRECT(ADDRESS(958,29))-INDIRECT(ADDRESS(959,29))</f>
        <v>0</v>
      </c>
      <c r="AD960">
        <f>INDIRECT(ADDRESS(960,29))+INDIRECT(ADDRESS(958,30))-INDIRECT(ADDRESS(959,30))</f>
        <v>0</v>
      </c>
      <c r="AE960">
        <f>INDIRECT(ADDRESS(960,30))+INDIRECT(ADDRESS(958,31))-INDIRECT(ADDRESS(959,31))</f>
        <v>0</v>
      </c>
      <c r="AF960">
        <f>INDIRECT(ADDRESS(960,31))+INDIRECT(ADDRESS(958,32))-INDIRECT(ADDRESS(959,32))</f>
        <v>0</v>
      </c>
      <c r="AG960">
        <f>INDIRECT(ADDRESS(960,32))+INDIRECT(ADDRESS(958,33))-INDIRECT(ADDRESS(959,33))</f>
        <v>0</v>
      </c>
      <c r="AH960">
        <f>INDIRECT(ADDRESS(960,33))+INDIRECT(ADDRESS(958,34))-INDIRECT(ADDRESS(959,34))</f>
        <v>0</v>
      </c>
      <c r="AI960">
        <f>INDIRECT(ADDRESS(960,34))+INDIRECT(ADDRESS(958,35))-INDIRECT(ADDRESS(959,35))</f>
        <v>0</v>
      </c>
      <c r="AJ960">
        <f>INDIRECT(ADDRESS(960,35))+INDIRECT(ADDRESS(958,36))-INDIRECT(ADDRESS(959,36))</f>
        <v>0</v>
      </c>
      <c r="AK960">
        <f>INDIRECT(ADDRESS(960,36))+INDIRECT(ADDRESS(958,37))-INDIRECT(ADDRESS(959,37))</f>
        <v>0</v>
      </c>
      <c r="AL960">
        <f>INDIRECT(ADDRESS(960,37))+INDIRECT(ADDRESS(958,38))-INDIRECT(ADDRESS(959,38))</f>
        <v>0</v>
      </c>
      <c r="AM960">
        <f>INDIRECT(ADDRESS(960,38))+INDIRECT(ADDRESS(958,39))-INDIRECT(ADDRESS(959,39))</f>
        <v>0</v>
      </c>
      <c r="AN960">
        <f>INDIRECT(ADDRESS(960,39))+INDIRECT(ADDRESS(958,40))-INDIRECT(ADDRESS(959,40))</f>
        <v>0</v>
      </c>
      <c r="AO960">
        <f>SUM(INDIRECT(ADDRESS(959,8)):INDIRECT(ADDRESS(959,39)))</f>
        <v>0</v>
      </c>
    </row>
    <row r="961" spans="1:41">
      <c r="A961" t="s">
        <v>185</v>
      </c>
      <c r="B961" t="s">
        <v>491</v>
      </c>
      <c r="C961" t="s">
        <v>492</v>
      </c>
      <c r="E961">
        <v>1</v>
      </c>
      <c r="I961" t="s">
        <v>177</v>
      </c>
    </row>
    <row r="962" spans="1:41">
      <c r="I962" t="s">
        <v>178</v>
      </c>
      <c r="J962">
        <f>IFERROR(VLOOKUP("921-000000-200",B:AB,1+8,0),0)</f>
        <v>0</v>
      </c>
      <c r="K962">
        <f>IFERROR(VLOOKUP("921-000000-200",B:AB,2+8,0),0)</f>
        <v>0</v>
      </c>
      <c r="L962">
        <f>IFERROR(VLOOKUP("921-000000-200",B:AB,3+8,0),0)</f>
        <v>0</v>
      </c>
      <c r="M962">
        <f>IFERROR(VLOOKUP("921-000000-200",B:AB,4+8,0),0)</f>
        <v>0</v>
      </c>
      <c r="N962">
        <f>IFERROR(VLOOKUP("921-000000-200",B:AB,5+8,0),0)</f>
        <v>0</v>
      </c>
      <c r="O962">
        <f>IFERROR(VLOOKUP("921-000000-200",B:AB,6+8,0),0)</f>
        <v>0</v>
      </c>
      <c r="P962">
        <f>IFERROR(VLOOKUP("921-000000-200",B:AB,7+8,0),0)</f>
        <v>0</v>
      </c>
      <c r="Q962">
        <f>IFERROR(VLOOKUP("921-000000-200",B:AB,8+8,0),0)</f>
        <v>0</v>
      </c>
      <c r="R962">
        <f>IFERROR(VLOOKUP("921-000000-200",B:AB,9+8,0),0)</f>
        <v>0</v>
      </c>
      <c r="S962">
        <f>IFERROR(VLOOKUP("921-000000-200",B:AB,10+8,0),0)</f>
        <v>0</v>
      </c>
      <c r="T962">
        <f>IFERROR(VLOOKUP("921-000000-200",B:AB,11+8,0),0)</f>
        <v>0</v>
      </c>
      <c r="U962">
        <f>IFERROR(VLOOKUP("921-000000-200",B:AB,12+8,0),0)</f>
        <v>0</v>
      </c>
      <c r="V962">
        <f>IFERROR(VLOOKUP("921-000000-200",B:AB,13+8,0),0)</f>
        <v>0</v>
      </c>
      <c r="W962">
        <f>IFERROR(VLOOKUP("921-000000-200",B:AB,14+8,0),0)</f>
        <v>0</v>
      </c>
      <c r="X962">
        <f>IFERROR(VLOOKUP("921-000000-200",B:AB,15+8,0),0)</f>
        <v>0</v>
      </c>
      <c r="Y962">
        <f>IFERROR(VLOOKUP("921-000000-200",B:AB,16+8,0),0)</f>
        <v>0</v>
      </c>
      <c r="Z962">
        <f>IFERROR(VLOOKUP("921-000000-200",B:AB,17+8,0),0)</f>
        <v>0</v>
      </c>
      <c r="AA962">
        <f>IFERROR(VLOOKUP("921-000000-200",B:AB,18+8,0),0)</f>
        <v>0</v>
      </c>
      <c r="AB962">
        <f>IFERROR(VLOOKUP("921-000000-200",B:AB,19+8,0),0)</f>
        <v>0</v>
      </c>
      <c r="AC962">
        <f>IFERROR(VLOOKUP("921-000000-200",B:AB,20+8,0),0)</f>
        <v>0</v>
      </c>
      <c r="AD962">
        <f>IFERROR(VLOOKUP("921-000000-200",B:AB,21+8,0),0)</f>
        <v>0</v>
      </c>
      <c r="AE962">
        <f>IFERROR(VLOOKUP("921-000000-200",B:AB,22+8,0),0)</f>
        <v>0</v>
      </c>
      <c r="AF962">
        <f>IFERROR(VLOOKUP("921-000000-200",B:AB,23+8,0),0)</f>
        <v>0</v>
      </c>
      <c r="AG962">
        <f>IFERROR(VLOOKUP("921-000000-200",B:AB,24+8,0),0)</f>
        <v>0</v>
      </c>
      <c r="AH962">
        <f>IFERROR(VLOOKUP("921-000000-200",B:AB,25+8,0),0)</f>
        <v>0</v>
      </c>
      <c r="AI962">
        <f>IFERROR(VLOOKUP("921-000000-200",B:AB,26+8,0),0)</f>
        <v>0</v>
      </c>
      <c r="AJ962">
        <f>IFERROR(VLOOKUP("921-000000-200",B:AB,27+8,0),0)</f>
        <v>0</v>
      </c>
      <c r="AK962">
        <f>IFERROR(VLOOKUP("921-000000-200",B:AB,28+8,0),0)</f>
        <v>0</v>
      </c>
      <c r="AL962">
        <f>IFERROR(VLOOKUP("921-000000-200",B:AB,29+8,0),0)</f>
        <v>0</v>
      </c>
      <c r="AM962">
        <f>IFERROR(VLOOKUP("921-000000-200",B:AB,30+8,0),0)</f>
        <v>0</v>
      </c>
      <c r="AN962">
        <f>IFERROR(VLOOKUP("921-000000-200",B:AB,31+8,0),0)</f>
        <v>0</v>
      </c>
      <c r="AO962">
        <f>SUN(INDIRECT(ADDRESS(961,8)):INDIRECT(ADDRESS(961,39)))</f>
        <v>0</v>
      </c>
    </row>
    <row r="963" spans="1:41">
      <c r="H963" t="s">
        <v>179</v>
      </c>
      <c r="J963">
        <f>INDIRECT(ADDRESS(963,9))+INDIRECT(ADDRESS(961,10))-INDIRECT(ADDRESS(962,10))</f>
        <v>0</v>
      </c>
      <c r="K963">
        <f>INDIRECT(ADDRESS(963,10))+INDIRECT(ADDRESS(961,11))-INDIRECT(ADDRESS(962,11))</f>
        <v>0</v>
      </c>
      <c r="L963">
        <f>INDIRECT(ADDRESS(963,11))+INDIRECT(ADDRESS(961,12))-INDIRECT(ADDRESS(962,12))</f>
        <v>0</v>
      </c>
      <c r="M963">
        <f>INDIRECT(ADDRESS(963,12))+INDIRECT(ADDRESS(961,13))-INDIRECT(ADDRESS(962,13))</f>
        <v>0</v>
      </c>
      <c r="N963">
        <f>INDIRECT(ADDRESS(963,13))+INDIRECT(ADDRESS(961,14))-INDIRECT(ADDRESS(962,14))</f>
        <v>0</v>
      </c>
      <c r="O963">
        <f>INDIRECT(ADDRESS(963,14))+INDIRECT(ADDRESS(961,15))-INDIRECT(ADDRESS(962,15))</f>
        <v>0</v>
      </c>
      <c r="P963">
        <f>INDIRECT(ADDRESS(963,15))+INDIRECT(ADDRESS(961,16))-INDIRECT(ADDRESS(962,16))</f>
        <v>0</v>
      </c>
      <c r="Q963">
        <f>INDIRECT(ADDRESS(963,16))+INDIRECT(ADDRESS(961,17))-INDIRECT(ADDRESS(962,17))</f>
        <v>0</v>
      </c>
      <c r="R963">
        <f>INDIRECT(ADDRESS(963,17))+INDIRECT(ADDRESS(961,18))-INDIRECT(ADDRESS(962,18))</f>
        <v>0</v>
      </c>
      <c r="S963">
        <f>INDIRECT(ADDRESS(963,18))+INDIRECT(ADDRESS(961,19))-INDIRECT(ADDRESS(962,19))</f>
        <v>0</v>
      </c>
      <c r="T963">
        <f>INDIRECT(ADDRESS(963,19))+INDIRECT(ADDRESS(961,20))-INDIRECT(ADDRESS(962,20))</f>
        <v>0</v>
      </c>
      <c r="U963">
        <f>INDIRECT(ADDRESS(963,20))+INDIRECT(ADDRESS(961,21))-INDIRECT(ADDRESS(962,21))</f>
        <v>0</v>
      </c>
      <c r="V963">
        <f>INDIRECT(ADDRESS(963,21))+INDIRECT(ADDRESS(961,22))-INDIRECT(ADDRESS(962,22))</f>
        <v>0</v>
      </c>
      <c r="W963">
        <f>INDIRECT(ADDRESS(963,22))+INDIRECT(ADDRESS(961,23))-INDIRECT(ADDRESS(962,23))</f>
        <v>0</v>
      </c>
      <c r="X963">
        <f>INDIRECT(ADDRESS(963,23))+INDIRECT(ADDRESS(961,24))-INDIRECT(ADDRESS(962,24))</f>
        <v>0</v>
      </c>
      <c r="Y963">
        <f>INDIRECT(ADDRESS(963,24))+INDIRECT(ADDRESS(961,25))-INDIRECT(ADDRESS(962,25))</f>
        <v>0</v>
      </c>
      <c r="Z963">
        <f>INDIRECT(ADDRESS(963,25))+INDIRECT(ADDRESS(961,26))-INDIRECT(ADDRESS(962,26))</f>
        <v>0</v>
      </c>
      <c r="AA963">
        <f>INDIRECT(ADDRESS(963,26))+INDIRECT(ADDRESS(961,27))-INDIRECT(ADDRESS(962,27))</f>
        <v>0</v>
      </c>
      <c r="AB963">
        <f>INDIRECT(ADDRESS(963,27))+INDIRECT(ADDRESS(961,28))-INDIRECT(ADDRESS(962,28))</f>
        <v>0</v>
      </c>
      <c r="AC963">
        <f>INDIRECT(ADDRESS(963,28))+INDIRECT(ADDRESS(961,29))-INDIRECT(ADDRESS(962,29))</f>
        <v>0</v>
      </c>
      <c r="AD963">
        <f>INDIRECT(ADDRESS(963,29))+INDIRECT(ADDRESS(961,30))-INDIRECT(ADDRESS(962,30))</f>
        <v>0</v>
      </c>
      <c r="AE963">
        <f>INDIRECT(ADDRESS(963,30))+INDIRECT(ADDRESS(961,31))-INDIRECT(ADDRESS(962,31))</f>
        <v>0</v>
      </c>
      <c r="AF963">
        <f>INDIRECT(ADDRESS(963,31))+INDIRECT(ADDRESS(961,32))-INDIRECT(ADDRESS(962,32))</f>
        <v>0</v>
      </c>
      <c r="AG963">
        <f>INDIRECT(ADDRESS(963,32))+INDIRECT(ADDRESS(961,33))-INDIRECT(ADDRESS(962,33))</f>
        <v>0</v>
      </c>
      <c r="AH963">
        <f>INDIRECT(ADDRESS(963,33))+INDIRECT(ADDRESS(961,34))-INDIRECT(ADDRESS(962,34))</f>
        <v>0</v>
      </c>
      <c r="AI963">
        <f>INDIRECT(ADDRESS(963,34))+INDIRECT(ADDRESS(961,35))-INDIRECT(ADDRESS(962,35))</f>
        <v>0</v>
      </c>
      <c r="AJ963">
        <f>INDIRECT(ADDRESS(963,35))+INDIRECT(ADDRESS(961,36))-INDIRECT(ADDRESS(962,36))</f>
        <v>0</v>
      </c>
      <c r="AK963">
        <f>INDIRECT(ADDRESS(963,36))+INDIRECT(ADDRESS(961,37))-INDIRECT(ADDRESS(962,37))</f>
        <v>0</v>
      </c>
      <c r="AL963">
        <f>INDIRECT(ADDRESS(963,37))+INDIRECT(ADDRESS(961,38))-INDIRECT(ADDRESS(962,38))</f>
        <v>0</v>
      </c>
      <c r="AM963">
        <f>INDIRECT(ADDRESS(963,38))+INDIRECT(ADDRESS(961,39))-INDIRECT(ADDRESS(962,39))</f>
        <v>0</v>
      </c>
      <c r="AN963">
        <f>INDIRECT(ADDRESS(963,39))+INDIRECT(ADDRESS(961,40))-INDIRECT(ADDRESS(962,40))</f>
        <v>0</v>
      </c>
      <c r="AO963">
        <f>SUM(INDIRECT(ADDRESS(962,8)):INDIRECT(ADDRESS(962,39)))</f>
        <v>0</v>
      </c>
    </row>
    <row r="964" spans="1:41">
      <c r="A964" t="s">
        <v>185</v>
      </c>
      <c r="B964" t="s">
        <v>493</v>
      </c>
      <c r="C964" t="s">
        <v>494</v>
      </c>
      <c r="E964">
        <v>1</v>
      </c>
      <c r="I964" t="s">
        <v>177</v>
      </c>
    </row>
    <row r="965" spans="1:41">
      <c r="I965" t="s">
        <v>178</v>
      </c>
      <c r="J965">
        <f>IFERROR(VLOOKUP("921-000000-200",B:AB,1+8,0),0)</f>
        <v>0</v>
      </c>
      <c r="K965">
        <f>IFERROR(VLOOKUP("921-000000-200",B:AB,2+8,0),0)</f>
        <v>0</v>
      </c>
      <c r="L965">
        <f>IFERROR(VLOOKUP("921-000000-200",B:AB,3+8,0),0)</f>
        <v>0</v>
      </c>
      <c r="M965">
        <f>IFERROR(VLOOKUP("921-000000-200",B:AB,4+8,0),0)</f>
        <v>0</v>
      </c>
      <c r="N965">
        <f>IFERROR(VLOOKUP("921-000000-200",B:AB,5+8,0),0)</f>
        <v>0</v>
      </c>
      <c r="O965">
        <f>IFERROR(VLOOKUP("921-000000-200",B:AB,6+8,0),0)</f>
        <v>0</v>
      </c>
      <c r="P965">
        <f>IFERROR(VLOOKUP("921-000000-200",B:AB,7+8,0),0)</f>
        <v>0</v>
      </c>
      <c r="Q965">
        <f>IFERROR(VLOOKUP("921-000000-200",B:AB,8+8,0),0)</f>
        <v>0</v>
      </c>
      <c r="R965">
        <f>IFERROR(VLOOKUP("921-000000-200",B:AB,9+8,0),0)</f>
        <v>0</v>
      </c>
      <c r="S965">
        <f>IFERROR(VLOOKUP("921-000000-200",B:AB,10+8,0),0)</f>
        <v>0</v>
      </c>
      <c r="T965">
        <f>IFERROR(VLOOKUP("921-000000-200",B:AB,11+8,0),0)</f>
        <v>0</v>
      </c>
      <c r="U965">
        <f>IFERROR(VLOOKUP("921-000000-200",B:AB,12+8,0),0)</f>
        <v>0</v>
      </c>
      <c r="V965">
        <f>IFERROR(VLOOKUP("921-000000-200",B:AB,13+8,0),0)</f>
        <v>0</v>
      </c>
      <c r="W965">
        <f>IFERROR(VLOOKUP("921-000000-200",B:AB,14+8,0),0)</f>
        <v>0</v>
      </c>
      <c r="X965">
        <f>IFERROR(VLOOKUP("921-000000-200",B:AB,15+8,0),0)</f>
        <v>0</v>
      </c>
      <c r="Y965">
        <f>IFERROR(VLOOKUP("921-000000-200",B:AB,16+8,0),0)</f>
        <v>0</v>
      </c>
      <c r="Z965">
        <f>IFERROR(VLOOKUP("921-000000-200",B:AB,17+8,0),0)</f>
        <v>0</v>
      </c>
      <c r="AA965">
        <f>IFERROR(VLOOKUP("921-000000-200",B:AB,18+8,0),0)</f>
        <v>0</v>
      </c>
      <c r="AB965">
        <f>IFERROR(VLOOKUP("921-000000-200",B:AB,19+8,0),0)</f>
        <v>0</v>
      </c>
      <c r="AC965">
        <f>IFERROR(VLOOKUP("921-000000-200",B:AB,20+8,0),0)</f>
        <v>0</v>
      </c>
      <c r="AD965">
        <f>IFERROR(VLOOKUP("921-000000-200",B:AB,21+8,0),0)</f>
        <v>0</v>
      </c>
      <c r="AE965">
        <f>IFERROR(VLOOKUP("921-000000-200",B:AB,22+8,0),0)</f>
        <v>0</v>
      </c>
      <c r="AF965">
        <f>IFERROR(VLOOKUP("921-000000-200",B:AB,23+8,0),0)</f>
        <v>0</v>
      </c>
      <c r="AG965">
        <f>IFERROR(VLOOKUP("921-000000-200",B:AB,24+8,0),0)</f>
        <v>0</v>
      </c>
      <c r="AH965">
        <f>IFERROR(VLOOKUP("921-000000-200",B:AB,25+8,0),0)</f>
        <v>0</v>
      </c>
      <c r="AI965">
        <f>IFERROR(VLOOKUP("921-000000-200",B:AB,26+8,0),0)</f>
        <v>0</v>
      </c>
      <c r="AJ965">
        <f>IFERROR(VLOOKUP("921-000000-200",B:AB,27+8,0),0)</f>
        <v>0</v>
      </c>
      <c r="AK965">
        <f>IFERROR(VLOOKUP("921-000000-200",B:AB,28+8,0),0)</f>
        <v>0</v>
      </c>
      <c r="AL965">
        <f>IFERROR(VLOOKUP("921-000000-200",B:AB,29+8,0),0)</f>
        <v>0</v>
      </c>
      <c r="AM965">
        <f>IFERROR(VLOOKUP("921-000000-200",B:AB,30+8,0),0)</f>
        <v>0</v>
      </c>
      <c r="AN965">
        <f>IFERROR(VLOOKUP("921-000000-200",B:AB,31+8,0),0)</f>
        <v>0</v>
      </c>
      <c r="AO965">
        <f>SUN(INDIRECT(ADDRESS(964,8)):INDIRECT(ADDRESS(964,39)))</f>
        <v>0</v>
      </c>
    </row>
    <row r="966" spans="1:41">
      <c r="H966" t="s">
        <v>179</v>
      </c>
      <c r="J966">
        <f>INDIRECT(ADDRESS(966,9))+INDIRECT(ADDRESS(964,10))-INDIRECT(ADDRESS(965,10))</f>
        <v>0</v>
      </c>
      <c r="K966">
        <f>INDIRECT(ADDRESS(966,10))+INDIRECT(ADDRESS(964,11))-INDIRECT(ADDRESS(965,11))</f>
        <v>0</v>
      </c>
      <c r="L966">
        <f>INDIRECT(ADDRESS(966,11))+INDIRECT(ADDRESS(964,12))-INDIRECT(ADDRESS(965,12))</f>
        <v>0</v>
      </c>
      <c r="M966">
        <f>INDIRECT(ADDRESS(966,12))+INDIRECT(ADDRESS(964,13))-INDIRECT(ADDRESS(965,13))</f>
        <v>0</v>
      </c>
      <c r="N966">
        <f>INDIRECT(ADDRESS(966,13))+INDIRECT(ADDRESS(964,14))-INDIRECT(ADDRESS(965,14))</f>
        <v>0</v>
      </c>
      <c r="O966">
        <f>INDIRECT(ADDRESS(966,14))+INDIRECT(ADDRESS(964,15))-INDIRECT(ADDRESS(965,15))</f>
        <v>0</v>
      </c>
      <c r="P966">
        <f>INDIRECT(ADDRESS(966,15))+INDIRECT(ADDRESS(964,16))-INDIRECT(ADDRESS(965,16))</f>
        <v>0</v>
      </c>
      <c r="Q966">
        <f>INDIRECT(ADDRESS(966,16))+INDIRECT(ADDRESS(964,17))-INDIRECT(ADDRESS(965,17))</f>
        <v>0</v>
      </c>
      <c r="R966">
        <f>INDIRECT(ADDRESS(966,17))+INDIRECT(ADDRESS(964,18))-INDIRECT(ADDRESS(965,18))</f>
        <v>0</v>
      </c>
      <c r="S966">
        <f>INDIRECT(ADDRESS(966,18))+INDIRECT(ADDRESS(964,19))-INDIRECT(ADDRESS(965,19))</f>
        <v>0</v>
      </c>
      <c r="T966">
        <f>INDIRECT(ADDRESS(966,19))+INDIRECT(ADDRESS(964,20))-INDIRECT(ADDRESS(965,20))</f>
        <v>0</v>
      </c>
      <c r="U966">
        <f>INDIRECT(ADDRESS(966,20))+INDIRECT(ADDRESS(964,21))-INDIRECT(ADDRESS(965,21))</f>
        <v>0</v>
      </c>
      <c r="V966">
        <f>INDIRECT(ADDRESS(966,21))+INDIRECT(ADDRESS(964,22))-INDIRECT(ADDRESS(965,22))</f>
        <v>0</v>
      </c>
      <c r="W966">
        <f>INDIRECT(ADDRESS(966,22))+INDIRECT(ADDRESS(964,23))-INDIRECT(ADDRESS(965,23))</f>
        <v>0</v>
      </c>
      <c r="X966">
        <f>INDIRECT(ADDRESS(966,23))+INDIRECT(ADDRESS(964,24))-INDIRECT(ADDRESS(965,24))</f>
        <v>0</v>
      </c>
      <c r="Y966">
        <f>INDIRECT(ADDRESS(966,24))+INDIRECT(ADDRESS(964,25))-INDIRECT(ADDRESS(965,25))</f>
        <v>0</v>
      </c>
      <c r="Z966">
        <f>INDIRECT(ADDRESS(966,25))+INDIRECT(ADDRESS(964,26))-INDIRECT(ADDRESS(965,26))</f>
        <v>0</v>
      </c>
      <c r="AA966">
        <f>INDIRECT(ADDRESS(966,26))+INDIRECT(ADDRESS(964,27))-INDIRECT(ADDRESS(965,27))</f>
        <v>0</v>
      </c>
      <c r="AB966">
        <f>INDIRECT(ADDRESS(966,27))+INDIRECT(ADDRESS(964,28))-INDIRECT(ADDRESS(965,28))</f>
        <v>0</v>
      </c>
      <c r="AC966">
        <f>INDIRECT(ADDRESS(966,28))+INDIRECT(ADDRESS(964,29))-INDIRECT(ADDRESS(965,29))</f>
        <v>0</v>
      </c>
      <c r="AD966">
        <f>INDIRECT(ADDRESS(966,29))+INDIRECT(ADDRESS(964,30))-INDIRECT(ADDRESS(965,30))</f>
        <v>0</v>
      </c>
      <c r="AE966">
        <f>INDIRECT(ADDRESS(966,30))+INDIRECT(ADDRESS(964,31))-INDIRECT(ADDRESS(965,31))</f>
        <v>0</v>
      </c>
      <c r="AF966">
        <f>INDIRECT(ADDRESS(966,31))+INDIRECT(ADDRESS(964,32))-INDIRECT(ADDRESS(965,32))</f>
        <v>0</v>
      </c>
      <c r="AG966">
        <f>INDIRECT(ADDRESS(966,32))+INDIRECT(ADDRESS(964,33))-INDIRECT(ADDRESS(965,33))</f>
        <v>0</v>
      </c>
      <c r="AH966">
        <f>INDIRECT(ADDRESS(966,33))+INDIRECT(ADDRESS(964,34))-INDIRECT(ADDRESS(965,34))</f>
        <v>0</v>
      </c>
      <c r="AI966">
        <f>INDIRECT(ADDRESS(966,34))+INDIRECT(ADDRESS(964,35))-INDIRECT(ADDRESS(965,35))</f>
        <v>0</v>
      </c>
      <c r="AJ966">
        <f>INDIRECT(ADDRESS(966,35))+INDIRECT(ADDRESS(964,36))-INDIRECT(ADDRESS(965,36))</f>
        <v>0</v>
      </c>
      <c r="AK966">
        <f>INDIRECT(ADDRESS(966,36))+INDIRECT(ADDRESS(964,37))-INDIRECT(ADDRESS(965,37))</f>
        <v>0</v>
      </c>
      <c r="AL966">
        <f>INDIRECT(ADDRESS(966,37))+INDIRECT(ADDRESS(964,38))-INDIRECT(ADDRESS(965,38))</f>
        <v>0</v>
      </c>
      <c r="AM966">
        <f>INDIRECT(ADDRESS(966,38))+INDIRECT(ADDRESS(964,39))-INDIRECT(ADDRESS(965,39))</f>
        <v>0</v>
      </c>
      <c r="AN966">
        <f>INDIRECT(ADDRESS(966,39))+INDIRECT(ADDRESS(964,40))-INDIRECT(ADDRESS(965,40))</f>
        <v>0</v>
      </c>
      <c r="AO966">
        <f>SUM(INDIRECT(ADDRESS(965,8)):INDIRECT(ADDRESS(965,39)))</f>
        <v>0</v>
      </c>
    </row>
    <row r="967" spans="1:41">
      <c r="A967" t="s">
        <v>185</v>
      </c>
      <c r="B967" t="s">
        <v>495</v>
      </c>
      <c r="C967" t="s">
        <v>496</v>
      </c>
      <c r="E967">
        <v>1</v>
      </c>
      <c r="I967" t="s">
        <v>177</v>
      </c>
    </row>
    <row r="968" spans="1:41">
      <c r="I968" t="s">
        <v>178</v>
      </c>
      <c r="J968">
        <f>IFERROR(VLOOKUP("921-000000-200",B:AB,1+8,0),0)</f>
        <v>0</v>
      </c>
      <c r="K968">
        <f>IFERROR(VLOOKUP("921-000000-200",B:AB,2+8,0),0)</f>
        <v>0</v>
      </c>
      <c r="L968">
        <f>IFERROR(VLOOKUP("921-000000-200",B:AB,3+8,0),0)</f>
        <v>0</v>
      </c>
      <c r="M968">
        <f>IFERROR(VLOOKUP("921-000000-200",B:AB,4+8,0),0)</f>
        <v>0</v>
      </c>
      <c r="N968">
        <f>IFERROR(VLOOKUP("921-000000-200",B:AB,5+8,0),0)</f>
        <v>0</v>
      </c>
      <c r="O968">
        <f>IFERROR(VLOOKUP("921-000000-200",B:AB,6+8,0),0)</f>
        <v>0</v>
      </c>
      <c r="P968">
        <f>IFERROR(VLOOKUP("921-000000-200",B:AB,7+8,0),0)</f>
        <v>0</v>
      </c>
      <c r="Q968">
        <f>IFERROR(VLOOKUP("921-000000-200",B:AB,8+8,0),0)</f>
        <v>0</v>
      </c>
      <c r="R968">
        <f>IFERROR(VLOOKUP("921-000000-200",B:AB,9+8,0),0)</f>
        <v>0</v>
      </c>
      <c r="S968">
        <f>IFERROR(VLOOKUP("921-000000-200",B:AB,10+8,0),0)</f>
        <v>0</v>
      </c>
      <c r="T968">
        <f>IFERROR(VLOOKUP("921-000000-200",B:AB,11+8,0),0)</f>
        <v>0</v>
      </c>
      <c r="U968">
        <f>IFERROR(VLOOKUP("921-000000-200",B:AB,12+8,0),0)</f>
        <v>0</v>
      </c>
      <c r="V968">
        <f>IFERROR(VLOOKUP("921-000000-200",B:AB,13+8,0),0)</f>
        <v>0</v>
      </c>
      <c r="W968">
        <f>IFERROR(VLOOKUP("921-000000-200",B:AB,14+8,0),0)</f>
        <v>0</v>
      </c>
      <c r="X968">
        <f>IFERROR(VLOOKUP("921-000000-200",B:AB,15+8,0),0)</f>
        <v>0</v>
      </c>
      <c r="Y968">
        <f>IFERROR(VLOOKUP("921-000000-200",B:AB,16+8,0),0)</f>
        <v>0</v>
      </c>
      <c r="Z968">
        <f>IFERROR(VLOOKUP("921-000000-200",B:AB,17+8,0),0)</f>
        <v>0</v>
      </c>
      <c r="AA968">
        <f>IFERROR(VLOOKUP("921-000000-200",B:AB,18+8,0),0)</f>
        <v>0</v>
      </c>
      <c r="AB968">
        <f>IFERROR(VLOOKUP("921-000000-200",B:AB,19+8,0),0)</f>
        <v>0</v>
      </c>
      <c r="AC968">
        <f>IFERROR(VLOOKUP("921-000000-200",B:AB,20+8,0),0)</f>
        <v>0</v>
      </c>
      <c r="AD968">
        <f>IFERROR(VLOOKUP("921-000000-200",B:AB,21+8,0),0)</f>
        <v>0</v>
      </c>
      <c r="AE968">
        <f>IFERROR(VLOOKUP("921-000000-200",B:AB,22+8,0),0)</f>
        <v>0</v>
      </c>
      <c r="AF968">
        <f>IFERROR(VLOOKUP("921-000000-200",B:AB,23+8,0),0)</f>
        <v>0</v>
      </c>
      <c r="AG968">
        <f>IFERROR(VLOOKUP("921-000000-200",B:AB,24+8,0),0)</f>
        <v>0</v>
      </c>
      <c r="AH968">
        <f>IFERROR(VLOOKUP("921-000000-200",B:AB,25+8,0),0)</f>
        <v>0</v>
      </c>
      <c r="AI968">
        <f>IFERROR(VLOOKUP("921-000000-200",B:AB,26+8,0),0)</f>
        <v>0</v>
      </c>
      <c r="AJ968">
        <f>IFERROR(VLOOKUP("921-000000-200",B:AB,27+8,0),0)</f>
        <v>0</v>
      </c>
      <c r="AK968">
        <f>IFERROR(VLOOKUP("921-000000-200",B:AB,28+8,0),0)</f>
        <v>0</v>
      </c>
      <c r="AL968">
        <f>IFERROR(VLOOKUP("921-000000-200",B:AB,29+8,0),0)</f>
        <v>0</v>
      </c>
      <c r="AM968">
        <f>IFERROR(VLOOKUP("921-000000-200",B:AB,30+8,0),0)</f>
        <v>0</v>
      </c>
      <c r="AN968">
        <f>IFERROR(VLOOKUP("921-000000-200",B:AB,31+8,0),0)</f>
        <v>0</v>
      </c>
      <c r="AO968">
        <f>SUN(INDIRECT(ADDRESS(967,8)):INDIRECT(ADDRESS(967,39)))</f>
        <v>0</v>
      </c>
    </row>
    <row r="969" spans="1:41">
      <c r="H969" t="s">
        <v>179</v>
      </c>
      <c r="J969">
        <f>INDIRECT(ADDRESS(969,9))+INDIRECT(ADDRESS(967,10))-INDIRECT(ADDRESS(968,10))</f>
        <v>0</v>
      </c>
      <c r="K969">
        <f>INDIRECT(ADDRESS(969,10))+INDIRECT(ADDRESS(967,11))-INDIRECT(ADDRESS(968,11))</f>
        <v>0</v>
      </c>
      <c r="L969">
        <f>INDIRECT(ADDRESS(969,11))+INDIRECT(ADDRESS(967,12))-INDIRECT(ADDRESS(968,12))</f>
        <v>0</v>
      </c>
      <c r="M969">
        <f>INDIRECT(ADDRESS(969,12))+INDIRECT(ADDRESS(967,13))-INDIRECT(ADDRESS(968,13))</f>
        <v>0</v>
      </c>
      <c r="N969">
        <f>INDIRECT(ADDRESS(969,13))+INDIRECT(ADDRESS(967,14))-INDIRECT(ADDRESS(968,14))</f>
        <v>0</v>
      </c>
      <c r="O969">
        <f>INDIRECT(ADDRESS(969,14))+INDIRECT(ADDRESS(967,15))-INDIRECT(ADDRESS(968,15))</f>
        <v>0</v>
      </c>
      <c r="P969">
        <f>INDIRECT(ADDRESS(969,15))+INDIRECT(ADDRESS(967,16))-INDIRECT(ADDRESS(968,16))</f>
        <v>0</v>
      </c>
      <c r="Q969">
        <f>INDIRECT(ADDRESS(969,16))+INDIRECT(ADDRESS(967,17))-INDIRECT(ADDRESS(968,17))</f>
        <v>0</v>
      </c>
      <c r="R969">
        <f>INDIRECT(ADDRESS(969,17))+INDIRECT(ADDRESS(967,18))-INDIRECT(ADDRESS(968,18))</f>
        <v>0</v>
      </c>
      <c r="S969">
        <f>INDIRECT(ADDRESS(969,18))+INDIRECT(ADDRESS(967,19))-INDIRECT(ADDRESS(968,19))</f>
        <v>0</v>
      </c>
      <c r="T969">
        <f>INDIRECT(ADDRESS(969,19))+INDIRECT(ADDRESS(967,20))-INDIRECT(ADDRESS(968,20))</f>
        <v>0</v>
      </c>
      <c r="U969">
        <f>INDIRECT(ADDRESS(969,20))+INDIRECT(ADDRESS(967,21))-INDIRECT(ADDRESS(968,21))</f>
        <v>0</v>
      </c>
      <c r="V969">
        <f>INDIRECT(ADDRESS(969,21))+INDIRECT(ADDRESS(967,22))-INDIRECT(ADDRESS(968,22))</f>
        <v>0</v>
      </c>
      <c r="W969">
        <f>INDIRECT(ADDRESS(969,22))+INDIRECT(ADDRESS(967,23))-INDIRECT(ADDRESS(968,23))</f>
        <v>0</v>
      </c>
      <c r="X969">
        <f>INDIRECT(ADDRESS(969,23))+INDIRECT(ADDRESS(967,24))-INDIRECT(ADDRESS(968,24))</f>
        <v>0</v>
      </c>
      <c r="Y969">
        <f>INDIRECT(ADDRESS(969,24))+INDIRECT(ADDRESS(967,25))-INDIRECT(ADDRESS(968,25))</f>
        <v>0</v>
      </c>
      <c r="Z969">
        <f>INDIRECT(ADDRESS(969,25))+INDIRECT(ADDRESS(967,26))-INDIRECT(ADDRESS(968,26))</f>
        <v>0</v>
      </c>
      <c r="AA969">
        <f>INDIRECT(ADDRESS(969,26))+INDIRECT(ADDRESS(967,27))-INDIRECT(ADDRESS(968,27))</f>
        <v>0</v>
      </c>
      <c r="AB969">
        <f>INDIRECT(ADDRESS(969,27))+INDIRECT(ADDRESS(967,28))-INDIRECT(ADDRESS(968,28))</f>
        <v>0</v>
      </c>
      <c r="AC969">
        <f>INDIRECT(ADDRESS(969,28))+INDIRECT(ADDRESS(967,29))-INDIRECT(ADDRESS(968,29))</f>
        <v>0</v>
      </c>
      <c r="AD969">
        <f>INDIRECT(ADDRESS(969,29))+INDIRECT(ADDRESS(967,30))-INDIRECT(ADDRESS(968,30))</f>
        <v>0</v>
      </c>
      <c r="AE969">
        <f>INDIRECT(ADDRESS(969,30))+INDIRECT(ADDRESS(967,31))-INDIRECT(ADDRESS(968,31))</f>
        <v>0</v>
      </c>
      <c r="AF969">
        <f>INDIRECT(ADDRESS(969,31))+INDIRECT(ADDRESS(967,32))-INDIRECT(ADDRESS(968,32))</f>
        <v>0</v>
      </c>
      <c r="AG969">
        <f>INDIRECT(ADDRESS(969,32))+INDIRECT(ADDRESS(967,33))-INDIRECT(ADDRESS(968,33))</f>
        <v>0</v>
      </c>
      <c r="AH969">
        <f>INDIRECT(ADDRESS(969,33))+INDIRECT(ADDRESS(967,34))-INDIRECT(ADDRESS(968,34))</f>
        <v>0</v>
      </c>
      <c r="AI969">
        <f>INDIRECT(ADDRESS(969,34))+INDIRECT(ADDRESS(967,35))-INDIRECT(ADDRESS(968,35))</f>
        <v>0</v>
      </c>
      <c r="AJ969">
        <f>INDIRECT(ADDRESS(969,35))+INDIRECT(ADDRESS(967,36))-INDIRECT(ADDRESS(968,36))</f>
        <v>0</v>
      </c>
      <c r="AK969">
        <f>INDIRECT(ADDRESS(969,36))+INDIRECT(ADDRESS(967,37))-INDIRECT(ADDRESS(968,37))</f>
        <v>0</v>
      </c>
      <c r="AL969">
        <f>INDIRECT(ADDRESS(969,37))+INDIRECT(ADDRESS(967,38))-INDIRECT(ADDRESS(968,38))</f>
        <v>0</v>
      </c>
      <c r="AM969">
        <f>INDIRECT(ADDRESS(969,38))+INDIRECT(ADDRESS(967,39))-INDIRECT(ADDRESS(968,39))</f>
        <v>0</v>
      </c>
      <c r="AN969">
        <f>INDIRECT(ADDRESS(969,39))+INDIRECT(ADDRESS(967,40))-INDIRECT(ADDRESS(968,40))</f>
        <v>0</v>
      </c>
      <c r="AO969">
        <f>SUM(INDIRECT(ADDRESS(968,8)):INDIRECT(ADDRESS(968,39)))</f>
        <v>0</v>
      </c>
    </row>
    <row r="970" spans="1:41">
      <c r="A970" t="s">
        <v>185</v>
      </c>
      <c r="B970" t="s">
        <v>497</v>
      </c>
      <c r="C970" t="s">
        <v>498</v>
      </c>
      <c r="E970">
        <v>1</v>
      </c>
      <c r="I970" t="s">
        <v>177</v>
      </c>
    </row>
    <row r="971" spans="1:41">
      <c r="I971" t="s">
        <v>178</v>
      </c>
      <c r="J971">
        <f>IFERROR(VLOOKUP("921-000000-200",B:AB,1+8,0),0)</f>
        <v>0</v>
      </c>
      <c r="K971">
        <f>IFERROR(VLOOKUP("921-000000-200",B:AB,2+8,0),0)</f>
        <v>0</v>
      </c>
      <c r="L971">
        <f>IFERROR(VLOOKUP("921-000000-200",B:AB,3+8,0),0)</f>
        <v>0</v>
      </c>
      <c r="M971">
        <f>IFERROR(VLOOKUP("921-000000-200",B:AB,4+8,0),0)</f>
        <v>0</v>
      </c>
      <c r="N971">
        <f>IFERROR(VLOOKUP("921-000000-200",B:AB,5+8,0),0)</f>
        <v>0</v>
      </c>
      <c r="O971">
        <f>IFERROR(VLOOKUP("921-000000-200",B:AB,6+8,0),0)</f>
        <v>0</v>
      </c>
      <c r="P971">
        <f>IFERROR(VLOOKUP("921-000000-200",B:AB,7+8,0),0)</f>
        <v>0</v>
      </c>
      <c r="Q971">
        <f>IFERROR(VLOOKUP("921-000000-200",B:AB,8+8,0),0)</f>
        <v>0</v>
      </c>
      <c r="R971">
        <f>IFERROR(VLOOKUP("921-000000-200",B:AB,9+8,0),0)</f>
        <v>0</v>
      </c>
      <c r="S971">
        <f>IFERROR(VLOOKUP("921-000000-200",B:AB,10+8,0),0)</f>
        <v>0</v>
      </c>
      <c r="T971">
        <f>IFERROR(VLOOKUP("921-000000-200",B:AB,11+8,0),0)</f>
        <v>0</v>
      </c>
      <c r="U971">
        <f>IFERROR(VLOOKUP("921-000000-200",B:AB,12+8,0),0)</f>
        <v>0</v>
      </c>
      <c r="V971">
        <f>IFERROR(VLOOKUP("921-000000-200",B:AB,13+8,0),0)</f>
        <v>0</v>
      </c>
      <c r="W971">
        <f>IFERROR(VLOOKUP("921-000000-200",B:AB,14+8,0),0)</f>
        <v>0</v>
      </c>
      <c r="X971">
        <f>IFERROR(VLOOKUP("921-000000-200",B:AB,15+8,0),0)</f>
        <v>0</v>
      </c>
      <c r="Y971">
        <f>IFERROR(VLOOKUP("921-000000-200",B:AB,16+8,0),0)</f>
        <v>0</v>
      </c>
      <c r="Z971">
        <f>IFERROR(VLOOKUP("921-000000-200",B:AB,17+8,0),0)</f>
        <v>0</v>
      </c>
      <c r="AA971">
        <f>IFERROR(VLOOKUP("921-000000-200",B:AB,18+8,0),0)</f>
        <v>0</v>
      </c>
      <c r="AB971">
        <f>IFERROR(VLOOKUP("921-000000-200",B:AB,19+8,0),0)</f>
        <v>0</v>
      </c>
      <c r="AC971">
        <f>IFERROR(VLOOKUP("921-000000-200",B:AB,20+8,0),0)</f>
        <v>0</v>
      </c>
      <c r="AD971">
        <f>IFERROR(VLOOKUP("921-000000-200",B:AB,21+8,0),0)</f>
        <v>0</v>
      </c>
      <c r="AE971">
        <f>IFERROR(VLOOKUP("921-000000-200",B:AB,22+8,0),0)</f>
        <v>0</v>
      </c>
      <c r="AF971">
        <f>IFERROR(VLOOKUP("921-000000-200",B:AB,23+8,0),0)</f>
        <v>0</v>
      </c>
      <c r="AG971">
        <f>IFERROR(VLOOKUP("921-000000-200",B:AB,24+8,0),0)</f>
        <v>0</v>
      </c>
      <c r="AH971">
        <f>IFERROR(VLOOKUP("921-000000-200",B:AB,25+8,0),0)</f>
        <v>0</v>
      </c>
      <c r="AI971">
        <f>IFERROR(VLOOKUP("921-000000-200",B:AB,26+8,0),0)</f>
        <v>0</v>
      </c>
      <c r="AJ971">
        <f>IFERROR(VLOOKUP("921-000000-200",B:AB,27+8,0),0)</f>
        <v>0</v>
      </c>
      <c r="AK971">
        <f>IFERROR(VLOOKUP("921-000000-200",B:AB,28+8,0),0)</f>
        <v>0</v>
      </c>
      <c r="AL971">
        <f>IFERROR(VLOOKUP("921-000000-200",B:AB,29+8,0),0)</f>
        <v>0</v>
      </c>
      <c r="AM971">
        <f>IFERROR(VLOOKUP("921-000000-200",B:AB,30+8,0),0)</f>
        <v>0</v>
      </c>
      <c r="AN971">
        <f>IFERROR(VLOOKUP("921-000000-200",B:AB,31+8,0),0)</f>
        <v>0</v>
      </c>
      <c r="AO971">
        <f>SUN(INDIRECT(ADDRESS(970,8)):INDIRECT(ADDRESS(970,39)))</f>
        <v>0</v>
      </c>
    </row>
    <row r="972" spans="1:41">
      <c r="H972" t="s">
        <v>179</v>
      </c>
      <c r="J972">
        <f>INDIRECT(ADDRESS(972,9))+INDIRECT(ADDRESS(970,10))-INDIRECT(ADDRESS(971,10))</f>
        <v>0</v>
      </c>
      <c r="K972">
        <f>INDIRECT(ADDRESS(972,10))+INDIRECT(ADDRESS(970,11))-INDIRECT(ADDRESS(971,11))</f>
        <v>0</v>
      </c>
      <c r="L972">
        <f>INDIRECT(ADDRESS(972,11))+INDIRECT(ADDRESS(970,12))-INDIRECT(ADDRESS(971,12))</f>
        <v>0</v>
      </c>
      <c r="M972">
        <f>INDIRECT(ADDRESS(972,12))+INDIRECT(ADDRESS(970,13))-INDIRECT(ADDRESS(971,13))</f>
        <v>0</v>
      </c>
      <c r="N972">
        <f>INDIRECT(ADDRESS(972,13))+INDIRECT(ADDRESS(970,14))-INDIRECT(ADDRESS(971,14))</f>
        <v>0</v>
      </c>
      <c r="O972">
        <f>INDIRECT(ADDRESS(972,14))+INDIRECT(ADDRESS(970,15))-INDIRECT(ADDRESS(971,15))</f>
        <v>0</v>
      </c>
      <c r="P972">
        <f>INDIRECT(ADDRESS(972,15))+INDIRECT(ADDRESS(970,16))-INDIRECT(ADDRESS(971,16))</f>
        <v>0</v>
      </c>
      <c r="Q972">
        <f>INDIRECT(ADDRESS(972,16))+INDIRECT(ADDRESS(970,17))-INDIRECT(ADDRESS(971,17))</f>
        <v>0</v>
      </c>
      <c r="R972">
        <f>INDIRECT(ADDRESS(972,17))+INDIRECT(ADDRESS(970,18))-INDIRECT(ADDRESS(971,18))</f>
        <v>0</v>
      </c>
      <c r="S972">
        <f>INDIRECT(ADDRESS(972,18))+INDIRECT(ADDRESS(970,19))-INDIRECT(ADDRESS(971,19))</f>
        <v>0</v>
      </c>
      <c r="T972">
        <f>INDIRECT(ADDRESS(972,19))+INDIRECT(ADDRESS(970,20))-INDIRECT(ADDRESS(971,20))</f>
        <v>0</v>
      </c>
      <c r="U972">
        <f>INDIRECT(ADDRESS(972,20))+INDIRECT(ADDRESS(970,21))-INDIRECT(ADDRESS(971,21))</f>
        <v>0</v>
      </c>
      <c r="V972">
        <f>INDIRECT(ADDRESS(972,21))+INDIRECT(ADDRESS(970,22))-INDIRECT(ADDRESS(971,22))</f>
        <v>0</v>
      </c>
      <c r="W972">
        <f>INDIRECT(ADDRESS(972,22))+INDIRECT(ADDRESS(970,23))-INDIRECT(ADDRESS(971,23))</f>
        <v>0</v>
      </c>
      <c r="X972">
        <f>INDIRECT(ADDRESS(972,23))+INDIRECT(ADDRESS(970,24))-INDIRECT(ADDRESS(971,24))</f>
        <v>0</v>
      </c>
      <c r="Y972">
        <f>INDIRECT(ADDRESS(972,24))+INDIRECT(ADDRESS(970,25))-INDIRECT(ADDRESS(971,25))</f>
        <v>0</v>
      </c>
      <c r="Z972">
        <f>INDIRECT(ADDRESS(972,25))+INDIRECT(ADDRESS(970,26))-INDIRECT(ADDRESS(971,26))</f>
        <v>0</v>
      </c>
      <c r="AA972">
        <f>INDIRECT(ADDRESS(972,26))+INDIRECT(ADDRESS(970,27))-INDIRECT(ADDRESS(971,27))</f>
        <v>0</v>
      </c>
      <c r="AB972">
        <f>INDIRECT(ADDRESS(972,27))+INDIRECT(ADDRESS(970,28))-INDIRECT(ADDRESS(971,28))</f>
        <v>0</v>
      </c>
      <c r="AC972">
        <f>INDIRECT(ADDRESS(972,28))+INDIRECT(ADDRESS(970,29))-INDIRECT(ADDRESS(971,29))</f>
        <v>0</v>
      </c>
      <c r="AD972">
        <f>INDIRECT(ADDRESS(972,29))+INDIRECT(ADDRESS(970,30))-INDIRECT(ADDRESS(971,30))</f>
        <v>0</v>
      </c>
      <c r="AE972">
        <f>INDIRECT(ADDRESS(972,30))+INDIRECT(ADDRESS(970,31))-INDIRECT(ADDRESS(971,31))</f>
        <v>0</v>
      </c>
      <c r="AF972">
        <f>INDIRECT(ADDRESS(972,31))+INDIRECT(ADDRESS(970,32))-INDIRECT(ADDRESS(971,32))</f>
        <v>0</v>
      </c>
      <c r="AG972">
        <f>INDIRECT(ADDRESS(972,32))+INDIRECT(ADDRESS(970,33))-INDIRECT(ADDRESS(971,33))</f>
        <v>0</v>
      </c>
      <c r="AH972">
        <f>INDIRECT(ADDRESS(972,33))+INDIRECT(ADDRESS(970,34))-INDIRECT(ADDRESS(971,34))</f>
        <v>0</v>
      </c>
      <c r="AI972">
        <f>INDIRECT(ADDRESS(972,34))+INDIRECT(ADDRESS(970,35))-INDIRECT(ADDRESS(971,35))</f>
        <v>0</v>
      </c>
      <c r="AJ972">
        <f>INDIRECT(ADDRESS(972,35))+INDIRECT(ADDRESS(970,36))-INDIRECT(ADDRESS(971,36))</f>
        <v>0</v>
      </c>
      <c r="AK972">
        <f>INDIRECT(ADDRESS(972,36))+INDIRECT(ADDRESS(970,37))-INDIRECT(ADDRESS(971,37))</f>
        <v>0</v>
      </c>
      <c r="AL972">
        <f>INDIRECT(ADDRESS(972,37))+INDIRECT(ADDRESS(970,38))-INDIRECT(ADDRESS(971,38))</f>
        <v>0</v>
      </c>
      <c r="AM972">
        <f>INDIRECT(ADDRESS(972,38))+INDIRECT(ADDRESS(970,39))-INDIRECT(ADDRESS(971,39))</f>
        <v>0</v>
      </c>
      <c r="AN972">
        <f>INDIRECT(ADDRESS(972,39))+INDIRECT(ADDRESS(970,40))-INDIRECT(ADDRESS(971,40))</f>
        <v>0</v>
      </c>
      <c r="AO972">
        <f>SUM(INDIRECT(ADDRESS(971,8)):INDIRECT(ADDRESS(971,39)))</f>
        <v>0</v>
      </c>
    </row>
    <row r="973" spans="1:41">
      <c r="A973" t="s">
        <v>185</v>
      </c>
      <c r="B973" t="s">
        <v>499</v>
      </c>
      <c r="C973" t="s">
        <v>500</v>
      </c>
      <c r="E973">
        <v>1</v>
      </c>
      <c r="I973" t="s">
        <v>177</v>
      </c>
    </row>
    <row r="974" spans="1:41">
      <c r="I974" t="s">
        <v>178</v>
      </c>
      <c r="J974">
        <f>IFERROR(VLOOKUP("921-000000-200",B:AB,1+8,0),0)</f>
        <v>0</v>
      </c>
      <c r="K974">
        <f>IFERROR(VLOOKUP("921-000000-200",B:AB,2+8,0),0)</f>
        <v>0</v>
      </c>
      <c r="L974">
        <f>IFERROR(VLOOKUP("921-000000-200",B:AB,3+8,0),0)</f>
        <v>0</v>
      </c>
      <c r="M974">
        <f>IFERROR(VLOOKUP("921-000000-200",B:AB,4+8,0),0)</f>
        <v>0</v>
      </c>
      <c r="N974">
        <f>IFERROR(VLOOKUP("921-000000-200",B:AB,5+8,0),0)</f>
        <v>0</v>
      </c>
      <c r="O974">
        <f>IFERROR(VLOOKUP("921-000000-200",B:AB,6+8,0),0)</f>
        <v>0</v>
      </c>
      <c r="P974">
        <f>IFERROR(VLOOKUP("921-000000-200",B:AB,7+8,0),0)</f>
        <v>0</v>
      </c>
      <c r="Q974">
        <f>IFERROR(VLOOKUP("921-000000-200",B:AB,8+8,0),0)</f>
        <v>0</v>
      </c>
      <c r="R974">
        <f>IFERROR(VLOOKUP("921-000000-200",B:AB,9+8,0),0)</f>
        <v>0</v>
      </c>
      <c r="S974">
        <f>IFERROR(VLOOKUP("921-000000-200",B:AB,10+8,0),0)</f>
        <v>0</v>
      </c>
      <c r="T974">
        <f>IFERROR(VLOOKUP("921-000000-200",B:AB,11+8,0),0)</f>
        <v>0</v>
      </c>
      <c r="U974">
        <f>IFERROR(VLOOKUP("921-000000-200",B:AB,12+8,0),0)</f>
        <v>0</v>
      </c>
      <c r="V974">
        <f>IFERROR(VLOOKUP("921-000000-200",B:AB,13+8,0),0)</f>
        <v>0</v>
      </c>
      <c r="W974">
        <f>IFERROR(VLOOKUP("921-000000-200",B:AB,14+8,0),0)</f>
        <v>0</v>
      </c>
      <c r="X974">
        <f>IFERROR(VLOOKUP("921-000000-200",B:AB,15+8,0),0)</f>
        <v>0</v>
      </c>
      <c r="Y974">
        <f>IFERROR(VLOOKUP("921-000000-200",B:AB,16+8,0),0)</f>
        <v>0</v>
      </c>
      <c r="Z974">
        <f>IFERROR(VLOOKUP("921-000000-200",B:AB,17+8,0),0)</f>
        <v>0</v>
      </c>
      <c r="AA974">
        <f>IFERROR(VLOOKUP("921-000000-200",B:AB,18+8,0),0)</f>
        <v>0</v>
      </c>
      <c r="AB974">
        <f>IFERROR(VLOOKUP("921-000000-200",B:AB,19+8,0),0)</f>
        <v>0</v>
      </c>
      <c r="AC974">
        <f>IFERROR(VLOOKUP("921-000000-200",B:AB,20+8,0),0)</f>
        <v>0</v>
      </c>
      <c r="AD974">
        <f>IFERROR(VLOOKUP("921-000000-200",B:AB,21+8,0),0)</f>
        <v>0</v>
      </c>
      <c r="AE974">
        <f>IFERROR(VLOOKUP("921-000000-200",B:AB,22+8,0),0)</f>
        <v>0</v>
      </c>
      <c r="AF974">
        <f>IFERROR(VLOOKUP("921-000000-200",B:AB,23+8,0),0)</f>
        <v>0</v>
      </c>
      <c r="AG974">
        <f>IFERROR(VLOOKUP("921-000000-200",B:AB,24+8,0),0)</f>
        <v>0</v>
      </c>
      <c r="AH974">
        <f>IFERROR(VLOOKUP("921-000000-200",B:AB,25+8,0),0)</f>
        <v>0</v>
      </c>
      <c r="AI974">
        <f>IFERROR(VLOOKUP("921-000000-200",B:AB,26+8,0),0)</f>
        <v>0</v>
      </c>
      <c r="AJ974">
        <f>IFERROR(VLOOKUP("921-000000-200",B:AB,27+8,0),0)</f>
        <v>0</v>
      </c>
      <c r="AK974">
        <f>IFERROR(VLOOKUP("921-000000-200",B:AB,28+8,0),0)</f>
        <v>0</v>
      </c>
      <c r="AL974">
        <f>IFERROR(VLOOKUP("921-000000-200",B:AB,29+8,0),0)</f>
        <v>0</v>
      </c>
      <c r="AM974">
        <f>IFERROR(VLOOKUP("921-000000-200",B:AB,30+8,0),0)</f>
        <v>0</v>
      </c>
      <c r="AN974">
        <f>IFERROR(VLOOKUP("921-000000-200",B:AB,31+8,0),0)</f>
        <v>0</v>
      </c>
      <c r="AO974">
        <f>SUN(INDIRECT(ADDRESS(973,8)):INDIRECT(ADDRESS(973,39)))</f>
        <v>0</v>
      </c>
    </row>
    <row r="975" spans="1:41">
      <c r="H975" t="s">
        <v>179</v>
      </c>
      <c r="J975">
        <f>INDIRECT(ADDRESS(975,9))+INDIRECT(ADDRESS(973,10))-INDIRECT(ADDRESS(974,10))</f>
        <v>0</v>
      </c>
      <c r="K975">
        <f>INDIRECT(ADDRESS(975,10))+INDIRECT(ADDRESS(973,11))-INDIRECT(ADDRESS(974,11))</f>
        <v>0</v>
      </c>
      <c r="L975">
        <f>INDIRECT(ADDRESS(975,11))+INDIRECT(ADDRESS(973,12))-INDIRECT(ADDRESS(974,12))</f>
        <v>0</v>
      </c>
      <c r="M975">
        <f>INDIRECT(ADDRESS(975,12))+INDIRECT(ADDRESS(973,13))-INDIRECT(ADDRESS(974,13))</f>
        <v>0</v>
      </c>
      <c r="N975">
        <f>INDIRECT(ADDRESS(975,13))+INDIRECT(ADDRESS(973,14))-INDIRECT(ADDRESS(974,14))</f>
        <v>0</v>
      </c>
      <c r="O975">
        <f>INDIRECT(ADDRESS(975,14))+INDIRECT(ADDRESS(973,15))-INDIRECT(ADDRESS(974,15))</f>
        <v>0</v>
      </c>
      <c r="P975">
        <f>INDIRECT(ADDRESS(975,15))+INDIRECT(ADDRESS(973,16))-INDIRECT(ADDRESS(974,16))</f>
        <v>0</v>
      </c>
      <c r="Q975">
        <f>INDIRECT(ADDRESS(975,16))+INDIRECT(ADDRESS(973,17))-INDIRECT(ADDRESS(974,17))</f>
        <v>0</v>
      </c>
      <c r="R975">
        <f>INDIRECT(ADDRESS(975,17))+INDIRECT(ADDRESS(973,18))-INDIRECT(ADDRESS(974,18))</f>
        <v>0</v>
      </c>
      <c r="S975">
        <f>INDIRECT(ADDRESS(975,18))+INDIRECT(ADDRESS(973,19))-INDIRECT(ADDRESS(974,19))</f>
        <v>0</v>
      </c>
      <c r="T975">
        <f>INDIRECT(ADDRESS(975,19))+INDIRECT(ADDRESS(973,20))-INDIRECT(ADDRESS(974,20))</f>
        <v>0</v>
      </c>
      <c r="U975">
        <f>INDIRECT(ADDRESS(975,20))+INDIRECT(ADDRESS(973,21))-INDIRECT(ADDRESS(974,21))</f>
        <v>0</v>
      </c>
      <c r="V975">
        <f>INDIRECT(ADDRESS(975,21))+INDIRECT(ADDRESS(973,22))-INDIRECT(ADDRESS(974,22))</f>
        <v>0</v>
      </c>
      <c r="W975">
        <f>INDIRECT(ADDRESS(975,22))+INDIRECT(ADDRESS(973,23))-INDIRECT(ADDRESS(974,23))</f>
        <v>0</v>
      </c>
      <c r="X975">
        <f>INDIRECT(ADDRESS(975,23))+INDIRECT(ADDRESS(973,24))-INDIRECT(ADDRESS(974,24))</f>
        <v>0</v>
      </c>
      <c r="Y975">
        <f>INDIRECT(ADDRESS(975,24))+INDIRECT(ADDRESS(973,25))-INDIRECT(ADDRESS(974,25))</f>
        <v>0</v>
      </c>
      <c r="Z975">
        <f>INDIRECT(ADDRESS(975,25))+INDIRECT(ADDRESS(973,26))-INDIRECT(ADDRESS(974,26))</f>
        <v>0</v>
      </c>
      <c r="AA975">
        <f>INDIRECT(ADDRESS(975,26))+INDIRECT(ADDRESS(973,27))-INDIRECT(ADDRESS(974,27))</f>
        <v>0</v>
      </c>
      <c r="AB975">
        <f>INDIRECT(ADDRESS(975,27))+INDIRECT(ADDRESS(973,28))-INDIRECT(ADDRESS(974,28))</f>
        <v>0</v>
      </c>
      <c r="AC975">
        <f>INDIRECT(ADDRESS(975,28))+INDIRECT(ADDRESS(973,29))-INDIRECT(ADDRESS(974,29))</f>
        <v>0</v>
      </c>
      <c r="AD975">
        <f>INDIRECT(ADDRESS(975,29))+INDIRECT(ADDRESS(973,30))-INDIRECT(ADDRESS(974,30))</f>
        <v>0</v>
      </c>
      <c r="AE975">
        <f>INDIRECT(ADDRESS(975,30))+INDIRECT(ADDRESS(973,31))-INDIRECT(ADDRESS(974,31))</f>
        <v>0</v>
      </c>
      <c r="AF975">
        <f>INDIRECT(ADDRESS(975,31))+INDIRECT(ADDRESS(973,32))-INDIRECT(ADDRESS(974,32))</f>
        <v>0</v>
      </c>
      <c r="AG975">
        <f>INDIRECT(ADDRESS(975,32))+INDIRECT(ADDRESS(973,33))-INDIRECT(ADDRESS(974,33))</f>
        <v>0</v>
      </c>
      <c r="AH975">
        <f>INDIRECT(ADDRESS(975,33))+INDIRECT(ADDRESS(973,34))-INDIRECT(ADDRESS(974,34))</f>
        <v>0</v>
      </c>
      <c r="AI975">
        <f>INDIRECT(ADDRESS(975,34))+INDIRECT(ADDRESS(973,35))-INDIRECT(ADDRESS(974,35))</f>
        <v>0</v>
      </c>
      <c r="AJ975">
        <f>INDIRECT(ADDRESS(975,35))+INDIRECT(ADDRESS(973,36))-INDIRECT(ADDRESS(974,36))</f>
        <v>0</v>
      </c>
      <c r="AK975">
        <f>INDIRECT(ADDRESS(975,36))+INDIRECT(ADDRESS(973,37))-INDIRECT(ADDRESS(974,37))</f>
        <v>0</v>
      </c>
      <c r="AL975">
        <f>INDIRECT(ADDRESS(975,37))+INDIRECT(ADDRESS(973,38))-INDIRECT(ADDRESS(974,38))</f>
        <v>0</v>
      </c>
      <c r="AM975">
        <f>INDIRECT(ADDRESS(975,38))+INDIRECT(ADDRESS(973,39))-INDIRECT(ADDRESS(974,39))</f>
        <v>0</v>
      </c>
      <c r="AN975">
        <f>INDIRECT(ADDRESS(975,39))+INDIRECT(ADDRESS(973,40))-INDIRECT(ADDRESS(974,40))</f>
        <v>0</v>
      </c>
      <c r="AO975">
        <f>SUM(INDIRECT(ADDRESS(974,8)):INDIRECT(ADDRESS(974,39)))</f>
        <v>0</v>
      </c>
    </row>
    <row r="976" spans="1:41">
      <c r="A976" t="s">
        <v>8</v>
      </c>
      <c r="B976" t="s">
        <v>73</v>
      </c>
      <c r="C976" t="s">
        <v>74</v>
      </c>
      <c r="E976">
        <v>1</v>
      </c>
      <c r="I976" t="s">
        <v>177</v>
      </c>
    </row>
    <row r="977" spans="1:41">
      <c r="I977" t="s">
        <v>178</v>
      </c>
      <c r="J977">
        <f>IFERROR(VLOOKUP("926-044000-100",Out!B:AB,1+8,0),0)</f>
        <v>0</v>
      </c>
      <c r="K977">
        <f>IFERROR(VLOOKUP("926-044000-100",Out!B:AB,2+8,0),0)</f>
        <v>0</v>
      </c>
      <c r="L977">
        <f>IFERROR(VLOOKUP("926-044000-100",Out!B:AB,3+8,0),0)</f>
        <v>0</v>
      </c>
      <c r="M977">
        <f>IFERROR(VLOOKUP("926-044000-100",Out!B:AB,4+8,0),0)</f>
        <v>0</v>
      </c>
      <c r="N977">
        <f>IFERROR(VLOOKUP("926-044000-100",Out!B:AB,5+8,0),0)</f>
        <v>0</v>
      </c>
      <c r="O977">
        <f>IFERROR(VLOOKUP("926-044000-100",Out!B:AB,6+8,0),0)</f>
        <v>0</v>
      </c>
      <c r="P977">
        <f>IFERROR(VLOOKUP("926-044000-100",Out!B:AB,7+8,0),0)</f>
        <v>0</v>
      </c>
      <c r="Q977">
        <f>IFERROR(VLOOKUP("926-044000-100",Out!B:AB,8+8,0),0)</f>
        <v>0</v>
      </c>
      <c r="R977">
        <f>IFERROR(VLOOKUP("926-044000-100",Out!B:AB,9+8,0),0)</f>
        <v>0</v>
      </c>
      <c r="S977">
        <f>IFERROR(VLOOKUP("926-044000-100",Out!B:AB,10+8,0),0)</f>
        <v>0</v>
      </c>
      <c r="T977">
        <f>IFERROR(VLOOKUP("926-044000-100",Out!B:AB,11+8,0),0)</f>
        <v>0</v>
      </c>
      <c r="U977">
        <f>IFERROR(VLOOKUP("926-044000-100",Out!B:AB,12+8,0),0)</f>
        <v>0</v>
      </c>
      <c r="V977">
        <f>IFERROR(VLOOKUP("926-044000-100",Out!B:AB,13+8,0),0)</f>
        <v>0</v>
      </c>
      <c r="W977">
        <f>IFERROR(VLOOKUP("926-044000-100",Out!B:AB,14+8,0),0)</f>
        <v>0</v>
      </c>
      <c r="X977">
        <f>IFERROR(VLOOKUP("926-044000-100",Out!B:AB,15+8,0),0)</f>
        <v>0</v>
      </c>
      <c r="Y977">
        <f>IFERROR(VLOOKUP("926-044000-100",Out!B:AB,16+8,0),0)</f>
        <v>0</v>
      </c>
      <c r="Z977">
        <f>IFERROR(VLOOKUP("926-044000-100",Out!B:AB,17+8,0),0)</f>
        <v>0</v>
      </c>
      <c r="AA977">
        <f>IFERROR(VLOOKUP("926-044000-100",Out!B:AB,18+8,0),0)</f>
        <v>0</v>
      </c>
      <c r="AB977">
        <f>IFERROR(VLOOKUP("926-044000-100",Out!B:AB,19+8,0),0)</f>
        <v>0</v>
      </c>
      <c r="AC977">
        <f>IFERROR(VLOOKUP("926-044000-100",Out!B:AB,20+8,0),0)</f>
        <v>0</v>
      </c>
      <c r="AD977">
        <f>IFERROR(VLOOKUP("926-044000-100",Out!B:AB,21+8,0),0)</f>
        <v>0</v>
      </c>
      <c r="AE977">
        <f>IFERROR(VLOOKUP("926-044000-100",Out!B:AB,22+8,0),0)</f>
        <v>0</v>
      </c>
      <c r="AF977">
        <f>IFERROR(VLOOKUP("926-044000-100",Out!B:AB,23+8,0),0)</f>
        <v>0</v>
      </c>
      <c r="AG977">
        <f>IFERROR(VLOOKUP("926-044000-100",Out!B:AB,24+8,0),0)</f>
        <v>0</v>
      </c>
      <c r="AH977">
        <f>IFERROR(VLOOKUP("926-044000-100",Out!B:AB,25+8,0),0)</f>
        <v>0</v>
      </c>
      <c r="AI977">
        <f>IFERROR(VLOOKUP("926-044000-100",Out!B:AB,26+8,0),0)</f>
        <v>0</v>
      </c>
      <c r="AJ977">
        <f>IFERROR(VLOOKUP("926-044000-100",Out!B:AB,27+8,0),0)</f>
        <v>0</v>
      </c>
      <c r="AK977">
        <f>IFERROR(VLOOKUP("926-044000-100",Out!B:AB,28+8,0),0)</f>
        <v>0</v>
      </c>
      <c r="AL977">
        <f>IFERROR(VLOOKUP("926-044000-100",Out!B:AB,29+8,0),0)</f>
        <v>0</v>
      </c>
      <c r="AM977">
        <f>IFERROR(VLOOKUP("926-044000-100",Out!B:AB,30+8,0),0)</f>
        <v>0</v>
      </c>
      <c r="AN977">
        <f>IFERROR(VLOOKUP("926-044000-100",Out!B:AB,31+8,0),0)</f>
        <v>0</v>
      </c>
      <c r="AO977">
        <f>SUN(INDIRECT(ADDRESS(976,8)):INDIRECT(ADDRESS(976,39)))</f>
        <v>0</v>
      </c>
    </row>
    <row r="978" spans="1:41">
      <c r="H978" t="s">
        <v>179</v>
      </c>
      <c r="J978">
        <f>INDIRECT(ADDRESS(978,9))+INDIRECT(ADDRESS(976,10))-INDIRECT(ADDRESS(977,10))</f>
        <v>0</v>
      </c>
      <c r="K978">
        <f>INDIRECT(ADDRESS(978,10))+INDIRECT(ADDRESS(976,11))-INDIRECT(ADDRESS(977,11))</f>
        <v>0</v>
      </c>
      <c r="L978">
        <f>INDIRECT(ADDRESS(978,11))+INDIRECT(ADDRESS(976,12))-INDIRECT(ADDRESS(977,12))</f>
        <v>0</v>
      </c>
      <c r="M978">
        <f>INDIRECT(ADDRESS(978,12))+INDIRECT(ADDRESS(976,13))-INDIRECT(ADDRESS(977,13))</f>
        <v>0</v>
      </c>
      <c r="N978">
        <f>INDIRECT(ADDRESS(978,13))+INDIRECT(ADDRESS(976,14))-INDIRECT(ADDRESS(977,14))</f>
        <v>0</v>
      </c>
      <c r="O978">
        <f>INDIRECT(ADDRESS(978,14))+INDIRECT(ADDRESS(976,15))-INDIRECT(ADDRESS(977,15))</f>
        <v>0</v>
      </c>
      <c r="P978">
        <f>INDIRECT(ADDRESS(978,15))+INDIRECT(ADDRESS(976,16))-INDIRECT(ADDRESS(977,16))</f>
        <v>0</v>
      </c>
      <c r="Q978">
        <f>INDIRECT(ADDRESS(978,16))+INDIRECT(ADDRESS(976,17))-INDIRECT(ADDRESS(977,17))</f>
        <v>0</v>
      </c>
      <c r="R978">
        <f>INDIRECT(ADDRESS(978,17))+INDIRECT(ADDRESS(976,18))-INDIRECT(ADDRESS(977,18))</f>
        <v>0</v>
      </c>
      <c r="S978">
        <f>INDIRECT(ADDRESS(978,18))+INDIRECT(ADDRESS(976,19))-INDIRECT(ADDRESS(977,19))</f>
        <v>0</v>
      </c>
      <c r="T978">
        <f>INDIRECT(ADDRESS(978,19))+INDIRECT(ADDRESS(976,20))-INDIRECT(ADDRESS(977,20))</f>
        <v>0</v>
      </c>
      <c r="U978">
        <f>INDIRECT(ADDRESS(978,20))+INDIRECT(ADDRESS(976,21))-INDIRECT(ADDRESS(977,21))</f>
        <v>0</v>
      </c>
      <c r="V978">
        <f>INDIRECT(ADDRESS(978,21))+INDIRECT(ADDRESS(976,22))-INDIRECT(ADDRESS(977,22))</f>
        <v>0</v>
      </c>
      <c r="W978">
        <f>INDIRECT(ADDRESS(978,22))+INDIRECT(ADDRESS(976,23))-INDIRECT(ADDRESS(977,23))</f>
        <v>0</v>
      </c>
      <c r="X978">
        <f>INDIRECT(ADDRESS(978,23))+INDIRECT(ADDRESS(976,24))-INDIRECT(ADDRESS(977,24))</f>
        <v>0</v>
      </c>
      <c r="Y978">
        <f>INDIRECT(ADDRESS(978,24))+INDIRECT(ADDRESS(976,25))-INDIRECT(ADDRESS(977,25))</f>
        <v>0</v>
      </c>
      <c r="Z978">
        <f>INDIRECT(ADDRESS(978,25))+INDIRECT(ADDRESS(976,26))-INDIRECT(ADDRESS(977,26))</f>
        <v>0</v>
      </c>
      <c r="AA978">
        <f>INDIRECT(ADDRESS(978,26))+INDIRECT(ADDRESS(976,27))-INDIRECT(ADDRESS(977,27))</f>
        <v>0</v>
      </c>
      <c r="AB978">
        <f>INDIRECT(ADDRESS(978,27))+INDIRECT(ADDRESS(976,28))-INDIRECT(ADDRESS(977,28))</f>
        <v>0</v>
      </c>
      <c r="AC978">
        <f>INDIRECT(ADDRESS(978,28))+INDIRECT(ADDRESS(976,29))-INDIRECT(ADDRESS(977,29))</f>
        <v>0</v>
      </c>
      <c r="AD978">
        <f>INDIRECT(ADDRESS(978,29))+INDIRECT(ADDRESS(976,30))-INDIRECT(ADDRESS(977,30))</f>
        <v>0</v>
      </c>
      <c r="AE978">
        <f>INDIRECT(ADDRESS(978,30))+INDIRECT(ADDRESS(976,31))-INDIRECT(ADDRESS(977,31))</f>
        <v>0</v>
      </c>
      <c r="AF978">
        <f>INDIRECT(ADDRESS(978,31))+INDIRECT(ADDRESS(976,32))-INDIRECT(ADDRESS(977,32))</f>
        <v>0</v>
      </c>
      <c r="AG978">
        <f>INDIRECT(ADDRESS(978,32))+INDIRECT(ADDRESS(976,33))-INDIRECT(ADDRESS(977,33))</f>
        <v>0</v>
      </c>
      <c r="AH978">
        <f>INDIRECT(ADDRESS(978,33))+INDIRECT(ADDRESS(976,34))-INDIRECT(ADDRESS(977,34))</f>
        <v>0</v>
      </c>
      <c r="AI978">
        <f>INDIRECT(ADDRESS(978,34))+INDIRECT(ADDRESS(976,35))-INDIRECT(ADDRESS(977,35))</f>
        <v>0</v>
      </c>
      <c r="AJ978">
        <f>INDIRECT(ADDRESS(978,35))+INDIRECT(ADDRESS(976,36))-INDIRECT(ADDRESS(977,36))</f>
        <v>0</v>
      </c>
      <c r="AK978">
        <f>INDIRECT(ADDRESS(978,36))+INDIRECT(ADDRESS(976,37))-INDIRECT(ADDRESS(977,37))</f>
        <v>0</v>
      </c>
      <c r="AL978">
        <f>INDIRECT(ADDRESS(978,37))+INDIRECT(ADDRESS(976,38))-INDIRECT(ADDRESS(977,38))</f>
        <v>0</v>
      </c>
      <c r="AM978">
        <f>INDIRECT(ADDRESS(978,38))+INDIRECT(ADDRESS(976,39))-INDIRECT(ADDRESS(977,39))</f>
        <v>0</v>
      </c>
      <c r="AN978">
        <f>INDIRECT(ADDRESS(978,39))+INDIRECT(ADDRESS(976,40))-INDIRECT(ADDRESS(977,40))</f>
        <v>0</v>
      </c>
      <c r="AO978">
        <f>SUM(INDIRECT(ADDRESS(977,8)):INDIRECT(ADDRESS(977,39)))</f>
        <v>0</v>
      </c>
    </row>
    <row r="979" spans="1:41">
      <c r="A979" t="s">
        <v>185</v>
      </c>
      <c r="B979" t="s">
        <v>511</v>
      </c>
      <c r="C979" t="s">
        <v>512</v>
      </c>
      <c r="E979">
        <v>3</v>
      </c>
      <c r="I979" t="s">
        <v>177</v>
      </c>
    </row>
    <row r="980" spans="1:41">
      <c r="I980" t="s">
        <v>178</v>
      </c>
      <c r="J980">
        <f>IFERROR(VLOOKUP("926-044000-100",B:AB,1+8,0),0)</f>
        <v>0</v>
      </c>
      <c r="K980">
        <f>IFERROR(VLOOKUP("926-044000-100",B:AB,2+8,0),0)</f>
        <v>0</v>
      </c>
      <c r="L980">
        <f>IFERROR(VLOOKUP("926-044000-100",B:AB,3+8,0),0)</f>
        <v>0</v>
      </c>
      <c r="M980">
        <f>IFERROR(VLOOKUP("926-044000-100",B:AB,4+8,0),0)</f>
        <v>0</v>
      </c>
      <c r="N980">
        <f>IFERROR(VLOOKUP("926-044000-100",B:AB,5+8,0),0)</f>
        <v>0</v>
      </c>
      <c r="O980">
        <f>IFERROR(VLOOKUP("926-044000-100",B:AB,6+8,0),0)</f>
        <v>0</v>
      </c>
      <c r="P980">
        <f>IFERROR(VLOOKUP("926-044000-100",B:AB,7+8,0),0)</f>
        <v>0</v>
      </c>
      <c r="Q980">
        <f>IFERROR(VLOOKUP("926-044000-100",B:AB,8+8,0),0)</f>
        <v>0</v>
      </c>
      <c r="R980">
        <f>IFERROR(VLOOKUP("926-044000-100",B:AB,9+8,0),0)</f>
        <v>0</v>
      </c>
      <c r="S980">
        <f>IFERROR(VLOOKUP("926-044000-100",B:AB,10+8,0),0)</f>
        <v>0</v>
      </c>
      <c r="T980">
        <f>IFERROR(VLOOKUP("926-044000-100",B:AB,11+8,0),0)</f>
        <v>0</v>
      </c>
      <c r="U980">
        <f>IFERROR(VLOOKUP("926-044000-100",B:AB,12+8,0),0)</f>
        <v>0</v>
      </c>
      <c r="V980">
        <f>IFERROR(VLOOKUP("926-044000-100",B:AB,13+8,0),0)</f>
        <v>0</v>
      </c>
      <c r="W980">
        <f>IFERROR(VLOOKUP("926-044000-100",B:AB,14+8,0),0)</f>
        <v>0</v>
      </c>
      <c r="X980">
        <f>IFERROR(VLOOKUP("926-044000-100",B:AB,15+8,0),0)</f>
        <v>0</v>
      </c>
      <c r="Y980">
        <f>IFERROR(VLOOKUP("926-044000-100",B:AB,16+8,0),0)</f>
        <v>0</v>
      </c>
      <c r="Z980">
        <f>IFERROR(VLOOKUP("926-044000-100",B:AB,17+8,0),0)</f>
        <v>0</v>
      </c>
      <c r="AA980">
        <f>IFERROR(VLOOKUP("926-044000-100",B:AB,18+8,0),0)</f>
        <v>0</v>
      </c>
      <c r="AB980">
        <f>IFERROR(VLOOKUP("926-044000-100",B:AB,19+8,0),0)</f>
        <v>0</v>
      </c>
      <c r="AC980">
        <f>IFERROR(VLOOKUP("926-044000-100",B:AB,20+8,0),0)</f>
        <v>0</v>
      </c>
      <c r="AD980">
        <f>IFERROR(VLOOKUP("926-044000-100",B:AB,21+8,0),0)</f>
        <v>0</v>
      </c>
      <c r="AE980">
        <f>IFERROR(VLOOKUP("926-044000-100",B:AB,22+8,0),0)</f>
        <v>0</v>
      </c>
      <c r="AF980">
        <f>IFERROR(VLOOKUP("926-044000-100",B:AB,23+8,0),0)</f>
        <v>0</v>
      </c>
      <c r="AG980">
        <f>IFERROR(VLOOKUP("926-044000-100",B:AB,24+8,0),0)</f>
        <v>0</v>
      </c>
      <c r="AH980">
        <f>IFERROR(VLOOKUP("926-044000-100",B:AB,25+8,0),0)</f>
        <v>0</v>
      </c>
      <c r="AI980">
        <f>IFERROR(VLOOKUP("926-044000-100",B:AB,26+8,0),0)</f>
        <v>0</v>
      </c>
      <c r="AJ980">
        <f>IFERROR(VLOOKUP("926-044000-100",B:AB,27+8,0),0)</f>
        <v>0</v>
      </c>
      <c r="AK980">
        <f>IFERROR(VLOOKUP("926-044000-100",B:AB,28+8,0),0)</f>
        <v>0</v>
      </c>
      <c r="AL980">
        <f>IFERROR(VLOOKUP("926-044000-100",B:AB,29+8,0),0)</f>
        <v>0</v>
      </c>
      <c r="AM980">
        <f>IFERROR(VLOOKUP("926-044000-100",B:AB,30+8,0),0)</f>
        <v>0</v>
      </c>
      <c r="AN980">
        <f>IFERROR(VLOOKUP("926-044000-100",B:AB,31+8,0),0)</f>
        <v>0</v>
      </c>
      <c r="AO980">
        <f>SUN(INDIRECT(ADDRESS(979,8)):INDIRECT(ADDRESS(979,39)))</f>
        <v>0</v>
      </c>
    </row>
    <row r="981" spans="1:41">
      <c r="H981" t="s">
        <v>179</v>
      </c>
      <c r="J981">
        <f>INDIRECT(ADDRESS(981,9))+INDIRECT(ADDRESS(979,10))-INDIRECT(ADDRESS(980,10))</f>
        <v>0</v>
      </c>
      <c r="K981">
        <f>INDIRECT(ADDRESS(981,10))+INDIRECT(ADDRESS(979,11))-INDIRECT(ADDRESS(980,11))</f>
        <v>0</v>
      </c>
      <c r="L981">
        <f>INDIRECT(ADDRESS(981,11))+INDIRECT(ADDRESS(979,12))-INDIRECT(ADDRESS(980,12))</f>
        <v>0</v>
      </c>
      <c r="M981">
        <f>INDIRECT(ADDRESS(981,12))+INDIRECT(ADDRESS(979,13))-INDIRECT(ADDRESS(980,13))</f>
        <v>0</v>
      </c>
      <c r="N981">
        <f>INDIRECT(ADDRESS(981,13))+INDIRECT(ADDRESS(979,14))-INDIRECT(ADDRESS(980,14))</f>
        <v>0</v>
      </c>
      <c r="O981">
        <f>INDIRECT(ADDRESS(981,14))+INDIRECT(ADDRESS(979,15))-INDIRECT(ADDRESS(980,15))</f>
        <v>0</v>
      </c>
      <c r="P981">
        <f>INDIRECT(ADDRESS(981,15))+INDIRECT(ADDRESS(979,16))-INDIRECT(ADDRESS(980,16))</f>
        <v>0</v>
      </c>
      <c r="Q981">
        <f>INDIRECT(ADDRESS(981,16))+INDIRECT(ADDRESS(979,17))-INDIRECT(ADDRESS(980,17))</f>
        <v>0</v>
      </c>
      <c r="R981">
        <f>INDIRECT(ADDRESS(981,17))+INDIRECT(ADDRESS(979,18))-INDIRECT(ADDRESS(980,18))</f>
        <v>0</v>
      </c>
      <c r="S981">
        <f>INDIRECT(ADDRESS(981,18))+INDIRECT(ADDRESS(979,19))-INDIRECT(ADDRESS(980,19))</f>
        <v>0</v>
      </c>
      <c r="T981">
        <f>INDIRECT(ADDRESS(981,19))+INDIRECT(ADDRESS(979,20))-INDIRECT(ADDRESS(980,20))</f>
        <v>0</v>
      </c>
      <c r="U981">
        <f>INDIRECT(ADDRESS(981,20))+INDIRECT(ADDRESS(979,21))-INDIRECT(ADDRESS(980,21))</f>
        <v>0</v>
      </c>
      <c r="V981">
        <f>INDIRECT(ADDRESS(981,21))+INDIRECT(ADDRESS(979,22))-INDIRECT(ADDRESS(980,22))</f>
        <v>0</v>
      </c>
      <c r="W981">
        <f>INDIRECT(ADDRESS(981,22))+INDIRECT(ADDRESS(979,23))-INDIRECT(ADDRESS(980,23))</f>
        <v>0</v>
      </c>
      <c r="X981">
        <f>INDIRECT(ADDRESS(981,23))+INDIRECT(ADDRESS(979,24))-INDIRECT(ADDRESS(980,24))</f>
        <v>0</v>
      </c>
      <c r="Y981">
        <f>INDIRECT(ADDRESS(981,24))+INDIRECT(ADDRESS(979,25))-INDIRECT(ADDRESS(980,25))</f>
        <v>0</v>
      </c>
      <c r="Z981">
        <f>INDIRECT(ADDRESS(981,25))+INDIRECT(ADDRESS(979,26))-INDIRECT(ADDRESS(980,26))</f>
        <v>0</v>
      </c>
      <c r="AA981">
        <f>INDIRECT(ADDRESS(981,26))+INDIRECT(ADDRESS(979,27))-INDIRECT(ADDRESS(980,27))</f>
        <v>0</v>
      </c>
      <c r="AB981">
        <f>INDIRECT(ADDRESS(981,27))+INDIRECT(ADDRESS(979,28))-INDIRECT(ADDRESS(980,28))</f>
        <v>0</v>
      </c>
      <c r="AC981">
        <f>INDIRECT(ADDRESS(981,28))+INDIRECT(ADDRESS(979,29))-INDIRECT(ADDRESS(980,29))</f>
        <v>0</v>
      </c>
      <c r="AD981">
        <f>INDIRECT(ADDRESS(981,29))+INDIRECT(ADDRESS(979,30))-INDIRECT(ADDRESS(980,30))</f>
        <v>0</v>
      </c>
      <c r="AE981">
        <f>INDIRECT(ADDRESS(981,30))+INDIRECT(ADDRESS(979,31))-INDIRECT(ADDRESS(980,31))</f>
        <v>0</v>
      </c>
      <c r="AF981">
        <f>INDIRECT(ADDRESS(981,31))+INDIRECT(ADDRESS(979,32))-INDIRECT(ADDRESS(980,32))</f>
        <v>0</v>
      </c>
      <c r="AG981">
        <f>INDIRECT(ADDRESS(981,32))+INDIRECT(ADDRESS(979,33))-INDIRECT(ADDRESS(980,33))</f>
        <v>0</v>
      </c>
      <c r="AH981">
        <f>INDIRECT(ADDRESS(981,33))+INDIRECT(ADDRESS(979,34))-INDIRECT(ADDRESS(980,34))</f>
        <v>0</v>
      </c>
      <c r="AI981">
        <f>INDIRECT(ADDRESS(981,34))+INDIRECT(ADDRESS(979,35))-INDIRECT(ADDRESS(980,35))</f>
        <v>0</v>
      </c>
      <c r="AJ981">
        <f>INDIRECT(ADDRESS(981,35))+INDIRECT(ADDRESS(979,36))-INDIRECT(ADDRESS(980,36))</f>
        <v>0</v>
      </c>
      <c r="AK981">
        <f>INDIRECT(ADDRESS(981,36))+INDIRECT(ADDRESS(979,37))-INDIRECT(ADDRESS(980,37))</f>
        <v>0</v>
      </c>
      <c r="AL981">
        <f>INDIRECT(ADDRESS(981,37))+INDIRECT(ADDRESS(979,38))-INDIRECT(ADDRESS(980,38))</f>
        <v>0</v>
      </c>
      <c r="AM981">
        <f>INDIRECT(ADDRESS(981,38))+INDIRECT(ADDRESS(979,39))-INDIRECT(ADDRESS(980,39))</f>
        <v>0</v>
      </c>
      <c r="AN981">
        <f>INDIRECT(ADDRESS(981,39))+INDIRECT(ADDRESS(979,40))-INDIRECT(ADDRESS(980,40))</f>
        <v>0</v>
      </c>
      <c r="AO981">
        <f>SUM(INDIRECT(ADDRESS(980,8)):INDIRECT(ADDRESS(980,39)))</f>
        <v>0</v>
      </c>
    </row>
    <row r="982" spans="1:41">
      <c r="A982" t="s">
        <v>238</v>
      </c>
      <c r="B982" t="s">
        <v>511</v>
      </c>
      <c r="C982" t="s">
        <v>513</v>
      </c>
      <c r="E982">
        <v>0.034</v>
      </c>
      <c r="I982" t="s">
        <v>177</v>
      </c>
    </row>
    <row r="983" spans="1:41">
      <c r="I983" t="s">
        <v>178</v>
      </c>
      <c r="J983">
        <f>IFERROR(VLOOKUP("926-044000-100",B:AB,1+8,0),0)</f>
        <v>0</v>
      </c>
      <c r="K983">
        <f>IFERROR(VLOOKUP("926-044000-100",B:AB,2+8,0),0)</f>
        <v>0</v>
      </c>
      <c r="L983">
        <f>IFERROR(VLOOKUP("926-044000-100",B:AB,3+8,0),0)</f>
        <v>0</v>
      </c>
      <c r="M983">
        <f>IFERROR(VLOOKUP("926-044000-100",B:AB,4+8,0),0)</f>
        <v>0</v>
      </c>
      <c r="N983">
        <f>IFERROR(VLOOKUP("926-044000-100",B:AB,5+8,0),0)</f>
        <v>0</v>
      </c>
      <c r="O983">
        <f>IFERROR(VLOOKUP("926-044000-100",B:AB,6+8,0),0)</f>
        <v>0</v>
      </c>
      <c r="P983">
        <f>IFERROR(VLOOKUP("926-044000-100",B:AB,7+8,0),0)</f>
        <v>0</v>
      </c>
      <c r="Q983">
        <f>IFERROR(VLOOKUP("926-044000-100",B:AB,8+8,0),0)</f>
        <v>0</v>
      </c>
      <c r="R983">
        <f>IFERROR(VLOOKUP("926-044000-100",B:AB,9+8,0),0)</f>
        <v>0</v>
      </c>
      <c r="S983">
        <f>IFERROR(VLOOKUP("926-044000-100",B:AB,10+8,0),0)</f>
        <v>0</v>
      </c>
      <c r="T983">
        <f>IFERROR(VLOOKUP("926-044000-100",B:AB,11+8,0),0)</f>
        <v>0</v>
      </c>
      <c r="U983">
        <f>IFERROR(VLOOKUP("926-044000-100",B:AB,12+8,0),0)</f>
        <v>0</v>
      </c>
      <c r="V983">
        <f>IFERROR(VLOOKUP("926-044000-100",B:AB,13+8,0),0)</f>
        <v>0</v>
      </c>
      <c r="W983">
        <f>IFERROR(VLOOKUP("926-044000-100",B:AB,14+8,0),0)</f>
        <v>0</v>
      </c>
      <c r="X983">
        <f>IFERROR(VLOOKUP("926-044000-100",B:AB,15+8,0),0)</f>
        <v>0</v>
      </c>
      <c r="Y983">
        <f>IFERROR(VLOOKUP("926-044000-100",B:AB,16+8,0),0)</f>
        <v>0</v>
      </c>
      <c r="Z983">
        <f>IFERROR(VLOOKUP("926-044000-100",B:AB,17+8,0),0)</f>
        <v>0</v>
      </c>
      <c r="AA983">
        <f>IFERROR(VLOOKUP("926-044000-100",B:AB,18+8,0),0)</f>
        <v>0</v>
      </c>
      <c r="AB983">
        <f>IFERROR(VLOOKUP("926-044000-100",B:AB,19+8,0),0)</f>
        <v>0</v>
      </c>
      <c r="AC983">
        <f>IFERROR(VLOOKUP("926-044000-100",B:AB,20+8,0),0)</f>
        <v>0</v>
      </c>
      <c r="AD983">
        <f>IFERROR(VLOOKUP("926-044000-100",B:AB,21+8,0),0)</f>
        <v>0</v>
      </c>
      <c r="AE983">
        <f>IFERROR(VLOOKUP("926-044000-100",B:AB,22+8,0),0)</f>
        <v>0</v>
      </c>
      <c r="AF983">
        <f>IFERROR(VLOOKUP("926-044000-100",B:AB,23+8,0),0)</f>
        <v>0</v>
      </c>
      <c r="AG983">
        <f>IFERROR(VLOOKUP("926-044000-100",B:AB,24+8,0),0)</f>
        <v>0</v>
      </c>
      <c r="AH983">
        <f>IFERROR(VLOOKUP("926-044000-100",B:AB,25+8,0),0)</f>
        <v>0</v>
      </c>
      <c r="AI983">
        <f>IFERROR(VLOOKUP("926-044000-100",B:AB,26+8,0),0)</f>
        <v>0</v>
      </c>
      <c r="AJ983">
        <f>IFERROR(VLOOKUP("926-044000-100",B:AB,27+8,0),0)</f>
        <v>0</v>
      </c>
      <c r="AK983">
        <f>IFERROR(VLOOKUP("926-044000-100",B:AB,28+8,0),0)</f>
        <v>0</v>
      </c>
      <c r="AL983">
        <f>IFERROR(VLOOKUP("926-044000-100",B:AB,29+8,0),0)</f>
        <v>0</v>
      </c>
      <c r="AM983">
        <f>IFERROR(VLOOKUP("926-044000-100",B:AB,30+8,0),0)</f>
        <v>0</v>
      </c>
      <c r="AN983">
        <f>IFERROR(VLOOKUP("926-044000-100",B:AB,31+8,0),0)</f>
        <v>0</v>
      </c>
      <c r="AO983">
        <f>SUN(INDIRECT(ADDRESS(982,8)):INDIRECT(ADDRESS(982,39)))</f>
        <v>0</v>
      </c>
    </row>
    <row r="984" spans="1:41">
      <c r="H984" t="s">
        <v>179</v>
      </c>
      <c r="J984">
        <f>INDIRECT(ADDRESS(984,9))+INDIRECT(ADDRESS(982,10))-INDIRECT(ADDRESS(983,10))</f>
        <v>0</v>
      </c>
      <c r="K984">
        <f>INDIRECT(ADDRESS(984,10))+INDIRECT(ADDRESS(982,11))-INDIRECT(ADDRESS(983,11))</f>
        <v>0</v>
      </c>
      <c r="L984">
        <f>INDIRECT(ADDRESS(984,11))+INDIRECT(ADDRESS(982,12))-INDIRECT(ADDRESS(983,12))</f>
        <v>0</v>
      </c>
      <c r="M984">
        <f>INDIRECT(ADDRESS(984,12))+INDIRECT(ADDRESS(982,13))-INDIRECT(ADDRESS(983,13))</f>
        <v>0</v>
      </c>
      <c r="N984">
        <f>INDIRECT(ADDRESS(984,13))+INDIRECT(ADDRESS(982,14))-INDIRECT(ADDRESS(983,14))</f>
        <v>0</v>
      </c>
      <c r="O984">
        <f>INDIRECT(ADDRESS(984,14))+INDIRECT(ADDRESS(982,15))-INDIRECT(ADDRESS(983,15))</f>
        <v>0</v>
      </c>
      <c r="P984">
        <f>INDIRECT(ADDRESS(984,15))+INDIRECT(ADDRESS(982,16))-INDIRECT(ADDRESS(983,16))</f>
        <v>0</v>
      </c>
      <c r="Q984">
        <f>INDIRECT(ADDRESS(984,16))+INDIRECT(ADDRESS(982,17))-INDIRECT(ADDRESS(983,17))</f>
        <v>0</v>
      </c>
      <c r="R984">
        <f>INDIRECT(ADDRESS(984,17))+INDIRECT(ADDRESS(982,18))-INDIRECT(ADDRESS(983,18))</f>
        <v>0</v>
      </c>
      <c r="S984">
        <f>INDIRECT(ADDRESS(984,18))+INDIRECT(ADDRESS(982,19))-INDIRECT(ADDRESS(983,19))</f>
        <v>0</v>
      </c>
      <c r="T984">
        <f>INDIRECT(ADDRESS(984,19))+INDIRECT(ADDRESS(982,20))-INDIRECT(ADDRESS(983,20))</f>
        <v>0</v>
      </c>
      <c r="U984">
        <f>INDIRECT(ADDRESS(984,20))+INDIRECT(ADDRESS(982,21))-INDIRECT(ADDRESS(983,21))</f>
        <v>0</v>
      </c>
      <c r="V984">
        <f>INDIRECT(ADDRESS(984,21))+INDIRECT(ADDRESS(982,22))-INDIRECT(ADDRESS(983,22))</f>
        <v>0</v>
      </c>
      <c r="W984">
        <f>INDIRECT(ADDRESS(984,22))+INDIRECT(ADDRESS(982,23))-INDIRECT(ADDRESS(983,23))</f>
        <v>0</v>
      </c>
      <c r="X984">
        <f>INDIRECT(ADDRESS(984,23))+INDIRECT(ADDRESS(982,24))-INDIRECT(ADDRESS(983,24))</f>
        <v>0</v>
      </c>
      <c r="Y984">
        <f>INDIRECT(ADDRESS(984,24))+INDIRECT(ADDRESS(982,25))-INDIRECT(ADDRESS(983,25))</f>
        <v>0</v>
      </c>
      <c r="Z984">
        <f>INDIRECT(ADDRESS(984,25))+INDIRECT(ADDRESS(982,26))-INDIRECT(ADDRESS(983,26))</f>
        <v>0</v>
      </c>
      <c r="AA984">
        <f>INDIRECT(ADDRESS(984,26))+INDIRECT(ADDRESS(982,27))-INDIRECT(ADDRESS(983,27))</f>
        <v>0</v>
      </c>
      <c r="AB984">
        <f>INDIRECT(ADDRESS(984,27))+INDIRECT(ADDRESS(982,28))-INDIRECT(ADDRESS(983,28))</f>
        <v>0</v>
      </c>
      <c r="AC984">
        <f>INDIRECT(ADDRESS(984,28))+INDIRECT(ADDRESS(982,29))-INDIRECT(ADDRESS(983,29))</f>
        <v>0</v>
      </c>
      <c r="AD984">
        <f>INDIRECT(ADDRESS(984,29))+INDIRECT(ADDRESS(982,30))-INDIRECT(ADDRESS(983,30))</f>
        <v>0</v>
      </c>
      <c r="AE984">
        <f>INDIRECT(ADDRESS(984,30))+INDIRECT(ADDRESS(982,31))-INDIRECT(ADDRESS(983,31))</f>
        <v>0</v>
      </c>
      <c r="AF984">
        <f>INDIRECT(ADDRESS(984,31))+INDIRECT(ADDRESS(982,32))-INDIRECT(ADDRESS(983,32))</f>
        <v>0</v>
      </c>
      <c r="AG984">
        <f>INDIRECT(ADDRESS(984,32))+INDIRECT(ADDRESS(982,33))-INDIRECT(ADDRESS(983,33))</f>
        <v>0</v>
      </c>
      <c r="AH984">
        <f>INDIRECT(ADDRESS(984,33))+INDIRECT(ADDRESS(982,34))-INDIRECT(ADDRESS(983,34))</f>
        <v>0</v>
      </c>
      <c r="AI984">
        <f>INDIRECT(ADDRESS(984,34))+INDIRECT(ADDRESS(982,35))-INDIRECT(ADDRESS(983,35))</f>
        <v>0</v>
      </c>
      <c r="AJ984">
        <f>INDIRECT(ADDRESS(984,35))+INDIRECT(ADDRESS(982,36))-INDIRECT(ADDRESS(983,36))</f>
        <v>0</v>
      </c>
      <c r="AK984">
        <f>INDIRECT(ADDRESS(984,36))+INDIRECT(ADDRESS(982,37))-INDIRECT(ADDRESS(983,37))</f>
        <v>0</v>
      </c>
      <c r="AL984">
        <f>INDIRECT(ADDRESS(984,37))+INDIRECT(ADDRESS(982,38))-INDIRECT(ADDRESS(983,38))</f>
        <v>0</v>
      </c>
      <c r="AM984">
        <f>INDIRECT(ADDRESS(984,38))+INDIRECT(ADDRESS(982,39))-INDIRECT(ADDRESS(983,39))</f>
        <v>0</v>
      </c>
      <c r="AN984">
        <f>INDIRECT(ADDRESS(984,39))+INDIRECT(ADDRESS(982,40))-INDIRECT(ADDRESS(983,40))</f>
        <v>0</v>
      </c>
      <c r="AO984">
        <f>SUM(INDIRECT(ADDRESS(983,8)):INDIRECT(ADDRESS(983,39)))</f>
        <v>0</v>
      </c>
    </row>
    <row r="985" spans="1:41">
      <c r="A985" t="s">
        <v>8</v>
      </c>
      <c r="B985" t="s">
        <v>75</v>
      </c>
      <c r="C985" t="s">
        <v>76</v>
      </c>
      <c r="E985">
        <v>1</v>
      </c>
      <c r="I985" t="s">
        <v>177</v>
      </c>
    </row>
    <row r="986" spans="1:41">
      <c r="I986" t="s">
        <v>178</v>
      </c>
      <c r="J986">
        <f>IFERROR(VLOOKUP("922-096465-100",Out!B:AB,1+8,0),0)</f>
        <v>0</v>
      </c>
      <c r="K986">
        <f>IFERROR(VLOOKUP("922-096465-100",Out!B:AB,2+8,0),0)</f>
        <v>0</v>
      </c>
      <c r="L986">
        <f>IFERROR(VLOOKUP("922-096465-100",Out!B:AB,3+8,0),0)</f>
        <v>0</v>
      </c>
      <c r="M986">
        <f>IFERROR(VLOOKUP("922-096465-100",Out!B:AB,4+8,0),0)</f>
        <v>0</v>
      </c>
      <c r="N986">
        <f>IFERROR(VLOOKUP("922-096465-100",Out!B:AB,5+8,0),0)</f>
        <v>0</v>
      </c>
      <c r="O986">
        <f>IFERROR(VLOOKUP("922-096465-100",Out!B:AB,6+8,0),0)</f>
        <v>0</v>
      </c>
      <c r="P986">
        <f>IFERROR(VLOOKUP("922-096465-100",Out!B:AB,7+8,0),0)</f>
        <v>0</v>
      </c>
      <c r="Q986">
        <f>IFERROR(VLOOKUP("922-096465-100",Out!B:AB,8+8,0),0)</f>
        <v>0</v>
      </c>
      <c r="R986">
        <f>IFERROR(VLOOKUP("922-096465-100",Out!B:AB,9+8,0),0)</f>
        <v>0</v>
      </c>
      <c r="S986">
        <f>IFERROR(VLOOKUP("922-096465-100",Out!B:AB,10+8,0),0)</f>
        <v>0</v>
      </c>
      <c r="T986">
        <f>IFERROR(VLOOKUP("922-096465-100",Out!B:AB,11+8,0),0)</f>
        <v>0</v>
      </c>
      <c r="U986">
        <f>IFERROR(VLOOKUP("922-096465-100",Out!B:AB,12+8,0),0)</f>
        <v>0</v>
      </c>
      <c r="V986">
        <f>IFERROR(VLOOKUP("922-096465-100",Out!B:AB,13+8,0),0)</f>
        <v>0</v>
      </c>
      <c r="W986">
        <f>IFERROR(VLOOKUP("922-096465-100",Out!B:AB,14+8,0),0)</f>
        <v>0</v>
      </c>
      <c r="X986">
        <f>IFERROR(VLOOKUP("922-096465-100",Out!B:AB,15+8,0),0)</f>
        <v>0</v>
      </c>
      <c r="Y986">
        <f>IFERROR(VLOOKUP("922-096465-100",Out!B:AB,16+8,0),0)</f>
        <v>0</v>
      </c>
      <c r="Z986">
        <f>IFERROR(VLOOKUP("922-096465-100",Out!B:AB,17+8,0),0)</f>
        <v>0</v>
      </c>
      <c r="AA986">
        <f>IFERROR(VLOOKUP("922-096465-100",Out!B:AB,18+8,0),0)</f>
        <v>0</v>
      </c>
      <c r="AB986">
        <f>IFERROR(VLOOKUP("922-096465-100",Out!B:AB,19+8,0),0)</f>
        <v>0</v>
      </c>
      <c r="AC986">
        <f>IFERROR(VLOOKUP("922-096465-100",Out!B:AB,20+8,0),0)</f>
        <v>0</v>
      </c>
      <c r="AD986">
        <f>IFERROR(VLOOKUP("922-096465-100",Out!B:AB,21+8,0),0)</f>
        <v>0</v>
      </c>
      <c r="AE986">
        <f>IFERROR(VLOOKUP("922-096465-100",Out!B:AB,22+8,0),0)</f>
        <v>0</v>
      </c>
      <c r="AF986">
        <f>IFERROR(VLOOKUP("922-096465-100",Out!B:AB,23+8,0),0)</f>
        <v>0</v>
      </c>
      <c r="AG986">
        <f>IFERROR(VLOOKUP("922-096465-100",Out!B:AB,24+8,0),0)</f>
        <v>0</v>
      </c>
      <c r="AH986">
        <f>IFERROR(VLOOKUP("922-096465-100",Out!B:AB,25+8,0),0)</f>
        <v>0</v>
      </c>
      <c r="AI986">
        <f>IFERROR(VLOOKUP("922-096465-100",Out!B:AB,26+8,0),0)</f>
        <v>0</v>
      </c>
      <c r="AJ986">
        <f>IFERROR(VLOOKUP("922-096465-100",Out!B:AB,27+8,0),0)</f>
        <v>0</v>
      </c>
      <c r="AK986">
        <f>IFERROR(VLOOKUP("922-096465-100",Out!B:AB,28+8,0),0)</f>
        <v>0</v>
      </c>
      <c r="AL986">
        <f>IFERROR(VLOOKUP("922-096465-100",Out!B:AB,29+8,0),0)</f>
        <v>0</v>
      </c>
      <c r="AM986">
        <f>IFERROR(VLOOKUP("922-096465-100",Out!B:AB,30+8,0),0)</f>
        <v>0</v>
      </c>
      <c r="AN986">
        <f>IFERROR(VLOOKUP("922-096465-100",Out!B:AB,31+8,0),0)</f>
        <v>0</v>
      </c>
      <c r="AO986">
        <f>SUN(INDIRECT(ADDRESS(985,8)):INDIRECT(ADDRESS(985,39)))</f>
        <v>0</v>
      </c>
    </row>
    <row r="987" spans="1:41">
      <c r="H987" t="s">
        <v>179</v>
      </c>
      <c r="J987">
        <f>INDIRECT(ADDRESS(987,9))+INDIRECT(ADDRESS(985,10))-INDIRECT(ADDRESS(986,10))</f>
        <v>0</v>
      </c>
      <c r="K987">
        <f>INDIRECT(ADDRESS(987,10))+INDIRECT(ADDRESS(985,11))-INDIRECT(ADDRESS(986,11))</f>
        <v>0</v>
      </c>
      <c r="L987">
        <f>INDIRECT(ADDRESS(987,11))+INDIRECT(ADDRESS(985,12))-INDIRECT(ADDRESS(986,12))</f>
        <v>0</v>
      </c>
      <c r="M987">
        <f>INDIRECT(ADDRESS(987,12))+INDIRECT(ADDRESS(985,13))-INDIRECT(ADDRESS(986,13))</f>
        <v>0</v>
      </c>
      <c r="N987">
        <f>INDIRECT(ADDRESS(987,13))+INDIRECT(ADDRESS(985,14))-INDIRECT(ADDRESS(986,14))</f>
        <v>0</v>
      </c>
      <c r="O987">
        <f>INDIRECT(ADDRESS(987,14))+INDIRECT(ADDRESS(985,15))-INDIRECT(ADDRESS(986,15))</f>
        <v>0</v>
      </c>
      <c r="P987">
        <f>INDIRECT(ADDRESS(987,15))+INDIRECT(ADDRESS(985,16))-INDIRECT(ADDRESS(986,16))</f>
        <v>0</v>
      </c>
      <c r="Q987">
        <f>INDIRECT(ADDRESS(987,16))+INDIRECT(ADDRESS(985,17))-INDIRECT(ADDRESS(986,17))</f>
        <v>0</v>
      </c>
      <c r="R987">
        <f>INDIRECT(ADDRESS(987,17))+INDIRECT(ADDRESS(985,18))-INDIRECT(ADDRESS(986,18))</f>
        <v>0</v>
      </c>
      <c r="S987">
        <f>INDIRECT(ADDRESS(987,18))+INDIRECT(ADDRESS(985,19))-INDIRECT(ADDRESS(986,19))</f>
        <v>0</v>
      </c>
      <c r="T987">
        <f>INDIRECT(ADDRESS(987,19))+INDIRECT(ADDRESS(985,20))-INDIRECT(ADDRESS(986,20))</f>
        <v>0</v>
      </c>
      <c r="U987">
        <f>INDIRECT(ADDRESS(987,20))+INDIRECT(ADDRESS(985,21))-INDIRECT(ADDRESS(986,21))</f>
        <v>0</v>
      </c>
      <c r="V987">
        <f>INDIRECT(ADDRESS(987,21))+INDIRECT(ADDRESS(985,22))-INDIRECT(ADDRESS(986,22))</f>
        <v>0</v>
      </c>
      <c r="W987">
        <f>INDIRECT(ADDRESS(987,22))+INDIRECT(ADDRESS(985,23))-INDIRECT(ADDRESS(986,23))</f>
        <v>0</v>
      </c>
      <c r="X987">
        <f>INDIRECT(ADDRESS(987,23))+INDIRECT(ADDRESS(985,24))-INDIRECT(ADDRESS(986,24))</f>
        <v>0</v>
      </c>
      <c r="Y987">
        <f>INDIRECT(ADDRESS(987,24))+INDIRECT(ADDRESS(985,25))-INDIRECT(ADDRESS(986,25))</f>
        <v>0</v>
      </c>
      <c r="Z987">
        <f>INDIRECT(ADDRESS(987,25))+INDIRECT(ADDRESS(985,26))-INDIRECT(ADDRESS(986,26))</f>
        <v>0</v>
      </c>
      <c r="AA987">
        <f>INDIRECT(ADDRESS(987,26))+INDIRECT(ADDRESS(985,27))-INDIRECT(ADDRESS(986,27))</f>
        <v>0</v>
      </c>
      <c r="AB987">
        <f>INDIRECT(ADDRESS(987,27))+INDIRECT(ADDRESS(985,28))-INDIRECT(ADDRESS(986,28))</f>
        <v>0</v>
      </c>
      <c r="AC987">
        <f>INDIRECT(ADDRESS(987,28))+INDIRECT(ADDRESS(985,29))-INDIRECT(ADDRESS(986,29))</f>
        <v>0</v>
      </c>
      <c r="AD987">
        <f>INDIRECT(ADDRESS(987,29))+INDIRECT(ADDRESS(985,30))-INDIRECT(ADDRESS(986,30))</f>
        <v>0</v>
      </c>
      <c r="AE987">
        <f>INDIRECT(ADDRESS(987,30))+INDIRECT(ADDRESS(985,31))-INDIRECT(ADDRESS(986,31))</f>
        <v>0</v>
      </c>
      <c r="AF987">
        <f>INDIRECT(ADDRESS(987,31))+INDIRECT(ADDRESS(985,32))-INDIRECT(ADDRESS(986,32))</f>
        <v>0</v>
      </c>
      <c r="AG987">
        <f>INDIRECT(ADDRESS(987,32))+INDIRECT(ADDRESS(985,33))-INDIRECT(ADDRESS(986,33))</f>
        <v>0</v>
      </c>
      <c r="AH987">
        <f>INDIRECT(ADDRESS(987,33))+INDIRECT(ADDRESS(985,34))-INDIRECT(ADDRESS(986,34))</f>
        <v>0</v>
      </c>
      <c r="AI987">
        <f>INDIRECT(ADDRESS(987,34))+INDIRECT(ADDRESS(985,35))-INDIRECT(ADDRESS(986,35))</f>
        <v>0</v>
      </c>
      <c r="AJ987">
        <f>INDIRECT(ADDRESS(987,35))+INDIRECT(ADDRESS(985,36))-INDIRECT(ADDRESS(986,36))</f>
        <v>0</v>
      </c>
      <c r="AK987">
        <f>INDIRECT(ADDRESS(987,36))+INDIRECT(ADDRESS(985,37))-INDIRECT(ADDRESS(986,37))</f>
        <v>0</v>
      </c>
      <c r="AL987">
        <f>INDIRECT(ADDRESS(987,37))+INDIRECT(ADDRESS(985,38))-INDIRECT(ADDRESS(986,38))</f>
        <v>0</v>
      </c>
      <c r="AM987">
        <f>INDIRECT(ADDRESS(987,38))+INDIRECT(ADDRESS(985,39))-INDIRECT(ADDRESS(986,39))</f>
        <v>0</v>
      </c>
      <c r="AN987">
        <f>INDIRECT(ADDRESS(987,39))+INDIRECT(ADDRESS(985,40))-INDIRECT(ADDRESS(986,40))</f>
        <v>0</v>
      </c>
      <c r="AO987">
        <f>SUM(INDIRECT(ADDRESS(986,8)):INDIRECT(ADDRESS(986,39)))</f>
        <v>0</v>
      </c>
    </row>
    <row r="988" spans="1:41">
      <c r="A988" t="s">
        <v>180</v>
      </c>
      <c r="B988" t="s">
        <v>514</v>
      </c>
      <c r="C988" t="s">
        <v>515</v>
      </c>
      <c r="E988">
        <v>1</v>
      </c>
      <c r="I988" t="s">
        <v>177</v>
      </c>
    </row>
    <row r="989" spans="1:41">
      <c r="I989" t="s">
        <v>178</v>
      </c>
      <c r="J989">
        <f>IFERROR(VLOOKUP("922-096465-100",B:AB,1+8,0),0)</f>
        <v>0</v>
      </c>
      <c r="K989">
        <f>IFERROR(VLOOKUP("922-096465-100",B:AB,2+8,0),0)</f>
        <v>0</v>
      </c>
      <c r="L989">
        <f>IFERROR(VLOOKUP("922-096465-100",B:AB,3+8,0),0)</f>
        <v>0</v>
      </c>
      <c r="M989">
        <f>IFERROR(VLOOKUP("922-096465-100",B:AB,4+8,0),0)</f>
        <v>0</v>
      </c>
      <c r="N989">
        <f>IFERROR(VLOOKUP("922-096465-100",B:AB,5+8,0),0)</f>
        <v>0</v>
      </c>
      <c r="O989">
        <f>IFERROR(VLOOKUP("922-096465-100",B:AB,6+8,0),0)</f>
        <v>0</v>
      </c>
      <c r="P989">
        <f>IFERROR(VLOOKUP("922-096465-100",B:AB,7+8,0),0)</f>
        <v>0</v>
      </c>
      <c r="Q989">
        <f>IFERROR(VLOOKUP("922-096465-100",B:AB,8+8,0),0)</f>
        <v>0</v>
      </c>
      <c r="R989">
        <f>IFERROR(VLOOKUP("922-096465-100",B:AB,9+8,0),0)</f>
        <v>0</v>
      </c>
      <c r="S989">
        <f>IFERROR(VLOOKUP("922-096465-100",B:AB,10+8,0),0)</f>
        <v>0</v>
      </c>
      <c r="T989">
        <f>IFERROR(VLOOKUP("922-096465-100",B:AB,11+8,0),0)</f>
        <v>0</v>
      </c>
      <c r="U989">
        <f>IFERROR(VLOOKUP("922-096465-100",B:AB,12+8,0),0)</f>
        <v>0</v>
      </c>
      <c r="V989">
        <f>IFERROR(VLOOKUP("922-096465-100",B:AB,13+8,0),0)</f>
        <v>0</v>
      </c>
      <c r="W989">
        <f>IFERROR(VLOOKUP("922-096465-100",B:AB,14+8,0),0)</f>
        <v>0</v>
      </c>
      <c r="X989">
        <f>IFERROR(VLOOKUP("922-096465-100",B:AB,15+8,0),0)</f>
        <v>0</v>
      </c>
      <c r="Y989">
        <f>IFERROR(VLOOKUP("922-096465-100",B:AB,16+8,0),0)</f>
        <v>0</v>
      </c>
      <c r="Z989">
        <f>IFERROR(VLOOKUP("922-096465-100",B:AB,17+8,0),0)</f>
        <v>0</v>
      </c>
      <c r="AA989">
        <f>IFERROR(VLOOKUP("922-096465-100",B:AB,18+8,0),0)</f>
        <v>0</v>
      </c>
      <c r="AB989">
        <f>IFERROR(VLOOKUP("922-096465-100",B:AB,19+8,0),0)</f>
        <v>0</v>
      </c>
      <c r="AC989">
        <f>IFERROR(VLOOKUP("922-096465-100",B:AB,20+8,0),0)</f>
        <v>0</v>
      </c>
      <c r="AD989">
        <f>IFERROR(VLOOKUP("922-096465-100",B:AB,21+8,0),0)</f>
        <v>0</v>
      </c>
      <c r="AE989">
        <f>IFERROR(VLOOKUP("922-096465-100",B:AB,22+8,0),0)</f>
        <v>0</v>
      </c>
      <c r="AF989">
        <f>IFERROR(VLOOKUP("922-096465-100",B:AB,23+8,0),0)</f>
        <v>0</v>
      </c>
      <c r="AG989">
        <f>IFERROR(VLOOKUP("922-096465-100",B:AB,24+8,0),0)</f>
        <v>0</v>
      </c>
      <c r="AH989">
        <f>IFERROR(VLOOKUP("922-096465-100",B:AB,25+8,0),0)</f>
        <v>0</v>
      </c>
      <c r="AI989">
        <f>IFERROR(VLOOKUP("922-096465-100",B:AB,26+8,0),0)</f>
        <v>0</v>
      </c>
      <c r="AJ989">
        <f>IFERROR(VLOOKUP("922-096465-100",B:AB,27+8,0),0)</f>
        <v>0</v>
      </c>
      <c r="AK989">
        <f>IFERROR(VLOOKUP("922-096465-100",B:AB,28+8,0),0)</f>
        <v>0</v>
      </c>
      <c r="AL989">
        <f>IFERROR(VLOOKUP("922-096465-100",B:AB,29+8,0),0)</f>
        <v>0</v>
      </c>
      <c r="AM989">
        <f>IFERROR(VLOOKUP("922-096465-100",B:AB,30+8,0),0)</f>
        <v>0</v>
      </c>
      <c r="AN989">
        <f>IFERROR(VLOOKUP("922-096465-100",B:AB,31+8,0),0)</f>
        <v>0</v>
      </c>
      <c r="AO989">
        <f>SUN(INDIRECT(ADDRESS(988,8)):INDIRECT(ADDRESS(988,39)))</f>
        <v>0</v>
      </c>
    </row>
    <row r="990" spans="1:41">
      <c r="H990" t="s">
        <v>179</v>
      </c>
      <c r="J990">
        <f>INDIRECT(ADDRESS(990,9))+INDIRECT(ADDRESS(988,10))-INDIRECT(ADDRESS(989,10))</f>
        <v>0</v>
      </c>
      <c r="K990">
        <f>INDIRECT(ADDRESS(990,10))+INDIRECT(ADDRESS(988,11))-INDIRECT(ADDRESS(989,11))</f>
        <v>0</v>
      </c>
      <c r="L990">
        <f>INDIRECT(ADDRESS(990,11))+INDIRECT(ADDRESS(988,12))-INDIRECT(ADDRESS(989,12))</f>
        <v>0</v>
      </c>
      <c r="M990">
        <f>INDIRECT(ADDRESS(990,12))+INDIRECT(ADDRESS(988,13))-INDIRECT(ADDRESS(989,13))</f>
        <v>0</v>
      </c>
      <c r="N990">
        <f>INDIRECT(ADDRESS(990,13))+INDIRECT(ADDRESS(988,14))-INDIRECT(ADDRESS(989,14))</f>
        <v>0</v>
      </c>
      <c r="O990">
        <f>INDIRECT(ADDRESS(990,14))+INDIRECT(ADDRESS(988,15))-INDIRECT(ADDRESS(989,15))</f>
        <v>0</v>
      </c>
      <c r="P990">
        <f>INDIRECT(ADDRESS(990,15))+INDIRECT(ADDRESS(988,16))-INDIRECT(ADDRESS(989,16))</f>
        <v>0</v>
      </c>
      <c r="Q990">
        <f>INDIRECT(ADDRESS(990,16))+INDIRECT(ADDRESS(988,17))-INDIRECT(ADDRESS(989,17))</f>
        <v>0</v>
      </c>
      <c r="R990">
        <f>INDIRECT(ADDRESS(990,17))+INDIRECT(ADDRESS(988,18))-INDIRECT(ADDRESS(989,18))</f>
        <v>0</v>
      </c>
      <c r="S990">
        <f>INDIRECT(ADDRESS(990,18))+INDIRECT(ADDRESS(988,19))-INDIRECT(ADDRESS(989,19))</f>
        <v>0</v>
      </c>
      <c r="T990">
        <f>INDIRECT(ADDRESS(990,19))+INDIRECT(ADDRESS(988,20))-INDIRECT(ADDRESS(989,20))</f>
        <v>0</v>
      </c>
      <c r="U990">
        <f>INDIRECT(ADDRESS(990,20))+INDIRECT(ADDRESS(988,21))-INDIRECT(ADDRESS(989,21))</f>
        <v>0</v>
      </c>
      <c r="V990">
        <f>INDIRECT(ADDRESS(990,21))+INDIRECT(ADDRESS(988,22))-INDIRECT(ADDRESS(989,22))</f>
        <v>0</v>
      </c>
      <c r="W990">
        <f>INDIRECT(ADDRESS(990,22))+INDIRECT(ADDRESS(988,23))-INDIRECT(ADDRESS(989,23))</f>
        <v>0</v>
      </c>
      <c r="X990">
        <f>INDIRECT(ADDRESS(990,23))+INDIRECT(ADDRESS(988,24))-INDIRECT(ADDRESS(989,24))</f>
        <v>0</v>
      </c>
      <c r="Y990">
        <f>INDIRECT(ADDRESS(990,24))+INDIRECT(ADDRESS(988,25))-INDIRECT(ADDRESS(989,25))</f>
        <v>0</v>
      </c>
      <c r="Z990">
        <f>INDIRECT(ADDRESS(990,25))+INDIRECT(ADDRESS(988,26))-INDIRECT(ADDRESS(989,26))</f>
        <v>0</v>
      </c>
      <c r="AA990">
        <f>INDIRECT(ADDRESS(990,26))+INDIRECT(ADDRESS(988,27))-INDIRECT(ADDRESS(989,27))</f>
        <v>0</v>
      </c>
      <c r="AB990">
        <f>INDIRECT(ADDRESS(990,27))+INDIRECT(ADDRESS(988,28))-INDIRECT(ADDRESS(989,28))</f>
        <v>0</v>
      </c>
      <c r="AC990">
        <f>INDIRECT(ADDRESS(990,28))+INDIRECT(ADDRESS(988,29))-INDIRECT(ADDRESS(989,29))</f>
        <v>0</v>
      </c>
      <c r="AD990">
        <f>INDIRECT(ADDRESS(990,29))+INDIRECT(ADDRESS(988,30))-INDIRECT(ADDRESS(989,30))</f>
        <v>0</v>
      </c>
      <c r="AE990">
        <f>INDIRECT(ADDRESS(990,30))+INDIRECT(ADDRESS(988,31))-INDIRECT(ADDRESS(989,31))</f>
        <v>0</v>
      </c>
      <c r="AF990">
        <f>INDIRECT(ADDRESS(990,31))+INDIRECT(ADDRESS(988,32))-INDIRECT(ADDRESS(989,32))</f>
        <v>0</v>
      </c>
      <c r="AG990">
        <f>INDIRECT(ADDRESS(990,32))+INDIRECT(ADDRESS(988,33))-INDIRECT(ADDRESS(989,33))</f>
        <v>0</v>
      </c>
      <c r="AH990">
        <f>INDIRECT(ADDRESS(990,33))+INDIRECT(ADDRESS(988,34))-INDIRECT(ADDRESS(989,34))</f>
        <v>0</v>
      </c>
      <c r="AI990">
        <f>INDIRECT(ADDRESS(990,34))+INDIRECT(ADDRESS(988,35))-INDIRECT(ADDRESS(989,35))</f>
        <v>0</v>
      </c>
      <c r="AJ990">
        <f>INDIRECT(ADDRESS(990,35))+INDIRECT(ADDRESS(988,36))-INDIRECT(ADDRESS(989,36))</f>
        <v>0</v>
      </c>
      <c r="AK990">
        <f>INDIRECT(ADDRESS(990,36))+INDIRECT(ADDRESS(988,37))-INDIRECT(ADDRESS(989,37))</f>
        <v>0</v>
      </c>
      <c r="AL990">
        <f>INDIRECT(ADDRESS(990,37))+INDIRECT(ADDRESS(988,38))-INDIRECT(ADDRESS(989,38))</f>
        <v>0</v>
      </c>
      <c r="AM990">
        <f>INDIRECT(ADDRESS(990,38))+INDIRECT(ADDRESS(988,39))-INDIRECT(ADDRESS(989,39))</f>
        <v>0</v>
      </c>
      <c r="AN990">
        <f>INDIRECT(ADDRESS(990,39))+INDIRECT(ADDRESS(988,40))-INDIRECT(ADDRESS(989,40))</f>
        <v>0</v>
      </c>
      <c r="AO990">
        <f>SUM(INDIRECT(ADDRESS(989,8)):INDIRECT(ADDRESS(989,39)))</f>
        <v>0</v>
      </c>
    </row>
    <row r="991" spans="1:41">
      <c r="A991" t="s">
        <v>185</v>
      </c>
      <c r="B991" t="s">
        <v>516</v>
      </c>
      <c r="C991" t="s">
        <v>517</v>
      </c>
      <c r="E991">
        <v>1</v>
      </c>
      <c r="I991" t="s">
        <v>177</v>
      </c>
    </row>
    <row r="992" spans="1:41">
      <c r="I992" t="s">
        <v>178</v>
      </c>
      <c r="J992">
        <f>IFERROR(VLOOKUP("922-096465-100",B:AB,1+8,0),0)</f>
        <v>0</v>
      </c>
      <c r="K992">
        <f>IFERROR(VLOOKUP("922-096465-100",B:AB,2+8,0),0)</f>
        <v>0</v>
      </c>
      <c r="L992">
        <f>IFERROR(VLOOKUP("922-096465-100",B:AB,3+8,0),0)</f>
        <v>0</v>
      </c>
      <c r="M992">
        <f>IFERROR(VLOOKUP("922-096465-100",B:AB,4+8,0),0)</f>
        <v>0</v>
      </c>
      <c r="N992">
        <f>IFERROR(VLOOKUP("922-096465-100",B:AB,5+8,0),0)</f>
        <v>0</v>
      </c>
      <c r="O992">
        <f>IFERROR(VLOOKUP("922-096465-100",B:AB,6+8,0),0)</f>
        <v>0</v>
      </c>
      <c r="P992">
        <f>IFERROR(VLOOKUP("922-096465-100",B:AB,7+8,0),0)</f>
        <v>0</v>
      </c>
      <c r="Q992">
        <f>IFERROR(VLOOKUP("922-096465-100",B:AB,8+8,0),0)</f>
        <v>0</v>
      </c>
      <c r="R992">
        <f>IFERROR(VLOOKUP("922-096465-100",B:AB,9+8,0),0)</f>
        <v>0</v>
      </c>
      <c r="S992">
        <f>IFERROR(VLOOKUP("922-096465-100",B:AB,10+8,0),0)</f>
        <v>0</v>
      </c>
      <c r="T992">
        <f>IFERROR(VLOOKUP("922-096465-100",B:AB,11+8,0),0)</f>
        <v>0</v>
      </c>
      <c r="U992">
        <f>IFERROR(VLOOKUP("922-096465-100",B:AB,12+8,0),0)</f>
        <v>0</v>
      </c>
      <c r="V992">
        <f>IFERROR(VLOOKUP("922-096465-100",B:AB,13+8,0),0)</f>
        <v>0</v>
      </c>
      <c r="W992">
        <f>IFERROR(VLOOKUP("922-096465-100",B:AB,14+8,0),0)</f>
        <v>0</v>
      </c>
      <c r="X992">
        <f>IFERROR(VLOOKUP("922-096465-100",B:AB,15+8,0),0)</f>
        <v>0</v>
      </c>
      <c r="Y992">
        <f>IFERROR(VLOOKUP("922-096465-100",B:AB,16+8,0),0)</f>
        <v>0</v>
      </c>
      <c r="Z992">
        <f>IFERROR(VLOOKUP("922-096465-100",B:AB,17+8,0),0)</f>
        <v>0</v>
      </c>
      <c r="AA992">
        <f>IFERROR(VLOOKUP("922-096465-100",B:AB,18+8,0),0)</f>
        <v>0</v>
      </c>
      <c r="AB992">
        <f>IFERROR(VLOOKUP("922-096465-100",B:AB,19+8,0),0)</f>
        <v>0</v>
      </c>
      <c r="AC992">
        <f>IFERROR(VLOOKUP("922-096465-100",B:AB,20+8,0),0)</f>
        <v>0</v>
      </c>
      <c r="AD992">
        <f>IFERROR(VLOOKUP("922-096465-100",B:AB,21+8,0),0)</f>
        <v>0</v>
      </c>
      <c r="AE992">
        <f>IFERROR(VLOOKUP("922-096465-100",B:AB,22+8,0),0)</f>
        <v>0</v>
      </c>
      <c r="AF992">
        <f>IFERROR(VLOOKUP("922-096465-100",B:AB,23+8,0),0)</f>
        <v>0</v>
      </c>
      <c r="AG992">
        <f>IFERROR(VLOOKUP("922-096465-100",B:AB,24+8,0),0)</f>
        <v>0</v>
      </c>
      <c r="AH992">
        <f>IFERROR(VLOOKUP("922-096465-100",B:AB,25+8,0),0)</f>
        <v>0</v>
      </c>
      <c r="AI992">
        <f>IFERROR(VLOOKUP("922-096465-100",B:AB,26+8,0),0)</f>
        <v>0</v>
      </c>
      <c r="AJ992">
        <f>IFERROR(VLOOKUP("922-096465-100",B:AB,27+8,0),0)</f>
        <v>0</v>
      </c>
      <c r="AK992">
        <f>IFERROR(VLOOKUP("922-096465-100",B:AB,28+8,0),0)</f>
        <v>0</v>
      </c>
      <c r="AL992">
        <f>IFERROR(VLOOKUP("922-096465-100",B:AB,29+8,0),0)</f>
        <v>0</v>
      </c>
      <c r="AM992">
        <f>IFERROR(VLOOKUP("922-096465-100",B:AB,30+8,0),0)</f>
        <v>0</v>
      </c>
      <c r="AN992">
        <f>IFERROR(VLOOKUP("922-096465-100",B:AB,31+8,0),0)</f>
        <v>0</v>
      </c>
      <c r="AO992">
        <f>SUN(INDIRECT(ADDRESS(991,8)):INDIRECT(ADDRESS(991,39)))</f>
        <v>0</v>
      </c>
    </row>
    <row r="993" spans="1:41">
      <c r="H993" t="s">
        <v>179</v>
      </c>
      <c r="J993">
        <f>INDIRECT(ADDRESS(993,9))+INDIRECT(ADDRESS(991,10))-INDIRECT(ADDRESS(992,10))</f>
        <v>0</v>
      </c>
      <c r="K993">
        <f>INDIRECT(ADDRESS(993,10))+INDIRECT(ADDRESS(991,11))-INDIRECT(ADDRESS(992,11))</f>
        <v>0</v>
      </c>
      <c r="L993">
        <f>INDIRECT(ADDRESS(993,11))+INDIRECT(ADDRESS(991,12))-INDIRECT(ADDRESS(992,12))</f>
        <v>0</v>
      </c>
      <c r="M993">
        <f>INDIRECT(ADDRESS(993,12))+INDIRECT(ADDRESS(991,13))-INDIRECT(ADDRESS(992,13))</f>
        <v>0</v>
      </c>
      <c r="N993">
        <f>INDIRECT(ADDRESS(993,13))+INDIRECT(ADDRESS(991,14))-INDIRECT(ADDRESS(992,14))</f>
        <v>0</v>
      </c>
      <c r="O993">
        <f>INDIRECT(ADDRESS(993,14))+INDIRECT(ADDRESS(991,15))-INDIRECT(ADDRESS(992,15))</f>
        <v>0</v>
      </c>
      <c r="P993">
        <f>INDIRECT(ADDRESS(993,15))+INDIRECT(ADDRESS(991,16))-INDIRECT(ADDRESS(992,16))</f>
        <v>0</v>
      </c>
      <c r="Q993">
        <f>INDIRECT(ADDRESS(993,16))+INDIRECT(ADDRESS(991,17))-INDIRECT(ADDRESS(992,17))</f>
        <v>0</v>
      </c>
      <c r="R993">
        <f>INDIRECT(ADDRESS(993,17))+INDIRECT(ADDRESS(991,18))-INDIRECT(ADDRESS(992,18))</f>
        <v>0</v>
      </c>
      <c r="S993">
        <f>INDIRECT(ADDRESS(993,18))+INDIRECT(ADDRESS(991,19))-INDIRECT(ADDRESS(992,19))</f>
        <v>0</v>
      </c>
      <c r="T993">
        <f>INDIRECT(ADDRESS(993,19))+INDIRECT(ADDRESS(991,20))-INDIRECT(ADDRESS(992,20))</f>
        <v>0</v>
      </c>
      <c r="U993">
        <f>INDIRECT(ADDRESS(993,20))+INDIRECT(ADDRESS(991,21))-INDIRECT(ADDRESS(992,21))</f>
        <v>0</v>
      </c>
      <c r="V993">
        <f>INDIRECT(ADDRESS(993,21))+INDIRECT(ADDRESS(991,22))-INDIRECT(ADDRESS(992,22))</f>
        <v>0</v>
      </c>
      <c r="W993">
        <f>INDIRECT(ADDRESS(993,22))+INDIRECT(ADDRESS(991,23))-INDIRECT(ADDRESS(992,23))</f>
        <v>0</v>
      </c>
      <c r="X993">
        <f>INDIRECT(ADDRESS(993,23))+INDIRECT(ADDRESS(991,24))-INDIRECT(ADDRESS(992,24))</f>
        <v>0</v>
      </c>
      <c r="Y993">
        <f>INDIRECT(ADDRESS(993,24))+INDIRECT(ADDRESS(991,25))-INDIRECT(ADDRESS(992,25))</f>
        <v>0</v>
      </c>
      <c r="Z993">
        <f>INDIRECT(ADDRESS(993,25))+INDIRECT(ADDRESS(991,26))-INDIRECT(ADDRESS(992,26))</f>
        <v>0</v>
      </c>
      <c r="AA993">
        <f>INDIRECT(ADDRESS(993,26))+INDIRECT(ADDRESS(991,27))-INDIRECT(ADDRESS(992,27))</f>
        <v>0</v>
      </c>
      <c r="AB993">
        <f>INDIRECT(ADDRESS(993,27))+INDIRECT(ADDRESS(991,28))-INDIRECT(ADDRESS(992,28))</f>
        <v>0</v>
      </c>
      <c r="AC993">
        <f>INDIRECT(ADDRESS(993,28))+INDIRECT(ADDRESS(991,29))-INDIRECT(ADDRESS(992,29))</f>
        <v>0</v>
      </c>
      <c r="AD993">
        <f>INDIRECT(ADDRESS(993,29))+INDIRECT(ADDRESS(991,30))-INDIRECT(ADDRESS(992,30))</f>
        <v>0</v>
      </c>
      <c r="AE993">
        <f>INDIRECT(ADDRESS(993,30))+INDIRECT(ADDRESS(991,31))-INDIRECT(ADDRESS(992,31))</f>
        <v>0</v>
      </c>
      <c r="AF993">
        <f>INDIRECT(ADDRESS(993,31))+INDIRECT(ADDRESS(991,32))-INDIRECT(ADDRESS(992,32))</f>
        <v>0</v>
      </c>
      <c r="AG993">
        <f>INDIRECT(ADDRESS(993,32))+INDIRECT(ADDRESS(991,33))-INDIRECT(ADDRESS(992,33))</f>
        <v>0</v>
      </c>
      <c r="AH993">
        <f>INDIRECT(ADDRESS(993,33))+INDIRECT(ADDRESS(991,34))-INDIRECT(ADDRESS(992,34))</f>
        <v>0</v>
      </c>
      <c r="AI993">
        <f>INDIRECT(ADDRESS(993,34))+INDIRECT(ADDRESS(991,35))-INDIRECT(ADDRESS(992,35))</f>
        <v>0</v>
      </c>
      <c r="AJ993">
        <f>INDIRECT(ADDRESS(993,35))+INDIRECT(ADDRESS(991,36))-INDIRECT(ADDRESS(992,36))</f>
        <v>0</v>
      </c>
      <c r="AK993">
        <f>INDIRECT(ADDRESS(993,36))+INDIRECT(ADDRESS(991,37))-INDIRECT(ADDRESS(992,37))</f>
        <v>0</v>
      </c>
      <c r="AL993">
        <f>INDIRECT(ADDRESS(993,37))+INDIRECT(ADDRESS(991,38))-INDIRECT(ADDRESS(992,38))</f>
        <v>0</v>
      </c>
      <c r="AM993">
        <f>INDIRECT(ADDRESS(993,38))+INDIRECT(ADDRESS(991,39))-INDIRECT(ADDRESS(992,39))</f>
        <v>0</v>
      </c>
      <c r="AN993">
        <f>INDIRECT(ADDRESS(993,39))+INDIRECT(ADDRESS(991,40))-INDIRECT(ADDRESS(992,40))</f>
        <v>0</v>
      </c>
      <c r="AO993">
        <f>SUM(INDIRECT(ADDRESS(992,8)):INDIRECT(ADDRESS(992,39)))</f>
        <v>0</v>
      </c>
    </row>
    <row r="994" spans="1:41">
      <c r="A994" t="s">
        <v>206</v>
      </c>
      <c r="B994" t="s">
        <v>518</v>
      </c>
      <c r="C994" t="s">
        <v>519</v>
      </c>
      <c r="E994">
        <v>0.05</v>
      </c>
      <c r="I994" t="s">
        <v>177</v>
      </c>
    </row>
    <row r="995" spans="1:41">
      <c r="I995" t="s">
        <v>178</v>
      </c>
      <c r="J995">
        <f>IFERROR(VLOOKUP("922-096465-100",B:AB,1+8,0),0)</f>
        <v>0</v>
      </c>
      <c r="K995">
        <f>IFERROR(VLOOKUP("922-096465-100",B:AB,2+8,0),0)</f>
        <v>0</v>
      </c>
      <c r="L995">
        <f>IFERROR(VLOOKUP("922-096465-100",B:AB,3+8,0),0)</f>
        <v>0</v>
      </c>
      <c r="M995">
        <f>IFERROR(VLOOKUP("922-096465-100",B:AB,4+8,0),0)</f>
        <v>0</v>
      </c>
      <c r="N995">
        <f>IFERROR(VLOOKUP("922-096465-100",B:AB,5+8,0),0)</f>
        <v>0</v>
      </c>
      <c r="O995">
        <f>IFERROR(VLOOKUP("922-096465-100",B:AB,6+8,0),0)</f>
        <v>0</v>
      </c>
      <c r="P995">
        <f>IFERROR(VLOOKUP("922-096465-100",B:AB,7+8,0),0)</f>
        <v>0</v>
      </c>
      <c r="Q995">
        <f>IFERROR(VLOOKUP("922-096465-100",B:AB,8+8,0),0)</f>
        <v>0</v>
      </c>
      <c r="R995">
        <f>IFERROR(VLOOKUP("922-096465-100",B:AB,9+8,0),0)</f>
        <v>0</v>
      </c>
      <c r="S995">
        <f>IFERROR(VLOOKUP("922-096465-100",B:AB,10+8,0),0)</f>
        <v>0</v>
      </c>
      <c r="T995">
        <f>IFERROR(VLOOKUP("922-096465-100",B:AB,11+8,0),0)</f>
        <v>0</v>
      </c>
      <c r="U995">
        <f>IFERROR(VLOOKUP("922-096465-100",B:AB,12+8,0),0)</f>
        <v>0</v>
      </c>
      <c r="V995">
        <f>IFERROR(VLOOKUP("922-096465-100",B:AB,13+8,0),0)</f>
        <v>0</v>
      </c>
      <c r="W995">
        <f>IFERROR(VLOOKUP("922-096465-100",B:AB,14+8,0),0)</f>
        <v>0</v>
      </c>
      <c r="X995">
        <f>IFERROR(VLOOKUP("922-096465-100",B:AB,15+8,0),0)</f>
        <v>0</v>
      </c>
      <c r="Y995">
        <f>IFERROR(VLOOKUP("922-096465-100",B:AB,16+8,0),0)</f>
        <v>0</v>
      </c>
      <c r="Z995">
        <f>IFERROR(VLOOKUP("922-096465-100",B:AB,17+8,0),0)</f>
        <v>0</v>
      </c>
      <c r="AA995">
        <f>IFERROR(VLOOKUP("922-096465-100",B:AB,18+8,0),0)</f>
        <v>0</v>
      </c>
      <c r="AB995">
        <f>IFERROR(VLOOKUP("922-096465-100",B:AB,19+8,0),0)</f>
        <v>0</v>
      </c>
      <c r="AC995">
        <f>IFERROR(VLOOKUP("922-096465-100",B:AB,20+8,0),0)</f>
        <v>0</v>
      </c>
      <c r="AD995">
        <f>IFERROR(VLOOKUP("922-096465-100",B:AB,21+8,0),0)</f>
        <v>0</v>
      </c>
      <c r="AE995">
        <f>IFERROR(VLOOKUP("922-096465-100",B:AB,22+8,0),0)</f>
        <v>0</v>
      </c>
      <c r="AF995">
        <f>IFERROR(VLOOKUP("922-096465-100",B:AB,23+8,0),0)</f>
        <v>0</v>
      </c>
      <c r="AG995">
        <f>IFERROR(VLOOKUP("922-096465-100",B:AB,24+8,0),0)</f>
        <v>0</v>
      </c>
      <c r="AH995">
        <f>IFERROR(VLOOKUP("922-096465-100",B:AB,25+8,0),0)</f>
        <v>0</v>
      </c>
      <c r="AI995">
        <f>IFERROR(VLOOKUP("922-096465-100",B:AB,26+8,0),0)</f>
        <v>0</v>
      </c>
      <c r="AJ995">
        <f>IFERROR(VLOOKUP("922-096465-100",B:AB,27+8,0),0)</f>
        <v>0</v>
      </c>
      <c r="AK995">
        <f>IFERROR(VLOOKUP("922-096465-100",B:AB,28+8,0),0)</f>
        <v>0</v>
      </c>
      <c r="AL995">
        <f>IFERROR(VLOOKUP("922-096465-100",B:AB,29+8,0),0)</f>
        <v>0</v>
      </c>
      <c r="AM995">
        <f>IFERROR(VLOOKUP("922-096465-100",B:AB,30+8,0),0)</f>
        <v>0</v>
      </c>
      <c r="AN995">
        <f>IFERROR(VLOOKUP("922-096465-100",B:AB,31+8,0),0)</f>
        <v>0</v>
      </c>
      <c r="AO995">
        <f>SUN(INDIRECT(ADDRESS(994,8)):INDIRECT(ADDRESS(994,39)))</f>
        <v>0</v>
      </c>
    </row>
    <row r="996" spans="1:41">
      <c r="H996" t="s">
        <v>179</v>
      </c>
      <c r="J996">
        <f>INDIRECT(ADDRESS(996,9))+INDIRECT(ADDRESS(994,10))-INDIRECT(ADDRESS(995,10))</f>
        <v>0</v>
      </c>
      <c r="K996">
        <f>INDIRECT(ADDRESS(996,10))+INDIRECT(ADDRESS(994,11))-INDIRECT(ADDRESS(995,11))</f>
        <v>0</v>
      </c>
      <c r="L996">
        <f>INDIRECT(ADDRESS(996,11))+INDIRECT(ADDRESS(994,12))-INDIRECT(ADDRESS(995,12))</f>
        <v>0</v>
      </c>
      <c r="M996">
        <f>INDIRECT(ADDRESS(996,12))+INDIRECT(ADDRESS(994,13))-INDIRECT(ADDRESS(995,13))</f>
        <v>0</v>
      </c>
      <c r="N996">
        <f>INDIRECT(ADDRESS(996,13))+INDIRECT(ADDRESS(994,14))-INDIRECT(ADDRESS(995,14))</f>
        <v>0</v>
      </c>
      <c r="O996">
        <f>INDIRECT(ADDRESS(996,14))+INDIRECT(ADDRESS(994,15))-INDIRECT(ADDRESS(995,15))</f>
        <v>0</v>
      </c>
      <c r="P996">
        <f>INDIRECT(ADDRESS(996,15))+INDIRECT(ADDRESS(994,16))-INDIRECT(ADDRESS(995,16))</f>
        <v>0</v>
      </c>
      <c r="Q996">
        <f>INDIRECT(ADDRESS(996,16))+INDIRECT(ADDRESS(994,17))-INDIRECT(ADDRESS(995,17))</f>
        <v>0</v>
      </c>
      <c r="R996">
        <f>INDIRECT(ADDRESS(996,17))+INDIRECT(ADDRESS(994,18))-INDIRECT(ADDRESS(995,18))</f>
        <v>0</v>
      </c>
      <c r="S996">
        <f>INDIRECT(ADDRESS(996,18))+INDIRECT(ADDRESS(994,19))-INDIRECT(ADDRESS(995,19))</f>
        <v>0</v>
      </c>
      <c r="T996">
        <f>INDIRECT(ADDRESS(996,19))+INDIRECT(ADDRESS(994,20))-INDIRECT(ADDRESS(995,20))</f>
        <v>0</v>
      </c>
      <c r="U996">
        <f>INDIRECT(ADDRESS(996,20))+INDIRECT(ADDRESS(994,21))-INDIRECT(ADDRESS(995,21))</f>
        <v>0</v>
      </c>
      <c r="V996">
        <f>INDIRECT(ADDRESS(996,21))+INDIRECT(ADDRESS(994,22))-INDIRECT(ADDRESS(995,22))</f>
        <v>0</v>
      </c>
      <c r="W996">
        <f>INDIRECT(ADDRESS(996,22))+INDIRECT(ADDRESS(994,23))-INDIRECT(ADDRESS(995,23))</f>
        <v>0</v>
      </c>
      <c r="X996">
        <f>INDIRECT(ADDRESS(996,23))+INDIRECT(ADDRESS(994,24))-INDIRECT(ADDRESS(995,24))</f>
        <v>0</v>
      </c>
      <c r="Y996">
        <f>INDIRECT(ADDRESS(996,24))+INDIRECT(ADDRESS(994,25))-INDIRECT(ADDRESS(995,25))</f>
        <v>0</v>
      </c>
      <c r="Z996">
        <f>INDIRECT(ADDRESS(996,25))+INDIRECT(ADDRESS(994,26))-INDIRECT(ADDRESS(995,26))</f>
        <v>0</v>
      </c>
      <c r="AA996">
        <f>INDIRECT(ADDRESS(996,26))+INDIRECT(ADDRESS(994,27))-INDIRECT(ADDRESS(995,27))</f>
        <v>0</v>
      </c>
      <c r="AB996">
        <f>INDIRECT(ADDRESS(996,27))+INDIRECT(ADDRESS(994,28))-INDIRECT(ADDRESS(995,28))</f>
        <v>0</v>
      </c>
      <c r="AC996">
        <f>INDIRECT(ADDRESS(996,28))+INDIRECT(ADDRESS(994,29))-INDIRECT(ADDRESS(995,29))</f>
        <v>0</v>
      </c>
      <c r="AD996">
        <f>INDIRECT(ADDRESS(996,29))+INDIRECT(ADDRESS(994,30))-INDIRECT(ADDRESS(995,30))</f>
        <v>0</v>
      </c>
      <c r="AE996">
        <f>INDIRECT(ADDRESS(996,30))+INDIRECT(ADDRESS(994,31))-INDIRECT(ADDRESS(995,31))</f>
        <v>0</v>
      </c>
      <c r="AF996">
        <f>INDIRECT(ADDRESS(996,31))+INDIRECT(ADDRESS(994,32))-INDIRECT(ADDRESS(995,32))</f>
        <v>0</v>
      </c>
      <c r="AG996">
        <f>INDIRECT(ADDRESS(996,32))+INDIRECT(ADDRESS(994,33))-INDIRECT(ADDRESS(995,33))</f>
        <v>0</v>
      </c>
      <c r="AH996">
        <f>INDIRECT(ADDRESS(996,33))+INDIRECT(ADDRESS(994,34))-INDIRECT(ADDRESS(995,34))</f>
        <v>0</v>
      </c>
      <c r="AI996">
        <f>INDIRECT(ADDRESS(996,34))+INDIRECT(ADDRESS(994,35))-INDIRECT(ADDRESS(995,35))</f>
        <v>0</v>
      </c>
      <c r="AJ996">
        <f>INDIRECT(ADDRESS(996,35))+INDIRECT(ADDRESS(994,36))-INDIRECT(ADDRESS(995,36))</f>
        <v>0</v>
      </c>
      <c r="AK996">
        <f>INDIRECT(ADDRESS(996,36))+INDIRECT(ADDRESS(994,37))-INDIRECT(ADDRESS(995,37))</f>
        <v>0</v>
      </c>
      <c r="AL996">
        <f>INDIRECT(ADDRESS(996,37))+INDIRECT(ADDRESS(994,38))-INDIRECT(ADDRESS(995,38))</f>
        <v>0</v>
      </c>
      <c r="AM996">
        <f>INDIRECT(ADDRESS(996,38))+INDIRECT(ADDRESS(994,39))-INDIRECT(ADDRESS(995,39))</f>
        <v>0</v>
      </c>
      <c r="AN996">
        <f>INDIRECT(ADDRESS(996,39))+INDIRECT(ADDRESS(994,40))-INDIRECT(ADDRESS(995,40))</f>
        <v>0</v>
      </c>
      <c r="AO996">
        <f>SUM(INDIRECT(ADDRESS(995,8)):INDIRECT(ADDRESS(995,39)))</f>
        <v>0</v>
      </c>
    </row>
    <row r="997" spans="1:41">
      <c r="A997" t="s">
        <v>8</v>
      </c>
      <c r="B997" t="s">
        <v>77</v>
      </c>
      <c r="C997" t="s">
        <v>78</v>
      </c>
      <c r="E997">
        <v>1</v>
      </c>
      <c r="I997" t="s">
        <v>177</v>
      </c>
    </row>
    <row r="998" spans="1:41">
      <c r="I998" t="s">
        <v>178</v>
      </c>
      <c r="J998">
        <f>IFERROR(VLOOKUP("922-096465-200",Out!B:AB,1+8,0),0)</f>
        <v>0</v>
      </c>
      <c r="K998">
        <f>IFERROR(VLOOKUP("922-096465-200",Out!B:AB,2+8,0),0)</f>
        <v>0</v>
      </c>
      <c r="L998">
        <f>IFERROR(VLOOKUP("922-096465-200",Out!B:AB,3+8,0),0)</f>
        <v>0</v>
      </c>
      <c r="M998">
        <f>IFERROR(VLOOKUP("922-096465-200",Out!B:AB,4+8,0),0)</f>
        <v>0</v>
      </c>
      <c r="N998">
        <f>IFERROR(VLOOKUP("922-096465-200",Out!B:AB,5+8,0),0)</f>
        <v>0</v>
      </c>
      <c r="O998">
        <f>IFERROR(VLOOKUP("922-096465-200",Out!B:AB,6+8,0),0)</f>
        <v>0</v>
      </c>
      <c r="P998">
        <f>IFERROR(VLOOKUP("922-096465-200",Out!B:AB,7+8,0),0)</f>
        <v>0</v>
      </c>
      <c r="Q998">
        <f>IFERROR(VLOOKUP("922-096465-200",Out!B:AB,8+8,0),0)</f>
        <v>0</v>
      </c>
      <c r="R998">
        <f>IFERROR(VLOOKUP("922-096465-200",Out!B:AB,9+8,0),0)</f>
        <v>0</v>
      </c>
      <c r="S998">
        <f>IFERROR(VLOOKUP("922-096465-200",Out!B:AB,10+8,0),0)</f>
        <v>0</v>
      </c>
      <c r="T998">
        <f>IFERROR(VLOOKUP("922-096465-200",Out!B:AB,11+8,0),0)</f>
        <v>0</v>
      </c>
      <c r="U998">
        <f>IFERROR(VLOOKUP("922-096465-200",Out!B:AB,12+8,0),0)</f>
        <v>0</v>
      </c>
      <c r="V998">
        <f>IFERROR(VLOOKUP("922-096465-200",Out!B:AB,13+8,0),0)</f>
        <v>0</v>
      </c>
      <c r="W998">
        <f>IFERROR(VLOOKUP("922-096465-200",Out!B:AB,14+8,0),0)</f>
        <v>0</v>
      </c>
      <c r="X998">
        <f>IFERROR(VLOOKUP("922-096465-200",Out!B:AB,15+8,0),0)</f>
        <v>0</v>
      </c>
      <c r="Y998">
        <f>IFERROR(VLOOKUP("922-096465-200",Out!B:AB,16+8,0),0)</f>
        <v>0</v>
      </c>
      <c r="Z998">
        <f>IFERROR(VLOOKUP("922-096465-200",Out!B:AB,17+8,0),0)</f>
        <v>0</v>
      </c>
      <c r="AA998">
        <f>IFERROR(VLOOKUP("922-096465-200",Out!B:AB,18+8,0),0)</f>
        <v>0</v>
      </c>
      <c r="AB998">
        <f>IFERROR(VLOOKUP("922-096465-200",Out!B:AB,19+8,0),0)</f>
        <v>0</v>
      </c>
      <c r="AC998">
        <f>IFERROR(VLOOKUP("922-096465-200",Out!B:AB,20+8,0),0)</f>
        <v>0</v>
      </c>
      <c r="AD998">
        <f>IFERROR(VLOOKUP("922-096465-200",Out!B:AB,21+8,0),0)</f>
        <v>0</v>
      </c>
      <c r="AE998">
        <f>IFERROR(VLOOKUP("922-096465-200",Out!B:AB,22+8,0),0)</f>
        <v>0</v>
      </c>
      <c r="AF998">
        <f>IFERROR(VLOOKUP("922-096465-200",Out!B:AB,23+8,0),0)</f>
        <v>0</v>
      </c>
      <c r="AG998">
        <f>IFERROR(VLOOKUP("922-096465-200",Out!B:AB,24+8,0),0)</f>
        <v>0</v>
      </c>
      <c r="AH998">
        <f>IFERROR(VLOOKUP("922-096465-200",Out!B:AB,25+8,0),0)</f>
        <v>0</v>
      </c>
      <c r="AI998">
        <f>IFERROR(VLOOKUP("922-096465-200",Out!B:AB,26+8,0),0)</f>
        <v>0</v>
      </c>
      <c r="AJ998">
        <f>IFERROR(VLOOKUP("922-096465-200",Out!B:AB,27+8,0),0)</f>
        <v>0</v>
      </c>
      <c r="AK998">
        <f>IFERROR(VLOOKUP("922-096465-200",Out!B:AB,28+8,0),0)</f>
        <v>0</v>
      </c>
      <c r="AL998">
        <f>IFERROR(VLOOKUP("922-096465-200",Out!B:AB,29+8,0),0)</f>
        <v>0</v>
      </c>
      <c r="AM998">
        <f>IFERROR(VLOOKUP("922-096465-200",Out!B:AB,30+8,0),0)</f>
        <v>0</v>
      </c>
      <c r="AN998">
        <f>IFERROR(VLOOKUP("922-096465-200",Out!B:AB,31+8,0),0)</f>
        <v>0</v>
      </c>
      <c r="AO998">
        <f>SUN(INDIRECT(ADDRESS(997,8)):INDIRECT(ADDRESS(997,39)))</f>
        <v>0</v>
      </c>
    </row>
    <row r="999" spans="1:41">
      <c r="H999" t="s">
        <v>179</v>
      </c>
      <c r="J999">
        <f>INDIRECT(ADDRESS(999,9))+INDIRECT(ADDRESS(997,10))-INDIRECT(ADDRESS(998,10))</f>
        <v>0</v>
      </c>
      <c r="K999">
        <f>INDIRECT(ADDRESS(999,10))+INDIRECT(ADDRESS(997,11))-INDIRECT(ADDRESS(998,11))</f>
        <v>0</v>
      </c>
      <c r="L999">
        <f>INDIRECT(ADDRESS(999,11))+INDIRECT(ADDRESS(997,12))-INDIRECT(ADDRESS(998,12))</f>
        <v>0</v>
      </c>
      <c r="M999">
        <f>INDIRECT(ADDRESS(999,12))+INDIRECT(ADDRESS(997,13))-INDIRECT(ADDRESS(998,13))</f>
        <v>0</v>
      </c>
      <c r="N999">
        <f>INDIRECT(ADDRESS(999,13))+INDIRECT(ADDRESS(997,14))-INDIRECT(ADDRESS(998,14))</f>
        <v>0</v>
      </c>
      <c r="O999">
        <f>INDIRECT(ADDRESS(999,14))+INDIRECT(ADDRESS(997,15))-INDIRECT(ADDRESS(998,15))</f>
        <v>0</v>
      </c>
      <c r="P999">
        <f>INDIRECT(ADDRESS(999,15))+INDIRECT(ADDRESS(997,16))-INDIRECT(ADDRESS(998,16))</f>
        <v>0</v>
      </c>
      <c r="Q999">
        <f>INDIRECT(ADDRESS(999,16))+INDIRECT(ADDRESS(997,17))-INDIRECT(ADDRESS(998,17))</f>
        <v>0</v>
      </c>
      <c r="R999">
        <f>INDIRECT(ADDRESS(999,17))+INDIRECT(ADDRESS(997,18))-INDIRECT(ADDRESS(998,18))</f>
        <v>0</v>
      </c>
      <c r="S999">
        <f>INDIRECT(ADDRESS(999,18))+INDIRECT(ADDRESS(997,19))-INDIRECT(ADDRESS(998,19))</f>
        <v>0</v>
      </c>
      <c r="T999">
        <f>INDIRECT(ADDRESS(999,19))+INDIRECT(ADDRESS(997,20))-INDIRECT(ADDRESS(998,20))</f>
        <v>0</v>
      </c>
      <c r="U999">
        <f>INDIRECT(ADDRESS(999,20))+INDIRECT(ADDRESS(997,21))-INDIRECT(ADDRESS(998,21))</f>
        <v>0</v>
      </c>
      <c r="V999">
        <f>INDIRECT(ADDRESS(999,21))+INDIRECT(ADDRESS(997,22))-INDIRECT(ADDRESS(998,22))</f>
        <v>0</v>
      </c>
      <c r="W999">
        <f>INDIRECT(ADDRESS(999,22))+INDIRECT(ADDRESS(997,23))-INDIRECT(ADDRESS(998,23))</f>
        <v>0</v>
      </c>
      <c r="X999">
        <f>INDIRECT(ADDRESS(999,23))+INDIRECT(ADDRESS(997,24))-INDIRECT(ADDRESS(998,24))</f>
        <v>0</v>
      </c>
      <c r="Y999">
        <f>INDIRECT(ADDRESS(999,24))+INDIRECT(ADDRESS(997,25))-INDIRECT(ADDRESS(998,25))</f>
        <v>0</v>
      </c>
      <c r="Z999">
        <f>INDIRECT(ADDRESS(999,25))+INDIRECT(ADDRESS(997,26))-INDIRECT(ADDRESS(998,26))</f>
        <v>0</v>
      </c>
      <c r="AA999">
        <f>INDIRECT(ADDRESS(999,26))+INDIRECT(ADDRESS(997,27))-INDIRECT(ADDRESS(998,27))</f>
        <v>0</v>
      </c>
      <c r="AB999">
        <f>INDIRECT(ADDRESS(999,27))+INDIRECT(ADDRESS(997,28))-INDIRECT(ADDRESS(998,28))</f>
        <v>0</v>
      </c>
      <c r="AC999">
        <f>INDIRECT(ADDRESS(999,28))+INDIRECT(ADDRESS(997,29))-INDIRECT(ADDRESS(998,29))</f>
        <v>0</v>
      </c>
      <c r="AD999">
        <f>INDIRECT(ADDRESS(999,29))+INDIRECT(ADDRESS(997,30))-INDIRECT(ADDRESS(998,30))</f>
        <v>0</v>
      </c>
      <c r="AE999">
        <f>INDIRECT(ADDRESS(999,30))+INDIRECT(ADDRESS(997,31))-INDIRECT(ADDRESS(998,31))</f>
        <v>0</v>
      </c>
      <c r="AF999">
        <f>INDIRECT(ADDRESS(999,31))+INDIRECT(ADDRESS(997,32))-INDIRECT(ADDRESS(998,32))</f>
        <v>0</v>
      </c>
      <c r="AG999">
        <f>INDIRECT(ADDRESS(999,32))+INDIRECT(ADDRESS(997,33))-INDIRECT(ADDRESS(998,33))</f>
        <v>0</v>
      </c>
      <c r="AH999">
        <f>INDIRECT(ADDRESS(999,33))+INDIRECT(ADDRESS(997,34))-INDIRECT(ADDRESS(998,34))</f>
        <v>0</v>
      </c>
      <c r="AI999">
        <f>INDIRECT(ADDRESS(999,34))+INDIRECT(ADDRESS(997,35))-INDIRECT(ADDRESS(998,35))</f>
        <v>0</v>
      </c>
      <c r="AJ999">
        <f>INDIRECT(ADDRESS(999,35))+INDIRECT(ADDRESS(997,36))-INDIRECT(ADDRESS(998,36))</f>
        <v>0</v>
      </c>
      <c r="AK999">
        <f>INDIRECT(ADDRESS(999,36))+INDIRECT(ADDRESS(997,37))-INDIRECT(ADDRESS(998,37))</f>
        <v>0</v>
      </c>
      <c r="AL999">
        <f>INDIRECT(ADDRESS(999,37))+INDIRECT(ADDRESS(997,38))-INDIRECT(ADDRESS(998,38))</f>
        <v>0</v>
      </c>
      <c r="AM999">
        <f>INDIRECT(ADDRESS(999,38))+INDIRECT(ADDRESS(997,39))-INDIRECT(ADDRESS(998,39))</f>
        <v>0</v>
      </c>
      <c r="AN999">
        <f>INDIRECT(ADDRESS(999,39))+INDIRECT(ADDRESS(997,40))-INDIRECT(ADDRESS(998,40))</f>
        <v>0</v>
      </c>
      <c r="AO999">
        <f>SUM(INDIRECT(ADDRESS(998,8)):INDIRECT(ADDRESS(998,39)))</f>
        <v>0</v>
      </c>
    </row>
    <row r="1000" spans="1:41">
      <c r="A1000" t="s">
        <v>180</v>
      </c>
      <c r="B1000" t="s">
        <v>520</v>
      </c>
      <c r="C1000" t="s">
        <v>521</v>
      </c>
      <c r="E1000">
        <v>1</v>
      </c>
      <c r="I1000" t="s">
        <v>177</v>
      </c>
    </row>
    <row r="1001" spans="1:41">
      <c r="I1001" t="s">
        <v>178</v>
      </c>
      <c r="J1001">
        <f>IFERROR(VLOOKUP("922-096465-200",B:AB,1+8,0),0)</f>
        <v>0</v>
      </c>
      <c r="K1001">
        <f>IFERROR(VLOOKUP("922-096465-200",B:AB,2+8,0),0)</f>
        <v>0</v>
      </c>
      <c r="L1001">
        <f>IFERROR(VLOOKUP("922-096465-200",B:AB,3+8,0),0)</f>
        <v>0</v>
      </c>
      <c r="M1001">
        <f>IFERROR(VLOOKUP("922-096465-200",B:AB,4+8,0),0)</f>
        <v>0</v>
      </c>
      <c r="N1001">
        <f>IFERROR(VLOOKUP("922-096465-200",B:AB,5+8,0),0)</f>
        <v>0</v>
      </c>
      <c r="O1001">
        <f>IFERROR(VLOOKUP("922-096465-200",B:AB,6+8,0),0)</f>
        <v>0</v>
      </c>
      <c r="P1001">
        <f>IFERROR(VLOOKUP("922-096465-200",B:AB,7+8,0),0)</f>
        <v>0</v>
      </c>
      <c r="Q1001">
        <f>IFERROR(VLOOKUP("922-096465-200",B:AB,8+8,0),0)</f>
        <v>0</v>
      </c>
      <c r="R1001">
        <f>IFERROR(VLOOKUP("922-096465-200",B:AB,9+8,0),0)</f>
        <v>0</v>
      </c>
      <c r="S1001">
        <f>IFERROR(VLOOKUP("922-096465-200",B:AB,10+8,0),0)</f>
        <v>0</v>
      </c>
      <c r="T1001">
        <f>IFERROR(VLOOKUP("922-096465-200",B:AB,11+8,0),0)</f>
        <v>0</v>
      </c>
      <c r="U1001">
        <f>IFERROR(VLOOKUP("922-096465-200",B:AB,12+8,0),0)</f>
        <v>0</v>
      </c>
      <c r="V1001">
        <f>IFERROR(VLOOKUP("922-096465-200",B:AB,13+8,0),0)</f>
        <v>0</v>
      </c>
      <c r="W1001">
        <f>IFERROR(VLOOKUP("922-096465-200",B:AB,14+8,0),0)</f>
        <v>0</v>
      </c>
      <c r="X1001">
        <f>IFERROR(VLOOKUP("922-096465-200",B:AB,15+8,0),0)</f>
        <v>0</v>
      </c>
      <c r="Y1001">
        <f>IFERROR(VLOOKUP("922-096465-200",B:AB,16+8,0),0)</f>
        <v>0</v>
      </c>
      <c r="Z1001">
        <f>IFERROR(VLOOKUP("922-096465-200",B:AB,17+8,0),0)</f>
        <v>0</v>
      </c>
      <c r="AA1001">
        <f>IFERROR(VLOOKUP("922-096465-200",B:AB,18+8,0),0)</f>
        <v>0</v>
      </c>
      <c r="AB1001">
        <f>IFERROR(VLOOKUP("922-096465-200",B:AB,19+8,0),0)</f>
        <v>0</v>
      </c>
      <c r="AC1001">
        <f>IFERROR(VLOOKUP("922-096465-200",B:AB,20+8,0),0)</f>
        <v>0</v>
      </c>
      <c r="AD1001">
        <f>IFERROR(VLOOKUP("922-096465-200",B:AB,21+8,0),0)</f>
        <v>0</v>
      </c>
      <c r="AE1001">
        <f>IFERROR(VLOOKUP("922-096465-200",B:AB,22+8,0),0)</f>
        <v>0</v>
      </c>
      <c r="AF1001">
        <f>IFERROR(VLOOKUP("922-096465-200",B:AB,23+8,0),0)</f>
        <v>0</v>
      </c>
      <c r="AG1001">
        <f>IFERROR(VLOOKUP("922-096465-200",B:AB,24+8,0),0)</f>
        <v>0</v>
      </c>
      <c r="AH1001">
        <f>IFERROR(VLOOKUP("922-096465-200",B:AB,25+8,0),0)</f>
        <v>0</v>
      </c>
      <c r="AI1001">
        <f>IFERROR(VLOOKUP("922-096465-200",B:AB,26+8,0),0)</f>
        <v>0</v>
      </c>
      <c r="AJ1001">
        <f>IFERROR(VLOOKUP("922-096465-200",B:AB,27+8,0),0)</f>
        <v>0</v>
      </c>
      <c r="AK1001">
        <f>IFERROR(VLOOKUP("922-096465-200",B:AB,28+8,0),0)</f>
        <v>0</v>
      </c>
      <c r="AL1001">
        <f>IFERROR(VLOOKUP("922-096465-200",B:AB,29+8,0),0)</f>
        <v>0</v>
      </c>
      <c r="AM1001">
        <f>IFERROR(VLOOKUP("922-096465-200",B:AB,30+8,0),0)</f>
        <v>0</v>
      </c>
      <c r="AN1001">
        <f>IFERROR(VLOOKUP("922-096465-200",B:AB,31+8,0),0)</f>
        <v>0</v>
      </c>
      <c r="AO1001">
        <f>SUN(INDIRECT(ADDRESS(1000,8)):INDIRECT(ADDRESS(1000,39)))</f>
        <v>0</v>
      </c>
    </row>
    <row r="1002" spans="1:41">
      <c r="H1002" t="s">
        <v>179</v>
      </c>
      <c r="J1002">
        <f>INDIRECT(ADDRESS(1002,9))+INDIRECT(ADDRESS(1000,10))-INDIRECT(ADDRESS(1001,10))</f>
        <v>0</v>
      </c>
      <c r="K1002">
        <f>INDIRECT(ADDRESS(1002,10))+INDIRECT(ADDRESS(1000,11))-INDIRECT(ADDRESS(1001,11))</f>
        <v>0</v>
      </c>
      <c r="L1002">
        <f>INDIRECT(ADDRESS(1002,11))+INDIRECT(ADDRESS(1000,12))-INDIRECT(ADDRESS(1001,12))</f>
        <v>0</v>
      </c>
      <c r="M1002">
        <f>INDIRECT(ADDRESS(1002,12))+INDIRECT(ADDRESS(1000,13))-INDIRECT(ADDRESS(1001,13))</f>
        <v>0</v>
      </c>
      <c r="N1002">
        <f>INDIRECT(ADDRESS(1002,13))+INDIRECT(ADDRESS(1000,14))-INDIRECT(ADDRESS(1001,14))</f>
        <v>0</v>
      </c>
      <c r="O1002">
        <f>INDIRECT(ADDRESS(1002,14))+INDIRECT(ADDRESS(1000,15))-INDIRECT(ADDRESS(1001,15))</f>
        <v>0</v>
      </c>
      <c r="P1002">
        <f>INDIRECT(ADDRESS(1002,15))+INDIRECT(ADDRESS(1000,16))-INDIRECT(ADDRESS(1001,16))</f>
        <v>0</v>
      </c>
      <c r="Q1002">
        <f>INDIRECT(ADDRESS(1002,16))+INDIRECT(ADDRESS(1000,17))-INDIRECT(ADDRESS(1001,17))</f>
        <v>0</v>
      </c>
      <c r="R1002">
        <f>INDIRECT(ADDRESS(1002,17))+INDIRECT(ADDRESS(1000,18))-INDIRECT(ADDRESS(1001,18))</f>
        <v>0</v>
      </c>
      <c r="S1002">
        <f>INDIRECT(ADDRESS(1002,18))+INDIRECT(ADDRESS(1000,19))-INDIRECT(ADDRESS(1001,19))</f>
        <v>0</v>
      </c>
      <c r="T1002">
        <f>INDIRECT(ADDRESS(1002,19))+INDIRECT(ADDRESS(1000,20))-INDIRECT(ADDRESS(1001,20))</f>
        <v>0</v>
      </c>
      <c r="U1002">
        <f>INDIRECT(ADDRESS(1002,20))+INDIRECT(ADDRESS(1000,21))-INDIRECT(ADDRESS(1001,21))</f>
        <v>0</v>
      </c>
      <c r="V1002">
        <f>INDIRECT(ADDRESS(1002,21))+INDIRECT(ADDRESS(1000,22))-INDIRECT(ADDRESS(1001,22))</f>
        <v>0</v>
      </c>
      <c r="W1002">
        <f>INDIRECT(ADDRESS(1002,22))+INDIRECT(ADDRESS(1000,23))-INDIRECT(ADDRESS(1001,23))</f>
        <v>0</v>
      </c>
      <c r="X1002">
        <f>INDIRECT(ADDRESS(1002,23))+INDIRECT(ADDRESS(1000,24))-INDIRECT(ADDRESS(1001,24))</f>
        <v>0</v>
      </c>
      <c r="Y1002">
        <f>INDIRECT(ADDRESS(1002,24))+INDIRECT(ADDRESS(1000,25))-INDIRECT(ADDRESS(1001,25))</f>
        <v>0</v>
      </c>
      <c r="Z1002">
        <f>INDIRECT(ADDRESS(1002,25))+INDIRECT(ADDRESS(1000,26))-INDIRECT(ADDRESS(1001,26))</f>
        <v>0</v>
      </c>
      <c r="AA1002">
        <f>INDIRECT(ADDRESS(1002,26))+INDIRECT(ADDRESS(1000,27))-INDIRECT(ADDRESS(1001,27))</f>
        <v>0</v>
      </c>
      <c r="AB1002">
        <f>INDIRECT(ADDRESS(1002,27))+INDIRECT(ADDRESS(1000,28))-INDIRECT(ADDRESS(1001,28))</f>
        <v>0</v>
      </c>
      <c r="AC1002">
        <f>INDIRECT(ADDRESS(1002,28))+INDIRECT(ADDRESS(1000,29))-INDIRECT(ADDRESS(1001,29))</f>
        <v>0</v>
      </c>
      <c r="AD1002">
        <f>INDIRECT(ADDRESS(1002,29))+INDIRECT(ADDRESS(1000,30))-INDIRECT(ADDRESS(1001,30))</f>
        <v>0</v>
      </c>
      <c r="AE1002">
        <f>INDIRECT(ADDRESS(1002,30))+INDIRECT(ADDRESS(1000,31))-INDIRECT(ADDRESS(1001,31))</f>
        <v>0</v>
      </c>
      <c r="AF1002">
        <f>INDIRECT(ADDRESS(1002,31))+INDIRECT(ADDRESS(1000,32))-INDIRECT(ADDRESS(1001,32))</f>
        <v>0</v>
      </c>
      <c r="AG1002">
        <f>INDIRECT(ADDRESS(1002,32))+INDIRECT(ADDRESS(1000,33))-INDIRECT(ADDRESS(1001,33))</f>
        <v>0</v>
      </c>
      <c r="AH1002">
        <f>INDIRECT(ADDRESS(1002,33))+INDIRECT(ADDRESS(1000,34))-INDIRECT(ADDRESS(1001,34))</f>
        <v>0</v>
      </c>
      <c r="AI1002">
        <f>INDIRECT(ADDRESS(1002,34))+INDIRECT(ADDRESS(1000,35))-INDIRECT(ADDRESS(1001,35))</f>
        <v>0</v>
      </c>
      <c r="AJ1002">
        <f>INDIRECT(ADDRESS(1002,35))+INDIRECT(ADDRESS(1000,36))-INDIRECT(ADDRESS(1001,36))</f>
        <v>0</v>
      </c>
      <c r="AK1002">
        <f>INDIRECT(ADDRESS(1002,36))+INDIRECT(ADDRESS(1000,37))-INDIRECT(ADDRESS(1001,37))</f>
        <v>0</v>
      </c>
      <c r="AL1002">
        <f>INDIRECT(ADDRESS(1002,37))+INDIRECT(ADDRESS(1000,38))-INDIRECT(ADDRESS(1001,38))</f>
        <v>0</v>
      </c>
      <c r="AM1002">
        <f>INDIRECT(ADDRESS(1002,38))+INDIRECT(ADDRESS(1000,39))-INDIRECT(ADDRESS(1001,39))</f>
        <v>0</v>
      </c>
      <c r="AN1002">
        <f>INDIRECT(ADDRESS(1002,39))+INDIRECT(ADDRESS(1000,40))-INDIRECT(ADDRESS(1001,40))</f>
        <v>0</v>
      </c>
      <c r="AO1002">
        <f>SUM(INDIRECT(ADDRESS(1001,8)):INDIRECT(ADDRESS(1001,39)))</f>
        <v>0</v>
      </c>
    </row>
    <row r="1003" spans="1:41">
      <c r="A1003" t="s">
        <v>185</v>
      </c>
      <c r="B1003" t="s">
        <v>522</v>
      </c>
      <c r="C1003" t="s">
        <v>523</v>
      </c>
      <c r="E1003">
        <v>1</v>
      </c>
      <c r="I1003" t="s">
        <v>177</v>
      </c>
    </row>
    <row r="1004" spans="1:41">
      <c r="I1004" t="s">
        <v>178</v>
      </c>
      <c r="J1004">
        <f>IFERROR(VLOOKUP("922-096465-200",B:AB,1+8,0),0)</f>
        <v>0</v>
      </c>
      <c r="K1004">
        <f>IFERROR(VLOOKUP("922-096465-200",B:AB,2+8,0),0)</f>
        <v>0</v>
      </c>
      <c r="L1004">
        <f>IFERROR(VLOOKUP("922-096465-200",B:AB,3+8,0),0)</f>
        <v>0</v>
      </c>
      <c r="M1004">
        <f>IFERROR(VLOOKUP("922-096465-200",B:AB,4+8,0),0)</f>
        <v>0</v>
      </c>
      <c r="N1004">
        <f>IFERROR(VLOOKUP("922-096465-200",B:AB,5+8,0),0)</f>
        <v>0</v>
      </c>
      <c r="O1004">
        <f>IFERROR(VLOOKUP("922-096465-200",B:AB,6+8,0),0)</f>
        <v>0</v>
      </c>
      <c r="P1004">
        <f>IFERROR(VLOOKUP("922-096465-200",B:AB,7+8,0),0)</f>
        <v>0</v>
      </c>
      <c r="Q1004">
        <f>IFERROR(VLOOKUP("922-096465-200",B:AB,8+8,0),0)</f>
        <v>0</v>
      </c>
      <c r="R1004">
        <f>IFERROR(VLOOKUP("922-096465-200",B:AB,9+8,0),0)</f>
        <v>0</v>
      </c>
      <c r="S1004">
        <f>IFERROR(VLOOKUP("922-096465-200",B:AB,10+8,0),0)</f>
        <v>0</v>
      </c>
      <c r="T1004">
        <f>IFERROR(VLOOKUP("922-096465-200",B:AB,11+8,0),0)</f>
        <v>0</v>
      </c>
      <c r="U1004">
        <f>IFERROR(VLOOKUP("922-096465-200",B:AB,12+8,0),0)</f>
        <v>0</v>
      </c>
      <c r="V1004">
        <f>IFERROR(VLOOKUP("922-096465-200",B:AB,13+8,0),0)</f>
        <v>0</v>
      </c>
      <c r="W1004">
        <f>IFERROR(VLOOKUP("922-096465-200",B:AB,14+8,0),0)</f>
        <v>0</v>
      </c>
      <c r="X1004">
        <f>IFERROR(VLOOKUP("922-096465-200",B:AB,15+8,0),0)</f>
        <v>0</v>
      </c>
      <c r="Y1004">
        <f>IFERROR(VLOOKUP("922-096465-200",B:AB,16+8,0),0)</f>
        <v>0</v>
      </c>
      <c r="Z1004">
        <f>IFERROR(VLOOKUP("922-096465-200",B:AB,17+8,0),0)</f>
        <v>0</v>
      </c>
      <c r="AA1004">
        <f>IFERROR(VLOOKUP("922-096465-200",B:AB,18+8,0),0)</f>
        <v>0</v>
      </c>
      <c r="AB1004">
        <f>IFERROR(VLOOKUP("922-096465-200",B:AB,19+8,0),0)</f>
        <v>0</v>
      </c>
      <c r="AC1004">
        <f>IFERROR(VLOOKUP("922-096465-200",B:AB,20+8,0),0)</f>
        <v>0</v>
      </c>
      <c r="AD1004">
        <f>IFERROR(VLOOKUP("922-096465-200",B:AB,21+8,0),0)</f>
        <v>0</v>
      </c>
      <c r="AE1004">
        <f>IFERROR(VLOOKUP("922-096465-200",B:AB,22+8,0),0)</f>
        <v>0</v>
      </c>
      <c r="AF1004">
        <f>IFERROR(VLOOKUP("922-096465-200",B:AB,23+8,0),0)</f>
        <v>0</v>
      </c>
      <c r="AG1004">
        <f>IFERROR(VLOOKUP("922-096465-200",B:AB,24+8,0),0)</f>
        <v>0</v>
      </c>
      <c r="AH1004">
        <f>IFERROR(VLOOKUP("922-096465-200",B:AB,25+8,0),0)</f>
        <v>0</v>
      </c>
      <c r="AI1004">
        <f>IFERROR(VLOOKUP("922-096465-200",B:AB,26+8,0),0)</f>
        <v>0</v>
      </c>
      <c r="AJ1004">
        <f>IFERROR(VLOOKUP("922-096465-200",B:AB,27+8,0),0)</f>
        <v>0</v>
      </c>
      <c r="AK1004">
        <f>IFERROR(VLOOKUP("922-096465-200",B:AB,28+8,0),0)</f>
        <v>0</v>
      </c>
      <c r="AL1004">
        <f>IFERROR(VLOOKUP("922-096465-200",B:AB,29+8,0),0)</f>
        <v>0</v>
      </c>
      <c r="AM1004">
        <f>IFERROR(VLOOKUP("922-096465-200",B:AB,30+8,0),0)</f>
        <v>0</v>
      </c>
      <c r="AN1004">
        <f>IFERROR(VLOOKUP("922-096465-200",B:AB,31+8,0),0)</f>
        <v>0</v>
      </c>
      <c r="AO1004">
        <f>SUN(INDIRECT(ADDRESS(1003,8)):INDIRECT(ADDRESS(1003,39)))</f>
        <v>0</v>
      </c>
    </row>
    <row r="1005" spans="1:41">
      <c r="H1005" t="s">
        <v>179</v>
      </c>
      <c r="J1005">
        <f>INDIRECT(ADDRESS(1005,9))+INDIRECT(ADDRESS(1003,10))-INDIRECT(ADDRESS(1004,10))</f>
        <v>0</v>
      </c>
      <c r="K1005">
        <f>INDIRECT(ADDRESS(1005,10))+INDIRECT(ADDRESS(1003,11))-INDIRECT(ADDRESS(1004,11))</f>
        <v>0</v>
      </c>
      <c r="L1005">
        <f>INDIRECT(ADDRESS(1005,11))+INDIRECT(ADDRESS(1003,12))-INDIRECT(ADDRESS(1004,12))</f>
        <v>0</v>
      </c>
      <c r="M1005">
        <f>INDIRECT(ADDRESS(1005,12))+INDIRECT(ADDRESS(1003,13))-INDIRECT(ADDRESS(1004,13))</f>
        <v>0</v>
      </c>
      <c r="N1005">
        <f>INDIRECT(ADDRESS(1005,13))+INDIRECT(ADDRESS(1003,14))-INDIRECT(ADDRESS(1004,14))</f>
        <v>0</v>
      </c>
      <c r="O1005">
        <f>INDIRECT(ADDRESS(1005,14))+INDIRECT(ADDRESS(1003,15))-INDIRECT(ADDRESS(1004,15))</f>
        <v>0</v>
      </c>
      <c r="P1005">
        <f>INDIRECT(ADDRESS(1005,15))+INDIRECT(ADDRESS(1003,16))-INDIRECT(ADDRESS(1004,16))</f>
        <v>0</v>
      </c>
      <c r="Q1005">
        <f>INDIRECT(ADDRESS(1005,16))+INDIRECT(ADDRESS(1003,17))-INDIRECT(ADDRESS(1004,17))</f>
        <v>0</v>
      </c>
      <c r="R1005">
        <f>INDIRECT(ADDRESS(1005,17))+INDIRECT(ADDRESS(1003,18))-INDIRECT(ADDRESS(1004,18))</f>
        <v>0</v>
      </c>
      <c r="S1005">
        <f>INDIRECT(ADDRESS(1005,18))+INDIRECT(ADDRESS(1003,19))-INDIRECT(ADDRESS(1004,19))</f>
        <v>0</v>
      </c>
      <c r="T1005">
        <f>INDIRECT(ADDRESS(1005,19))+INDIRECT(ADDRESS(1003,20))-INDIRECT(ADDRESS(1004,20))</f>
        <v>0</v>
      </c>
      <c r="U1005">
        <f>INDIRECT(ADDRESS(1005,20))+INDIRECT(ADDRESS(1003,21))-INDIRECT(ADDRESS(1004,21))</f>
        <v>0</v>
      </c>
      <c r="V1005">
        <f>INDIRECT(ADDRESS(1005,21))+INDIRECT(ADDRESS(1003,22))-INDIRECT(ADDRESS(1004,22))</f>
        <v>0</v>
      </c>
      <c r="W1005">
        <f>INDIRECT(ADDRESS(1005,22))+INDIRECT(ADDRESS(1003,23))-INDIRECT(ADDRESS(1004,23))</f>
        <v>0</v>
      </c>
      <c r="X1005">
        <f>INDIRECT(ADDRESS(1005,23))+INDIRECT(ADDRESS(1003,24))-INDIRECT(ADDRESS(1004,24))</f>
        <v>0</v>
      </c>
      <c r="Y1005">
        <f>INDIRECT(ADDRESS(1005,24))+INDIRECT(ADDRESS(1003,25))-INDIRECT(ADDRESS(1004,25))</f>
        <v>0</v>
      </c>
      <c r="Z1005">
        <f>INDIRECT(ADDRESS(1005,25))+INDIRECT(ADDRESS(1003,26))-INDIRECT(ADDRESS(1004,26))</f>
        <v>0</v>
      </c>
      <c r="AA1005">
        <f>INDIRECT(ADDRESS(1005,26))+INDIRECT(ADDRESS(1003,27))-INDIRECT(ADDRESS(1004,27))</f>
        <v>0</v>
      </c>
      <c r="AB1005">
        <f>INDIRECT(ADDRESS(1005,27))+INDIRECT(ADDRESS(1003,28))-INDIRECT(ADDRESS(1004,28))</f>
        <v>0</v>
      </c>
      <c r="AC1005">
        <f>INDIRECT(ADDRESS(1005,28))+INDIRECT(ADDRESS(1003,29))-INDIRECT(ADDRESS(1004,29))</f>
        <v>0</v>
      </c>
      <c r="AD1005">
        <f>INDIRECT(ADDRESS(1005,29))+INDIRECT(ADDRESS(1003,30))-INDIRECT(ADDRESS(1004,30))</f>
        <v>0</v>
      </c>
      <c r="AE1005">
        <f>INDIRECT(ADDRESS(1005,30))+INDIRECT(ADDRESS(1003,31))-INDIRECT(ADDRESS(1004,31))</f>
        <v>0</v>
      </c>
      <c r="AF1005">
        <f>INDIRECT(ADDRESS(1005,31))+INDIRECT(ADDRESS(1003,32))-INDIRECT(ADDRESS(1004,32))</f>
        <v>0</v>
      </c>
      <c r="AG1005">
        <f>INDIRECT(ADDRESS(1005,32))+INDIRECT(ADDRESS(1003,33))-INDIRECT(ADDRESS(1004,33))</f>
        <v>0</v>
      </c>
      <c r="AH1005">
        <f>INDIRECT(ADDRESS(1005,33))+INDIRECT(ADDRESS(1003,34))-INDIRECT(ADDRESS(1004,34))</f>
        <v>0</v>
      </c>
      <c r="AI1005">
        <f>INDIRECT(ADDRESS(1005,34))+INDIRECT(ADDRESS(1003,35))-INDIRECT(ADDRESS(1004,35))</f>
        <v>0</v>
      </c>
      <c r="AJ1005">
        <f>INDIRECT(ADDRESS(1005,35))+INDIRECT(ADDRESS(1003,36))-INDIRECT(ADDRESS(1004,36))</f>
        <v>0</v>
      </c>
      <c r="AK1005">
        <f>INDIRECT(ADDRESS(1005,36))+INDIRECT(ADDRESS(1003,37))-INDIRECT(ADDRESS(1004,37))</f>
        <v>0</v>
      </c>
      <c r="AL1005">
        <f>INDIRECT(ADDRESS(1005,37))+INDIRECT(ADDRESS(1003,38))-INDIRECT(ADDRESS(1004,38))</f>
        <v>0</v>
      </c>
      <c r="AM1005">
        <f>INDIRECT(ADDRESS(1005,38))+INDIRECT(ADDRESS(1003,39))-INDIRECT(ADDRESS(1004,39))</f>
        <v>0</v>
      </c>
      <c r="AN1005">
        <f>INDIRECT(ADDRESS(1005,39))+INDIRECT(ADDRESS(1003,40))-INDIRECT(ADDRESS(1004,40))</f>
        <v>0</v>
      </c>
      <c r="AO1005">
        <f>SUM(INDIRECT(ADDRESS(1004,8)):INDIRECT(ADDRESS(1004,39)))</f>
        <v>0</v>
      </c>
    </row>
    <row r="1006" spans="1:41">
      <c r="A1006" t="s">
        <v>206</v>
      </c>
      <c r="B1006" t="s">
        <v>524</v>
      </c>
      <c r="C1006" t="s">
        <v>525</v>
      </c>
      <c r="E1006">
        <v>0.05</v>
      </c>
      <c r="I1006" t="s">
        <v>177</v>
      </c>
    </row>
    <row r="1007" spans="1:41">
      <c r="I1007" t="s">
        <v>178</v>
      </c>
      <c r="J1007">
        <f>IFERROR(VLOOKUP("922-096465-200",B:AB,1+8,0),0)</f>
        <v>0</v>
      </c>
      <c r="K1007">
        <f>IFERROR(VLOOKUP("922-096465-200",B:AB,2+8,0),0)</f>
        <v>0</v>
      </c>
      <c r="L1007">
        <f>IFERROR(VLOOKUP("922-096465-200",B:AB,3+8,0),0)</f>
        <v>0</v>
      </c>
      <c r="M1007">
        <f>IFERROR(VLOOKUP("922-096465-200",B:AB,4+8,0),0)</f>
        <v>0</v>
      </c>
      <c r="N1007">
        <f>IFERROR(VLOOKUP("922-096465-200",B:AB,5+8,0),0)</f>
        <v>0</v>
      </c>
      <c r="O1007">
        <f>IFERROR(VLOOKUP("922-096465-200",B:AB,6+8,0),0)</f>
        <v>0</v>
      </c>
      <c r="P1007">
        <f>IFERROR(VLOOKUP("922-096465-200",B:AB,7+8,0),0)</f>
        <v>0</v>
      </c>
      <c r="Q1007">
        <f>IFERROR(VLOOKUP("922-096465-200",B:AB,8+8,0),0)</f>
        <v>0</v>
      </c>
      <c r="R1007">
        <f>IFERROR(VLOOKUP("922-096465-200",B:AB,9+8,0),0)</f>
        <v>0</v>
      </c>
      <c r="S1007">
        <f>IFERROR(VLOOKUP("922-096465-200",B:AB,10+8,0),0)</f>
        <v>0</v>
      </c>
      <c r="T1007">
        <f>IFERROR(VLOOKUP("922-096465-200",B:AB,11+8,0),0)</f>
        <v>0</v>
      </c>
      <c r="U1007">
        <f>IFERROR(VLOOKUP("922-096465-200",B:AB,12+8,0),0)</f>
        <v>0</v>
      </c>
      <c r="V1007">
        <f>IFERROR(VLOOKUP("922-096465-200",B:AB,13+8,0),0)</f>
        <v>0</v>
      </c>
      <c r="W1007">
        <f>IFERROR(VLOOKUP("922-096465-200",B:AB,14+8,0),0)</f>
        <v>0</v>
      </c>
      <c r="X1007">
        <f>IFERROR(VLOOKUP("922-096465-200",B:AB,15+8,0),0)</f>
        <v>0</v>
      </c>
      <c r="Y1007">
        <f>IFERROR(VLOOKUP("922-096465-200",B:AB,16+8,0),0)</f>
        <v>0</v>
      </c>
      <c r="Z1007">
        <f>IFERROR(VLOOKUP("922-096465-200",B:AB,17+8,0),0)</f>
        <v>0</v>
      </c>
      <c r="AA1007">
        <f>IFERROR(VLOOKUP("922-096465-200",B:AB,18+8,0),0)</f>
        <v>0</v>
      </c>
      <c r="AB1007">
        <f>IFERROR(VLOOKUP("922-096465-200",B:AB,19+8,0),0)</f>
        <v>0</v>
      </c>
      <c r="AC1007">
        <f>IFERROR(VLOOKUP("922-096465-200",B:AB,20+8,0),0)</f>
        <v>0</v>
      </c>
      <c r="AD1007">
        <f>IFERROR(VLOOKUP("922-096465-200",B:AB,21+8,0),0)</f>
        <v>0</v>
      </c>
      <c r="AE1007">
        <f>IFERROR(VLOOKUP("922-096465-200",B:AB,22+8,0),0)</f>
        <v>0</v>
      </c>
      <c r="AF1007">
        <f>IFERROR(VLOOKUP("922-096465-200",B:AB,23+8,0),0)</f>
        <v>0</v>
      </c>
      <c r="AG1007">
        <f>IFERROR(VLOOKUP("922-096465-200",B:AB,24+8,0),0)</f>
        <v>0</v>
      </c>
      <c r="AH1007">
        <f>IFERROR(VLOOKUP("922-096465-200",B:AB,25+8,0),0)</f>
        <v>0</v>
      </c>
      <c r="AI1007">
        <f>IFERROR(VLOOKUP("922-096465-200",B:AB,26+8,0),0)</f>
        <v>0</v>
      </c>
      <c r="AJ1007">
        <f>IFERROR(VLOOKUP("922-096465-200",B:AB,27+8,0),0)</f>
        <v>0</v>
      </c>
      <c r="AK1007">
        <f>IFERROR(VLOOKUP("922-096465-200",B:AB,28+8,0),0)</f>
        <v>0</v>
      </c>
      <c r="AL1007">
        <f>IFERROR(VLOOKUP("922-096465-200",B:AB,29+8,0),0)</f>
        <v>0</v>
      </c>
      <c r="AM1007">
        <f>IFERROR(VLOOKUP("922-096465-200",B:AB,30+8,0),0)</f>
        <v>0</v>
      </c>
      <c r="AN1007">
        <f>IFERROR(VLOOKUP("922-096465-200",B:AB,31+8,0),0)</f>
        <v>0</v>
      </c>
      <c r="AO1007">
        <f>SUN(INDIRECT(ADDRESS(1006,8)):INDIRECT(ADDRESS(1006,39)))</f>
        <v>0</v>
      </c>
    </row>
    <row r="1008" spans="1:41">
      <c r="H1008" t="s">
        <v>179</v>
      </c>
      <c r="J1008">
        <f>INDIRECT(ADDRESS(1008,9))+INDIRECT(ADDRESS(1006,10))-INDIRECT(ADDRESS(1007,10))</f>
        <v>0</v>
      </c>
      <c r="K1008">
        <f>INDIRECT(ADDRESS(1008,10))+INDIRECT(ADDRESS(1006,11))-INDIRECT(ADDRESS(1007,11))</f>
        <v>0</v>
      </c>
      <c r="L1008">
        <f>INDIRECT(ADDRESS(1008,11))+INDIRECT(ADDRESS(1006,12))-INDIRECT(ADDRESS(1007,12))</f>
        <v>0</v>
      </c>
      <c r="M1008">
        <f>INDIRECT(ADDRESS(1008,12))+INDIRECT(ADDRESS(1006,13))-INDIRECT(ADDRESS(1007,13))</f>
        <v>0</v>
      </c>
      <c r="N1008">
        <f>INDIRECT(ADDRESS(1008,13))+INDIRECT(ADDRESS(1006,14))-INDIRECT(ADDRESS(1007,14))</f>
        <v>0</v>
      </c>
      <c r="O1008">
        <f>INDIRECT(ADDRESS(1008,14))+INDIRECT(ADDRESS(1006,15))-INDIRECT(ADDRESS(1007,15))</f>
        <v>0</v>
      </c>
      <c r="P1008">
        <f>INDIRECT(ADDRESS(1008,15))+INDIRECT(ADDRESS(1006,16))-INDIRECT(ADDRESS(1007,16))</f>
        <v>0</v>
      </c>
      <c r="Q1008">
        <f>INDIRECT(ADDRESS(1008,16))+INDIRECT(ADDRESS(1006,17))-INDIRECT(ADDRESS(1007,17))</f>
        <v>0</v>
      </c>
      <c r="R1008">
        <f>INDIRECT(ADDRESS(1008,17))+INDIRECT(ADDRESS(1006,18))-INDIRECT(ADDRESS(1007,18))</f>
        <v>0</v>
      </c>
      <c r="S1008">
        <f>INDIRECT(ADDRESS(1008,18))+INDIRECT(ADDRESS(1006,19))-INDIRECT(ADDRESS(1007,19))</f>
        <v>0</v>
      </c>
      <c r="T1008">
        <f>INDIRECT(ADDRESS(1008,19))+INDIRECT(ADDRESS(1006,20))-INDIRECT(ADDRESS(1007,20))</f>
        <v>0</v>
      </c>
      <c r="U1008">
        <f>INDIRECT(ADDRESS(1008,20))+INDIRECT(ADDRESS(1006,21))-INDIRECT(ADDRESS(1007,21))</f>
        <v>0</v>
      </c>
      <c r="V1008">
        <f>INDIRECT(ADDRESS(1008,21))+INDIRECT(ADDRESS(1006,22))-INDIRECT(ADDRESS(1007,22))</f>
        <v>0</v>
      </c>
      <c r="W1008">
        <f>INDIRECT(ADDRESS(1008,22))+INDIRECT(ADDRESS(1006,23))-INDIRECT(ADDRESS(1007,23))</f>
        <v>0</v>
      </c>
      <c r="X1008">
        <f>INDIRECT(ADDRESS(1008,23))+INDIRECT(ADDRESS(1006,24))-INDIRECT(ADDRESS(1007,24))</f>
        <v>0</v>
      </c>
      <c r="Y1008">
        <f>INDIRECT(ADDRESS(1008,24))+INDIRECT(ADDRESS(1006,25))-INDIRECT(ADDRESS(1007,25))</f>
        <v>0</v>
      </c>
      <c r="Z1008">
        <f>INDIRECT(ADDRESS(1008,25))+INDIRECT(ADDRESS(1006,26))-INDIRECT(ADDRESS(1007,26))</f>
        <v>0</v>
      </c>
      <c r="AA1008">
        <f>INDIRECT(ADDRESS(1008,26))+INDIRECT(ADDRESS(1006,27))-INDIRECT(ADDRESS(1007,27))</f>
        <v>0</v>
      </c>
      <c r="AB1008">
        <f>INDIRECT(ADDRESS(1008,27))+INDIRECT(ADDRESS(1006,28))-INDIRECT(ADDRESS(1007,28))</f>
        <v>0</v>
      </c>
      <c r="AC1008">
        <f>INDIRECT(ADDRESS(1008,28))+INDIRECT(ADDRESS(1006,29))-INDIRECT(ADDRESS(1007,29))</f>
        <v>0</v>
      </c>
      <c r="AD1008">
        <f>INDIRECT(ADDRESS(1008,29))+INDIRECT(ADDRESS(1006,30))-INDIRECT(ADDRESS(1007,30))</f>
        <v>0</v>
      </c>
      <c r="AE1008">
        <f>INDIRECT(ADDRESS(1008,30))+INDIRECT(ADDRESS(1006,31))-INDIRECT(ADDRESS(1007,31))</f>
        <v>0</v>
      </c>
      <c r="AF1008">
        <f>INDIRECT(ADDRESS(1008,31))+INDIRECT(ADDRESS(1006,32))-INDIRECT(ADDRESS(1007,32))</f>
        <v>0</v>
      </c>
      <c r="AG1008">
        <f>INDIRECT(ADDRESS(1008,32))+INDIRECT(ADDRESS(1006,33))-INDIRECT(ADDRESS(1007,33))</f>
        <v>0</v>
      </c>
      <c r="AH1008">
        <f>INDIRECT(ADDRESS(1008,33))+INDIRECT(ADDRESS(1006,34))-INDIRECT(ADDRESS(1007,34))</f>
        <v>0</v>
      </c>
      <c r="AI1008">
        <f>INDIRECT(ADDRESS(1008,34))+INDIRECT(ADDRESS(1006,35))-INDIRECT(ADDRESS(1007,35))</f>
        <v>0</v>
      </c>
      <c r="AJ1008">
        <f>INDIRECT(ADDRESS(1008,35))+INDIRECT(ADDRESS(1006,36))-INDIRECT(ADDRESS(1007,36))</f>
        <v>0</v>
      </c>
      <c r="AK1008">
        <f>INDIRECT(ADDRESS(1008,36))+INDIRECT(ADDRESS(1006,37))-INDIRECT(ADDRESS(1007,37))</f>
        <v>0</v>
      </c>
      <c r="AL1008">
        <f>INDIRECT(ADDRESS(1008,37))+INDIRECT(ADDRESS(1006,38))-INDIRECT(ADDRESS(1007,38))</f>
        <v>0</v>
      </c>
      <c r="AM1008">
        <f>INDIRECT(ADDRESS(1008,38))+INDIRECT(ADDRESS(1006,39))-INDIRECT(ADDRESS(1007,39))</f>
        <v>0</v>
      </c>
      <c r="AN1008">
        <f>INDIRECT(ADDRESS(1008,39))+INDIRECT(ADDRESS(1006,40))-INDIRECT(ADDRESS(1007,40))</f>
        <v>0</v>
      </c>
      <c r="AO1008">
        <f>SUM(INDIRECT(ADDRESS(1007,8)):INDIRECT(ADDRESS(1007,39)))</f>
        <v>0</v>
      </c>
    </row>
    <row r="1009" spans="1:41">
      <c r="A1009" t="s">
        <v>8</v>
      </c>
      <c r="B1009" t="s">
        <v>79</v>
      </c>
      <c r="C1009" t="s">
        <v>80</v>
      </c>
      <c r="E1009">
        <v>1</v>
      </c>
      <c r="I1009" t="s">
        <v>177</v>
      </c>
    </row>
    <row r="1010" spans="1:41">
      <c r="I1010" t="s">
        <v>178</v>
      </c>
      <c r="J1010">
        <f>IFERROR(VLOOKUP("922-096465-300",Out!B:AB,1+8,0),0)</f>
        <v>0</v>
      </c>
      <c r="K1010">
        <f>IFERROR(VLOOKUP("922-096465-300",Out!B:AB,2+8,0),0)</f>
        <v>0</v>
      </c>
      <c r="L1010">
        <f>IFERROR(VLOOKUP("922-096465-300",Out!B:AB,3+8,0),0)</f>
        <v>0</v>
      </c>
      <c r="M1010">
        <f>IFERROR(VLOOKUP("922-096465-300",Out!B:AB,4+8,0),0)</f>
        <v>0</v>
      </c>
      <c r="N1010">
        <f>IFERROR(VLOOKUP("922-096465-300",Out!B:AB,5+8,0),0)</f>
        <v>0</v>
      </c>
      <c r="O1010">
        <f>IFERROR(VLOOKUP("922-096465-300",Out!B:AB,6+8,0),0)</f>
        <v>0</v>
      </c>
      <c r="P1010">
        <f>IFERROR(VLOOKUP("922-096465-300",Out!B:AB,7+8,0),0)</f>
        <v>0</v>
      </c>
      <c r="Q1010">
        <f>IFERROR(VLOOKUP("922-096465-300",Out!B:AB,8+8,0),0)</f>
        <v>0</v>
      </c>
      <c r="R1010">
        <f>IFERROR(VLOOKUP("922-096465-300",Out!B:AB,9+8,0),0)</f>
        <v>0</v>
      </c>
      <c r="S1010">
        <f>IFERROR(VLOOKUP("922-096465-300",Out!B:AB,10+8,0),0)</f>
        <v>0</v>
      </c>
      <c r="T1010">
        <f>IFERROR(VLOOKUP("922-096465-300",Out!B:AB,11+8,0),0)</f>
        <v>0</v>
      </c>
      <c r="U1010">
        <f>IFERROR(VLOOKUP("922-096465-300",Out!B:AB,12+8,0),0)</f>
        <v>0</v>
      </c>
      <c r="V1010">
        <f>IFERROR(VLOOKUP("922-096465-300",Out!B:AB,13+8,0),0)</f>
        <v>0</v>
      </c>
      <c r="W1010">
        <f>IFERROR(VLOOKUP("922-096465-300",Out!B:AB,14+8,0),0)</f>
        <v>0</v>
      </c>
      <c r="X1010">
        <f>IFERROR(VLOOKUP("922-096465-300",Out!B:AB,15+8,0),0)</f>
        <v>0</v>
      </c>
      <c r="Y1010">
        <f>IFERROR(VLOOKUP("922-096465-300",Out!B:AB,16+8,0),0)</f>
        <v>0</v>
      </c>
      <c r="Z1010">
        <f>IFERROR(VLOOKUP("922-096465-300",Out!B:AB,17+8,0),0)</f>
        <v>0</v>
      </c>
      <c r="AA1010">
        <f>IFERROR(VLOOKUP("922-096465-300",Out!B:AB,18+8,0),0)</f>
        <v>0</v>
      </c>
      <c r="AB1010">
        <f>IFERROR(VLOOKUP("922-096465-300",Out!B:AB,19+8,0),0)</f>
        <v>0</v>
      </c>
      <c r="AC1010">
        <f>IFERROR(VLOOKUP("922-096465-300",Out!B:AB,20+8,0),0)</f>
        <v>0</v>
      </c>
      <c r="AD1010">
        <f>IFERROR(VLOOKUP("922-096465-300",Out!B:AB,21+8,0),0)</f>
        <v>0</v>
      </c>
      <c r="AE1010">
        <f>IFERROR(VLOOKUP("922-096465-300",Out!B:AB,22+8,0),0)</f>
        <v>0</v>
      </c>
      <c r="AF1010">
        <f>IFERROR(VLOOKUP("922-096465-300",Out!B:AB,23+8,0),0)</f>
        <v>0</v>
      </c>
      <c r="AG1010">
        <f>IFERROR(VLOOKUP("922-096465-300",Out!B:AB,24+8,0),0)</f>
        <v>0</v>
      </c>
      <c r="AH1010">
        <f>IFERROR(VLOOKUP("922-096465-300",Out!B:AB,25+8,0),0)</f>
        <v>0</v>
      </c>
      <c r="AI1010">
        <f>IFERROR(VLOOKUP("922-096465-300",Out!B:AB,26+8,0),0)</f>
        <v>0</v>
      </c>
      <c r="AJ1010">
        <f>IFERROR(VLOOKUP("922-096465-300",Out!B:AB,27+8,0),0)</f>
        <v>0</v>
      </c>
      <c r="AK1010">
        <f>IFERROR(VLOOKUP("922-096465-300",Out!B:AB,28+8,0),0)</f>
        <v>0</v>
      </c>
      <c r="AL1010">
        <f>IFERROR(VLOOKUP("922-096465-300",Out!B:AB,29+8,0),0)</f>
        <v>0</v>
      </c>
      <c r="AM1010">
        <f>IFERROR(VLOOKUP("922-096465-300",Out!B:AB,30+8,0),0)</f>
        <v>0</v>
      </c>
      <c r="AN1010">
        <f>IFERROR(VLOOKUP("922-096465-300",Out!B:AB,31+8,0),0)</f>
        <v>0</v>
      </c>
      <c r="AO1010">
        <f>SUN(INDIRECT(ADDRESS(1009,8)):INDIRECT(ADDRESS(1009,39)))</f>
        <v>0</v>
      </c>
    </row>
    <row r="1011" spans="1:41">
      <c r="H1011" t="s">
        <v>179</v>
      </c>
      <c r="J1011">
        <f>INDIRECT(ADDRESS(1011,9))+INDIRECT(ADDRESS(1009,10))-INDIRECT(ADDRESS(1010,10))</f>
        <v>0</v>
      </c>
      <c r="K1011">
        <f>INDIRECT(ADDRESS(1011,10))+INDIRECT(ADDRESS(1009,11))-INDIRECT(ADDRESS(1010,11))</f>
        <v>0</v>
      </c>
      <c r="L1011">
        <f>INDIRECT(ADDRESS(1011,11))+INDIRECT(ADDRESS(1009,12))-INDIRECT(ADDRESS(1010,12))</f>
        <v>0</v>
      </c>
      <c r="M1011">
        <f>INDIRECT(ADDRESS(1011,12))+INDIRECT(ADDRESS(1009,13))-INDIRECT(ADDRESS(1010,13))</f>
        <v>0</v>
      </c>
      <c r="N1011">
        <f>INDIRECT(ADDRESS(1011,13))+INDIRECT(ADDRESS(1009,14))-INDIRECT(ADDRESS(1010,14))</f>
        <v>0</v>
      </c>
      <c r="O1011">
        <f>INDIRECT(ADDRESS(1011,14))+INDIRECT(ADDRESS(1009,15))-INDIRECT(ADDRESS(1010,15))</f>
        <v>0</v>
      </c>
      <c r="P1011">
        <f>INDIRECT(ADDRESS(1011,15))+INDIRECT(ADDRESS(1009,16))-INDIRECT(ADDRESS(1010,16))</f>
        <v>0</v>
      </c>
      <c r="Q1011">
        <f>INDIRECT(ADDRESS(1011,16))+INDIRECT(ADDRESS(1009,17))-INDIRECT(ADDRESS(1010,17))</f>
        <v>0</v>
      </c>
      <c r="R1011">
        <f>INDIRECT(ADDRESS(1011,17))+INDIRECT(ADDRESS(1009,18))-INDIRECT(ADDRESS(1010,18))</f>
        <v>0</v>
      </c>
      <c r="S1011">
        <f>INDIRECT(ADDRESS(1011,18))+INDIRECT(ADDRESS(1009,19))-INDIRECT(ADDRESS(1010,19))</f>
        <v>0</v>
      </c>
      <c r="T1011">
        <f>INDIRECT(ADDRESS(1011,19))+INDIRECT(ADDRESS(1009,20))-INDIRECT(ADDRESS(1010,20))</f>
        <v>0</v>
      </c>
      <c r="U1011">
        <f>INDIRECT(ADDRESS(1011,20))+INDIRECT(ADDRESS(1009,21))-INDIRECT(ADDRESS(1010,21))</f>
        <v>0</v>
      </c>
      <c r="V1011">
        <f>INDIRECT(ADDRESS(1011,21))+INDIRECT(ADDRESS(1009,22))-INDIRECT(ADDRESS(1010,22))</f>
        <v>0</v>
      </c>
      <c r="W1011">
        <f>INDIRECT(ADDRESS(1011,22))+INDIRECT(ADDRESS(1009,23))-INDIRECT(ADDRESS(1010,23))</f>
        <v>0</v>
      </c>
      <c r="X1011">
        <f>INDIRECT(ADDRESS(1011,23))+INDIRECT(ADDRESS(1009,24))-INDIRECT(ADDRESS(1010,24))</f>
        <v>0</v>
      </c>
      <c r="Y1011">
        <f>INDIRECT(ADDRESS(1011,24))+INDIRECT(ADDRESS(1009,25))-INDIRECT(ADDRESS(1010,25))</f>
        <v>0</v>
      </c>
      <c r="Z1011">
        <f>INDIRECT(ADDRESS(1011,25))+INDIRECT(ADDRESS(1009,26))-INDIRECT(ADDRESS(1010,26))</f>
        <v>0</v>
      </c>
      <c r="AA1011">
        <f>INDIRECT(ADDRESS(1011,26))+INDIRECT(ADDRESS(1009,27))-INDIRECT(ADDRESS(1010,27))</f>
        <v>0</v>
      </c>
      <c r="AB1011">
        <f>INDIRECT(ADDRESS(1011,27))+INDIRECT(ADDRESS(1009,28))-INDIRECT(ADDRESS(1010,28))</f>
        <v>0</v>
      </c>
      <c r="AC1011">
        <f>INDIRECT(ADDRESS(1011,28))+INDIRECT(ADDRESS(1009,29))-INDIRECT(ADDRESS(1010,29))</f>
        <v>0</v>
      </c>
      <c r="AD1011">
        <f>INDIRECT(ADDRESS(1011,29))+INDIRECT(ADDRESS(1009,30))-INDIRECT(ADDRESS(1010,30))</f>
        <v>0</v>
      </c>
      <c r="AE1011">
        <f>INDIRECT(ADDRESS(1011,30))+INDIRECT(ADDRESS(1009,31))-INDIRECT(ADDRESS(1010,31))</f>
        <v>0</v>
      </c>
      <c r="AF1011">
        <f>INDIRECT(ADDRESS(1011,31))+INDIRECT(ADDRESS(1009,32))-INDIRECT(ADDRESS(1010,32))</f>
        <v>0</v>
      </c>
      <c r="AG1011">
        <f>INDIRECT(ADDRESS(1011,32))+INDIRECT(ADDRESS(1009,33))-INDIRECT(ADDRESS(1010,33))</f>
        <v>0</v>
      </c>
      <c r="AH1011">
        <f>INDIRECT(ADDRESS(1011,33))+INDIRECT(ADDRESS(1009,34))-INDIRECT(ADDRESS(1010,34))</f>
        <v>0</v>
      </c>
      <c r="AI1011">
        <f>INDIRECT(ADDRESS(1011,34))+INDIRECT(ADDRESS(1009,35))-INDIRECT(ADDRESS(1010,35))</f>
        <v>0</v>
      </c>
      <c r="AJ1011">
        <f>INDIRECT(ADDRESS(1011,35))+INDIRECT(ADDRESS(1009,36))-INDIRECT(ADDRESS(1010,36))</f>
        <v>0</v>
      </c>
      <c r="AK1011">
        <f>INDIRECT(ADDRESS(1011,36))+INDIRECT(ADDRESS(1009,37))-INDIRECT(ADDRESS(1010,37))</f>
        <v>0</v>
      </c>
      <c r="AL1011">
        <f>INDIRECT(ADDRESS(1011,37))+INDIRECT(ADDRESS(1009,38))-INDIRECT(ADDRESS(1010,38))</f>
        <v>0</v>
      </c>
      <c r="AM1011">
        <f>INDIRECT(ADDRESS(1011,38))+INDIRECT(ADDRESS(1009,39))-INDIRECT(ADDRESS(1010,39))</f>
        <v>0</v>
      </c>
      <c r="AN1011">
        <f>INDIRECT(ADDRESS(1011,39))+INDIRECT(ADDRESS(1009,40))-INDIRECT(ADDRESS(1010,40))</f>
        <v>0</v>
      </c>
      <c r="AO1011">
        <f>SUM(INDIRECT(ADDRESS(1010,8)):INDIRECT(ADDRESS(1010,39)))</f>
        <v>0</v>
      </c>
    </row>
    <row r="1012" spans="1:41">
      <c r="A1012" t="s">
        <v>180</v>
      </c>
      <c r="B1012" t="s">
        <v>514</v>
      </c>
      <c r="C1012" t="s">
        <v>515</v>
      </c>
      <c r="E1012">
        <v>1</v>
      </c>
      <c r="I1012" t="s">
        <v>177</v>
      </c>
    </row>
    <row r="1013" spans="1:41">
      <c r="I1013" t="s">
        <v>178</v>
      </c>
      <c r="J1013">
        <f>IFERROR(VLOOKUP("922-096465-300",B:AB,1+8,0),0)</f>
        <v>0</v>
      </c>
      <c r="K1013">
        <f>IFERROR(VLOOKUP("922-096465-300",B:AB,2+8,0),0)</f>
        <v>0</v>
      </c>
      <c r="L1013">
        <f>IFERROR(VLOOKUP("922-096465-300",B:AB,3+8,0),0)</f>
        <v>0</v>
      </c>
      <c r="M1013">
        <f>IFERROR(VLOOKUP("922-096465-300",B:AB,4+8,0),0)</f>
        <v>0</v>
      </c>
      <c r="N1013">
        <f>IFERROR(VLOOKUP("922-096465-300",B:AB,5+8,0),0)</f>
        <v>0</v>
      </c>
      <c r="O1013">
        <f>IFERROR(VLOOKUP("922-096465-300",B:AB,6+8,0),0)</f>
        <v>0</v>
      </c>
      <c r="P1013">
        <f>IFERROR(VLOOKUP("922-096465-300",B:AB,7+8,0),0)</f>
        <v>0</v>
      </c>
      <c r="Q1013">
        <f>IFERROR(VLOOKUP("922-096465-300",B:AB,8+8,0),0)</f>
        <v>0</v>
      </c>
      <c r="R1013">
        <f>IFERROR(VLOOKUP("922-096465-300",B:AB,9+8,0),0)</f>
        <v>0</v>
      </c>
      <c r="S1013">
        <f>IFERROR(VLOOKUP("922-096465-300",B:AB,10+8,0),0)</f>
        <v>0</v>
      </c>
      <c r="T1013">
        <f>IFERROR(VLOOKUP("922-096465-300",B:AB,11+8,0),0)</f>
        <v>0</v>
      </c>
      <c r="U1013">
        <f>IFERROR(VLOOKUP("922-096465-300",B:AB,12+8,0),0)</f>
        <v>0</v>
      </c>
      <c r="V1013">
        <f>IFERROR(VLOOKUP("922-096465-300",B:AB,13+8,0),0)</f>
        <v>0</v>
      </c>
      <c r="W1013">
        <f>IFERROR(VLOOKUP("922-096465-300",B:AB,14+8,0),0)</f>
        <v>0</v>
      </c>
      <c r="X1013">
        <f>IFERROR(VLOOKUP("922-096465-300",B:AB,15+8,0),0)</f>
        <v>0</v>
      </c>
      <c r="Y1013">
        <f>IFERROR(VLOOKUP("922-096465-300",B:AB,16+8,0),0)</f>
        <v>0</v>
      </c>
      <c r="Z1013">
        <f>IFERROR(VLOOKUP("922-096465-300",B:AB,17+8,0),0)</f>
        <v>0</v>
      </c>
      <c r="AA1013">
        <f>IFERROR(VLOOKUP("922-096465-300",B:AB,18+8,0),0)</f>
        <v>0</v>
      </c>
      <c r="AB1013">
        <f>IFERROR(VLOOKUP("922-096465-300",B:AB,19+8,0),0)</f>
        <v>0</v>
      </c>
      <c r="AC1013">
        <f>IFERROR(VLOOKUP("922-096465-300",B:AB,20+8,0),0)</f>
        <v>0</v>
      </c>
      <c r="AD1013">
        <f>IFERROR(VLOOKUP("922-096465-300",B:AB,21+8,0),0)</f>
        <v>0</v>
      </c>
      <c r="AE1013">
        <f>IFERROR(VLOOKUP("922-096465-300",B:AB,22+8,0),0)</f>
        <v>0</v>
      </c>
      <c r="AF1013">
        <f>IFERROR(VLOOKUP("922-096465-300",B:AB,23+8,0),0)</f>
        <v>0</v>
      </c>
      <c r="AG1013">
        <f>IFERROR(VLOOKUP("922-096465-300",B:AB,24+8,0),0)</f>
        <v>0</v>
      </c>
      <c r="AH1013">
        <f>IFERROR(VLOOKUP("922-096465-300",B:AB,25+8,0),0)</f>
        <v>0</v>
      </c>
      <c r="AI1013">
        <f>IFERROR(VLOOKUP("922-096465-300",B:AB,26+8,0),0)</f>
        <v>0</v>
      </c>
      <c r="AJ1013">
        <f>IFERROR(VLOOKUP("922-096465-300",B:AB,27+8,0),0)</f>
        <v>0</v>
      </c>
      <c r="AK1013">
        <f>IFERROR(VLOOKUP("922-096465-300",B:AB,28+8,0),0)</f>
        <v>0</v>
      </c>
      <c r="AL1013">
        <f>IFERROR(VLOOKUP("922-096465-300",B:AB,29+8,0),0)</f>
        <v>0</v>
      </c>
      <c r="AM1013">
        <f>IFERROR(VLOOKUP("922-096465-300",B:AB,30+8,0),0)</f>
        <v>0</v>
      </c>
      <c r="AN1013">
        <f>IFERROR(VLOOKUP("922-096465-300",B:AB,31+8,0),0)</f>
        <v>0</v>
      </c>
      <c r="AO1013">
        <f>SUN(INDIRECT(ADDRESS(1012,8)):INDIRECT(ADDRESS(1012,39)))</f>
        <v>0</v>
      </c>
    </row>
    <row r="1014" spans="1:41">
      <c r="H1014" t="s">
        <v>179</v>
      </c>
      <c r="J1014">
        <f>INDIRECT(ADDRESS(1014,9))+INDIRECT(ADDRESS(1012,10))-INDIRECT(ADDRESS(1013,10))</f>
        <v>0</v>
      </c>
      <c r="K1014">
        <f>INDIRECT(ADDRESS(1014,10))+INDIRECT(ADDRESS(1012,11))-INDIRECT(ADDRESS(1013,11))</f>
        <v>0</v>
      </c>
      <c r="L1014">
        <f>INDIRECT(ADDRESS(1014,11))+INDIRECT(ADDRESS(1012,12))-INDIRECT(ADDRESS(1013,12))</f>
        <v>0</v>
      </c>
      <c r="M1014">
        <f>INDIRECT(ADDRESS(1014,12))+INDIRECT(ADDRESS(1012,13))-INDIRECT(ADDRESS(1013,13))</f>
        <v>0</v>
      </c>
      <c r="N1014">
        <f>INDIRECT(ADDRESS(1014,13))+INDIRECT(ADDRESS(1012,14))-INDIRECT(ADDRESS(1013,14))</f>
        <v>0</v>
      </c>
      <c r="O1014">
        <f>INDIRECT(ADDRESS(1014,14))+INDIRECT(ADDRESS(1012,15))-INDIRECT(ADDRESS(1013,15))</f>
        <v>0</v>
      </c>
      <c r="P1014">
        <f>INDIRECT(ADDRESS(1014,15))+INDIRECT(ADDRESS(1012,16))-INDIRECT(ADDRESS(1013,16))</f>
        <v>0</v>
      </c>
      <c r="Q1014">
        <f>INDIRECT(ADDRESS(1014,16))+INDIRECT(ADDRESS(1012,17))-INDIRECT(ADDRESS(1013,17))</f>
        <v>0</v>
      </c>
      <c r="R1014">
        <f>INDIRECT(ADDRESS(1014,17))+INDIRECT(ADDRESS(1012,18))-INDIRECT(ADDRESS(1013,18))</f>
        <v>0</v>
      </c>
      <c r="S1014">
        <f>INDIRECT(ADDRESS(1014,18))+INDIRECT(ADDRESS(1012,19))-INDIRECT(ADDRESS(1013,19))</f>
        <v>0</v>
      </c>
      <c r="T1014">
        <f>INDIRECT(ADDRESS(1014,19))+INDIRECT(ADDRESS(1012,20))-INDIRECT(ADDRESS(1013,20))</f>
        <v>0</v>
      </c>
      <c r="U1014">
        <f>INDIRECT(ADDRESS(1014,20))+INDIRECT(ADDRESS(1012,21))-INDIRECT(ADDRESS(1013,21))</f>
        <v>0</v>
      </c>
      <c r="V1014">
        <f>INDIRECT(ADDRESS(1014,21))+INDIRECT(ADDRESS(1012,22))-INDIRECT(ADDRESS(1013,22))</f>
        <v>0</v>
      </c>
      <c r="W1014">
        <f>INDIRECT(ADDRESS(1014,22))+INDIRECT(ADDRESS(1012,23))-INDIRECT(ADDRESS(1013,23))</f>
        <v>0</v>
      </c>
      <c r="X1014">
        <f>INDIRECT(ADDRESS(1014,23))+INDIRECT(ADDRESS(1012,24))-INDIRECT(ADDRESS(1013,24))</f>
        <v>0</v>
      </c>
      <c r="Y1014">
        <f>INDIRECT(ADDRESS(1014,24))+INDIRECT(ADDRESS(1012,25))-INDIRECT(ADDRESS(1013,25))</f>
        <v>0</v>
      </c>
      <c r="Z1014">
        <f>INDIRECT(ADDRESS(1014,25))+INDIRECT(ADDRESS(1012,26))-INDIRECT(ADDRESS(1013,26))</f>
        <v>0</v>
      </c>
      <c r="AA1014">
        <f>INDIRECT(ADDRESS(1014,26))+INDIRECT(ADDRESS(1012,27))-INDIRECT(ADDRESS(1013,27))</f>
        <v>0</v>
      </c>
      <c r="AB1014">
        <f>INDIRECT(ADDRESS(1014,27))+INDIRECT(ADDRESS(1012,28))-INDIRECT(ADDRESS(1013,28))</f>
        <v>0</v>
      </c>
      <c r="AC1014">
        <f>INDIRECT(ADDRESS(1014,28))+INDIRECT(ADDRESS(1012,29))-INDIRECT(ADDRESS(1013,29))</f>
        <v>0</v>
      </c>
      <c r="AD1014">
        <f>INDIRECT(ADDRESS(1014,29))+INDIRECT(ADDRESS(1012,30))-INDIRECT(ADDRESS(1013,30))</f>
        <v>0</v>
      </c>
      <c r="AE1014">
        <f>INDIRECT(ADDRESS(1014,30))+INDIRECT(ADDRESS(1012,31))-INDIRECT(ADDRESS(1013,31))</f>
        <v>0</v>
      </c>
      <c r="AF1014">
        <f>INDIRECT(ADDRESS(1014,31))+INDIRECT(ADDRESS(1012,32))-INDIRECT(ADDRESS(1013,32))</f>
        <v>0</v>
      </c>
      <c r="AG1014">
        <f>INDIRECT(ADDRESS(1014,32))+INDIRECT(ADDRESS(1012,33))-INDIRECT(ADDRESS(1013,33))</f>
        <v>0</v>
      </c>
      <c r="AH1014">
        <f>INDIRECT(ADDRESS(1014,33))+INDIRECT(ADDRESS(1012,34))-INDIRECT(ADDRESS(1013,34))</f>
        <v>0</v>
      </c>
      <c r="AI1014">
        <f>INDIRECT(ADDRESS(1014,34))+INDIRECT(ADDRESS(1012,35))-INDIRECT(ADDRESS(1013,35))</f>
        <v>0</v>
      </c>
      <c r="AJ1014">
        <f>INDIRECT(ADDRESS(1014,35))+INDIRECT(ADDRESS(1012,36))-INDIRECT(ADDRESS(1013,36))</f>
        <v>0</v>
      </c>
      <c r="AK1014">
        <f>INDIRECT(ADDRESS(1014,36))+INDIRECT(ADDRESS(1012,37))-INDIRECT(ADDRESS(1013,37))</f>
        <v>0</v>
      </c>
      <c r="AL1014">
        <f>INDIRECT(ADDRESS(1014,37))+INDIRECT(ADDRESS(1012,38))-INDIRECT(ADDRESS(1013,38))</f>
        <v>0</v>
      </c>
      <c r="AM1014">
        <f>INDIRECT(ADDRESS(1014,38))+INDIRECT(ADDRESS(1012,39))-INDIRECT(ADDRESS(1013,39))</f>
        <v>0</v>
      </c>
      <c r="AN1014">
        <f>INDIRECT(ADDRESS(1014,39))+INDIRECT(ADDRESS(1012,40))-INDIRECT(ADDRESS(1013,40))</f>
        <v>0</v>
      </c>
      <c r="AO1014">
        <f>SUM(INDIRECT(ADDRESS(1013,8)):INDIRECT(ADDRESS(1013,39)))</f>
        <v>0</v>
      </c>
    </row>
    <row r="1015" spans="1:41">
      <c r="A1015" t="s">
        <v>185</v>
      </c>
      <c r="B1015" t="s">
        <v>526</v>
      </c>
      <c r="C1015" t="s">
        <v>527</v>
      </c>
      <c r="E1015">
        <v>1</v>
      </c>
      <c r="I1015" t="s">
        <v>177</v>
      </c>
    </row>
    <row r="1016" spans="1:41">
      <c r="I1016" t="s">
        <v>178</v>
      </c>
      <c r="J1016">
        <f>IFERROR(VLOOKUP("922-096465-300",B:AB,1+8,0),0)</f>
        <v>0</v>
      </c>
      <c r="K1016">
        <f>IFERROR(VLOOKUP("922-096465-300",B:AB,2+8,0),0)</f>
        <v>0</v>
      </c>
      <c r="L1016">
        <f>IFERROR(VLOOKUP("922-096465-300",B:AB,3+8,0),0)</f>
        <v>0</v>
      </c>
      <c r="M1016">
        <f>IFERROR(VLOOKUP("922-096465-300",B:AB,4+8,0),0)</f>
        <v>0</v>
      </c>
      <c r="N1016">
        <f>IFERROR(VLOOKUP("922-096465-300",B:AB,5+8,0),0)</f>
        <v>0</v>
      </c>
      <c r="O1016">
        <f>IFERROR(VLOOKUP("922-096465-300",B:AB,6+8,0),0)</f>
        <v>0</v>
      </c>
      <c r="P1016">
        <f>IFERROR(VLOOKUP("922-096465-300",B:AB,7+8,0),0)</f>
        <v>0</v>
      </c>
      <c r="Q1016">
        <f>IFERROR(VLOOKUP("922-096465-300",B:AB,8+8,0),0)</f>
        <v>0</v>
      </c>
      <c r="R1016">
        <f>IFERROR(VLOOKUP("922-096465-300",B:AB,9+8,0),0)</f>
        <v>0</v>
      </c>
      <c r="S1016">
        <f>IFERROR(VLOOKUP("922-096465-300",B:AB,10+8,0),0)</f>
        <v>0</v>
      </c>
      <c r="T1016">
        <f>IFERROR(VLOOKUP("922-096465-300",B:AB,11+8,0),0)</f>
        <v>0</v>
      </c>
      <c r="U1016">
        <f>IFERROR(VLOOKUP("922-096465-300",B:AB,12+8,0),0)</f>
        <v>0</v>
      </c>
      <c r="V1016">
        <f>IFERROR(VLOOKUP("922-096465-300",B:AB,13+8,0),0)</f>
        <v>0</v>
      </c>
      <c r="W1016">
        <f>IFERROR(VLOOKUP("922-096465-300",B:AB,14+8,0),0)</f>
        <v>0</v>
      </c>
      <c r="X1016">
        <f>IFERROR(VLOOKUP("922-096465-300",B:AB,15+8,0),0)</f>
        <v>0</v>
      </c>
      <c r="Y1016">
        <f>IFERROR(VLOOKUP("922-096465-300",B:AB,16+8,0),0)</f>
        <v>0</v>
      </c>
      <c r="Z1016">
        <f>IFERROR(VLOOKUP("922-096465-300",B:AB,17+8,0),0)</f>
        <v>0</v>
      </c>
      <c r="AA1016">
        <f>IFERROR(VLOOKUP("922-096465-300",B:AB,18+8,0),0)</f>
        <v>0</v>
      </c>
      <c r="AB1016">
        <f>IFERROR(VLOOKUP("922-096465-300",B:AB,19+8,0),0)</f>
        <v>0</v>
      </c>
      <c r="AC1016">
        <f>IFERROR(VLOOKUP("922-096465-300",B:AB,20+8,0),0)</f>
        <v>0</v>
      </c>
      <c r="AD1016">
        <f>IFERROR(VLOOKUP("922-096465-300",B:AB,21+8,0),0)</f>
        <v>0</v>
      </c>
      <c r="AE1016">
        <f>IFERROR(VLOOKUP("922-096465-300",B:AB,22+8,0),0)</f>
        <v>0</v>
      </c>
      <c r="AF1016">
        <f>IFERROR(VLOOKUP("922-096465-300",B:AB,23+8,0),0)</f>
        <v>0</v>
      </c>
      <c r="AG1016">
        <f>IFERROR(VLOOKUP("922-096465-300",B:AB,24+8,0),0)</f>
        <v>0</v>
      </c>
      <c r="AH1016">
        <f>IFERROR(VLOOKUP("922-096465-300",B:AB,25+8,0),0)</f>
        <v>0</v>
      </c>
      <c r="AI1016">
        <f>IFERROR(VLOOKUP("922-096465-300",B:AB,26+8,0),0)</f>
        <v>0</v>
      </c>
      <c r="AJ1016">
        <f>IFERROR(VLOOKUP("922-096465-300",B:AB,27+8,0),0)</f>
        <v>0</v>
      </c>
      <c r="AK1016">
        <f>IFERROR(VLOOKUP("922-096465-300",B:AB,28+8,0),0)</f>
        <v>0</v>
      </c>
      <c r="AL1016">
        <f>IFERROR(VLOOKUP("922-096465-300",B:AB,29+8,0),0)</f>
        <v>0</v>
      </c>
      <c r="AM1016">
        <f>IFERROR(VLOOKUP("922-096465-300",B:AB,30+8,0),0)</f>
        <v>0</v>
      </c>
      <c r="AN1016">
        <f>IFERROR(VLOOKUP("922-096465-300",B:AB,31+8,0),0)</f>
        <v>0</v>
      </c>
      <c r="AO1016">
        <f>SUN(INDIRECT(ADDRESS(1015,8)):INDIRECT(ADDRESS(1015,39)))</f>
        <v>0</v>
      </c>
    </row>
    <row r="1017" spans="1:41">
      <c r="H1017" t="s">
        <v>179</v>
      </c>
      <c r="J1017">
        <f>INDIRECT(ADDRESS(1017,9))+INDIRECT(ADDRESS(1015,10))-INDIRECT(ADDRESS(1016,10))</f>
        <v>0</v>
      </c>
      <c r="K1017">
        <f>INDIRECT(ADDRESS(1017,10))+INDIRECT(ADDRESS(1015,11))-INDIRECT(ADDRESS(1016,11))</f>
        <v>0</v>
      </c>
      <c r="L1017">
        <f>INDIRECT(ADDRESS(1017,11))+INDIRECT(ADDRESS(1015,12))-INDIRECT(ADDRESS(1016,12))</f>
        <v>0</v>
      </c>
      <c r="M1017">
        <f>INDIRECT(ADDRESS(1017,12))+INDIRECT(ADDRESS(1015,13))-INDIRECT(ADDRESS(1016,13))</f>
        <v>0</v>
      </c>
      <c r="N1017">
        <f>INDIRECT(ADDRESS(1017,13))+INDIRECT(ADDRESS(1015,14))-INDIRECT(ADDRESS(1016,14))</f>
        <v>0</v>
      </c>
      <c r="O1017">
        <f>INDIRECT(ADDRESS(1017,14))+INDIRECT(ADDRESS(1015,15))-INDIRECT(ADDRESS(1016,15))</f>
        <v>0</v>
      </c>
      <c r="P1017">
        <f>INDIRECT(ADDRESS(1017,15))+INDIRECT(ADDRESS(1015,16))-INDIRECT(ADDRESS(1016,16))</f>
        <v>0</v>
      </c>
      <c r="Q1017">
        <f>INDIRECT(ADDRESS(1017,16))+INDIRECT(ADDRESS(1015,17))-INDIRECT(ADDRESS(1016,17))</f>
        <v>0</v>
      </c>
      <c r="R1017">
        <f>INDIRECT(ADDRESS(1017,17))+INDIRECT(ADDRESS(1015,18))-INDIRECT(ADDRESS(1016,18))</f>
        <v>0</v>
      </c>
      <c r="S1017">
        <f>INDIRECT(ADDRESS(1017,18))+INDIRECT(ADDRESS(1015,19))-INDIRECT(ADDRESS(1016,19))</f>
        <v>0</v>
      </c>
      <c r="T1017">
        <f>INDIRECT(ADDRESS(1017,19))+INDIRECT(ADDRESS(1015,20))-INDIRECT(ADDRESS(1016,20))</f>
        <v>0</v>
      </c>
      <c r="U1017">
        <f>INDIRECT(ADDRESS(1017,20))+INDIRECT(ADDRESS(1015,21))-INDIRECT(ADDRESS(1016,21))</f>
        <v>0</v>
      </c>
      <c r="V1017">
        <f>INDIRECT(ADDRESS(1017,21))+INDIRECT(ADDRESS(1015,22))-INDIRECT(ADDRESS(1016,22))</f>
        <v>0</v>
      </c>
      <c r="W1017">
        <f>INDIRECT(ADDRESS(1017,22))+INDIRECT(ADDRESS(1015,23))-INDIRECT(ADDRESS(1016,23))</f>
        <v>0</v>
      </c>
      <c r="X1017">
        <f>INDIRECT(ADDRESS(1017,23))+INDIRECT(ADDRESS(1015,24))-INDIRECT(ADDRESS(1016,24))</f>
        <v>0</v>
      </c>
      <c r="Y1017">
        <f>INDIRECT(ADDRESS(1017,24))+INDIRECT(ADDRESS(1015,25))-INDIRECT(ADDRESS(1016,25))</f>
        <v>0</v>
      </c>
      <c r="Z1017">
        <f>INDIRECT(ADDRESS(1017,25))+INDIRECT(ADDRESS(1015,26))-INDIRECT(ADDRESS(1016,26))</f>
        <v>0</v>
      </c>
      <c r="AA1017">
        <f>INDIRECT(ADDRESS(1017,26))+INDIRECT(ADDRESS(1015,27))-INDIRECT(ADDRESS(1016,27))</f>
        <v>0</v>
      </c>
      <c r="AB1017">
        <f>INDIRECT(ADDRESS(1017,27))+INDIRECT(ADDRESS(1015,28))-INDIRECT(ADDRESS(1016,28))</f>
        <v>0</v>
      </c>
      <c r="AC1017">
        <f>INDIRECT(ADDRESS(1017,28))+INDIRECT(ADDRESS(1015,29))-INDIRECT(ADDRESS(1016,29))</f>
        <v>0</v>
      </c>
      <c r="AD1017">
        <f>INDIRECT(ADDRESS(1017,29))+INDIRECT(ADDRESS(1015,30))-INDIRECT(ADDRESS(1016,30))</f>
        <v>0</v>
      </c>
      <c r="AE1017">
        <f>INDIRECT(ADDRESS(1017,30))+INDIRECT(ADDRESS(1015,31))-INDIRECT(ADDRESS(1016,31))</f>
        <v>0</v>
      </c>
      <c r="AF1017">
        <f>INDIRECT(ADDRESS(1017,31))+INDIRECT(ADDRESS(1015,32))-INDIRECT(ADDRESS(1016,32))</f>
        <v>0</v>
      </c>
      <c r="AG1017">
        <f>INDIRECT(ADDRESS(1017,32))+INDIRECT(ADDRESS(1015,33))-INDIRECT(ADDRESS(1016,33))</f>
        <v>0</v>
      </c>
      <c r="AH1017">
        <f>INDIRECT(ADDRESS(1017,33))+INDIRECT(ADDRESS(1015,34))-INDIRECT(ADDRESS(1016,34))</f>
        <v>0</v>
      </c>
      <c r="AI1017">
        <f>INDIRECT(ADDRESS(1017,34))+INDIRECT(ADDRESS(1015,35))-INDIRECT(ADDRESS(1016,35))</f>
        <v>0</v>
      </c>
      <c r="AJ1017">
        <f>INDIRECT(ADDRESS(1017,35))+INDIRECT(ADDRESS(1015,36))-INDIRECT(ADDRESS(1016,36))</f>
        <v>0</v>
      </c>
      <c r="AK1017">
        <f>INDIRECT(ADDRESS(1017,36))+INDIRECT(ADDRESS(1015,37))-INDIRECT(ADDRESS(1016,37))</f>
        <v>0</v>
      </c>
      <c r="AL1017">
        <f>INDIRECT(ADDRESS(1017,37))+INDIRECT(ADDRESS(1015,38))-INDIRECT(ADDRESS(1016,38))</f>
        <v>0</v>
      </c>
      <c r="AM1017">
        <f>INDIRECT(ADDRESS(1017,38))+INDIRECT(ADDRESS(1015,39))-INDIRECT(ADDRESS(1016,39))</f>
        <v>0</v>
      </c>
      <c r="AN1017">
        <f>INDIRECT(ADDRESS(1017,39))+INDIRECT(ADDRESS(1015,40))-INDIRECT(ADDRESS(1016,40))</f>
        <v>0</v>
      </c>
      <c r="AO1017">
        <f>SUM(INDIRECT(ADDRESS(1016,8)):INDIRECT(ADDRESS(1016,39)))</f>
        <v>0</v>
      </c>
    </row>
    <row r="1018" spans="1:41">
      <c r="A1018" t="s">
        <v>206</v>
      </c>
      <c r="B1018" t="s">
        <v>528</v>
      </c>
      <c r="C1018" t="s">
        <v>529</v>
      </c>
      <c r="E1018">
        <v>0.05</v>
      </c>
      <c r="I1018" t="s">
        <v>177</v>
      </c>
    </row>
    <row r="1019" spans="1:41">
      <c r="I1019" t="s">
        <v>178</v>
      </c>
      <c r="J1019">
        <f>IFERROR(VLOOKUP("922-096465-300",B:AB,1+8,0),0)</f>
        <v>0</v>
      </c>
      <c r="K1019">
        <f>IFERROR(VLOOKUP("922-096465-300",B:AB,2+8,0),0)</f>
        <v>0</v>
      </c>
      <c r="L1019">
        <f>IFERROR(VLOOKUP("922-096465-300",B:AB,3+8,0),0)</f>
        <v>0</v>
      </c>
      <c r="M1019">
        <f>IFERROR(VLOOKUP("922-096465-300",B:AB,4+8,0),0)</f>
        <v>0</v>
      </c>
      <c r="N1019">
        <f>IFERROR(VLOOKUP("922-096465-300",B:AB,5+8,0),0)</f>
        <v>0</v>
      </c>
      <c r="O1019">
        <f>IFERROR(VLOOKUP("922-096465-300",B:AB,6+8,0),0)</f>
        <v>0</v>
      </c>
      <c r="P1019">
        <f>IFERROR(VLOOKUP("922-096465-300",B:AB,7+8,0),0)</f>
        <v>0</v>
      </c>
      <c r="Q1019">
        <f>IFERROR(VLOOKUP("922-096465-300",B:AB,8+8,0),0)</f>
        <v>0</v>
      </c>
      <c r="R1019">
        <f>IFERROR(VLOOKUP("922-096465-300",B:AB,9+8,0),0)</f>
        <v>0</v>
      </c>
      <c r="S1019">
        <f>IFERROR(VLOOKUP("922-096465-300",B:AB,10+8,0),0)</f>
        <v>0</v>
      </c>
      <c r="T1019">
        <f>IFERROR(VLOOKUP("922-096465-300",B:AB,11+8,0),0)</f>
        <v>0</v>
      </c>
      <c r="U1019">
        <f>IFERROR(VLOOKUP("922-096465-300",B:AB,12+8,0),0)</f>
        <v>0</v>
      </c>
      <c r="V1019">
        <f>IFERROR(VLOOKUP("922-096465-300",B:AB,13+8,0),0)</f>
        <v>0</v>
      </c>
      <c r="W1019">
        <f>IFERROR(VLOOKUP("922-096465-300",B:AB,14+8,0),0)</f>
        <v>0</v>
      </c>
      <c r="X1019">
        <f>IFERROR(VLOOKUP("922-096465-300",B:AB,15+8,0),0)</f>
        <v>0</v>
      </c>
      <c r="Y1019">
        <f>IFERROR(VLOOKUP("922-096465-300",B:AB,16+8,0),0)</f>
        <v>0</v>
      </c>
      <c r="Z1019">
        <f>IFERROR(VLOOKUP("922-096465-300",B:AB,17+8,0),0)</f>
        <v>0</v>
      </c>
      <c r="AA1019">
        <f>IFERROR(VLOOKUP("922-096465-300",B:AB,18+8,0),0)</f>
        <v>0</v>
      </c>
      <c r="AB1019">
        <f>IFERROR(VLOOKUP("922-096465-300",B:AB,19+8,0),0)</f>
        <v>0</v>
      </c>
      <c r="AC1019">
        <f>IFERROR(VLOOKUP("922-096465-300",B:AB,20+8,0),0)</f>
        <v>0</v>
      </c>
      <c r="AD1019">
        <f>IFERROR(VLOOKUP("922-096465-300",B:AB,21+8,0),0)</f>
        <v>0</v>
      </c>
      <c r="AE1019">
        <f>IFERROR(VLOOKUP("922-096465-300",B:AB,22+8,0),0)</f>
        <v>0</v>
      </c>
      <c r="AF1019">
        <f>IFERROR(VLOOKUP("922-096465-300",B:AB,23+8,0),0)</f>
        <v>0</v>
      </c>
      <c r="AG1019">
        <f>IFERROR(VLOOKUP("922-096465-300",B:AB,24+8,0),0)</f>
        <v>0</v>
      </c>
      <c r="AH1019">
        <f>IFERROR(VLOOKUP("922-096465-300",B:AB,25+8,0),0)</f>
        <v>0</v>
      </c>
      <c r="AI1019">
        <f>IFERROR(VLOOKUP("922-096465-300",B:AB,26+8,0),0)</f>
        <v>0</v>
      </c>
      <c r="AJ1019">
        <f>IFERROR(VLOOKUP("922-096465-300",B:AB,27+8,0),0)</f>
        <v>0</v>
      </c>
      <c r="AK1019">
        <f>IFERROR(VLOOKUP("922-096465-300",B:AB,28+8,0),0)</f>
        <v>0</v>
      </c>
      <c r="AL1019">
        <f>IFERROR(VLOOKUP("922-096465-300",B:AB,29+8,0),0)</f>
        <v>0</v>
      </c>
      <c r="AM1019">
        <f>IFERROR(VLOOKUP("922-096465-300",B:AB,30+8,0),0)</f>
        <v>0</v>
      </c>
      <c r="AN1019">
        <f>IFERROR(VLOOKUP("922-096465-300",B:AB,31+8,0),0)</f>
        <v>0</v>
      </c>
      <c r="AO1019">
        <f>SUN(INDIRECT(ADDRESS(1018,8)):INDIRECT(ADDRESS(1018,39)))</f>
        <v>0</v>
      </c>
    </row>
    <row r="1020" spans="1:41">
      <c r="H1020" t="s">
        <v>179</v>
      </c>
      <c r="J1020">
        <f>INDIRECT(ADDRESS(1020,9))+INDIRECT(ADDRESS(1018,10))-INDIRECT(ADDRESS(1019,10))</f>
        <v>0</v>
      </c>
      <c r="K1020">
        <f>INDIRECT(ADDRESS(1020,10))+INDIRECT(ADDRESS(1018,11))-INDIRECT(ADDRESS(1019,11))</f>
        <v>0</v>
      </c>
      <c r="L1020">
        <f>INDIRECT(ADDRESS(1020,11))+INDIRECT(ADDRESS(1018,12))-INDIRECT(ADDRESS(1019,12))</f>
        <v>0</v>
      </c>
      <c r="M1020">
        <f>INDIRECT(ADDRESS(1020,12))+INDIRECT(ADDRESS(1018,13))-INDIRECT(ADDRESS(1019,13))</f>
        <v>0</v>
      </c>
      <c r="N1020">
        <f>INDIRECT(ADDRESS(1020,13))+INDIRECT(ADDRESS(1018,14))-INDIRECT(ADDRESS(1019,14))</f>
        <v>0</v>
      </c>
      <c r="O1020">
        <f>INDIRECT(ADDRESS(1020,14))+INDIRECT(ADDRESS(1018,15))-INDIRECT(ADDRESS(1019,15))</f>
        <v>0</v>
      </c>
      <c r="P1020">
        <f>INDIRECT(ADDRESS(1020,15))+INDIRECT(ADDRESS(1018,16))-INDIRECT(ADDRESS(1019,16))</f>
        <v>0</v>
      </c>
      <c r="Q1020">
        <f>INDIRECT(ADDRESS(1020,16))+INDIRECT(ADDRESS(1018,17))-INDIRECT(ADDRESS(1019,17))</f>
        <v>0</v>
      </c>
      <c r="R1020">
        <f>INDIRECT(ADDRESS(1020,17))+INDIRECT(ADDRESS(1018,18))-INDIRECT(ADDRESS(1019,18))</f>
        <v>0</v>
      </c>
      <c r="S1020">
        <f>INDIRECT(ADDRESS(1020,18))+INDIRECT(ADDRESS(1018,19))-INDIRECT(ADDRESS(1019,19))</f>
        <v>0</v>
      </c>
      <c r="T1020">
        <f>INDIRECT(ADDRESS(1020,19))+INDIRECT(ADDRESS(1018,20))-INDIRECT(ADDRESS(1019,20))</f>
        <v>0</v>
      </c>
      <c r="U1020">
        <f>INDIRECT(ADDRESS(1020,20))+INDIRECT(ADDRESS(1018,21))-INDIRECT(ADDRESS(1019,21))</f>
        <v>0</v>
      </c>
      <c r="V1020">
        <f>INDIRECT(ADDRESS(1020,21))+INDIRECT(ADDRESS(1018,22))-INDIRECT(ADDRESS(1019,22))</f>
        <v>0</v>
      </c>
      <c r="W1020">
        <f>INDIRECT(ADDRESS(1020,22))+INDIRECT(ADDRESS(1018,23))-INDIRECT(ADDRESS(1019,23))</f>
        <v>0</v>
      </c>
      <c r="X1020">
        <f>INDIRECT(ADDRESS(1020,23))+INDIRECT(ADDRESS(1018,24))-INDIRECT(ADDRESS(1019,24))</f>
        <v>0</v>
      </c>
      <c r="Y1020">
        <f>INDIRECT(ADDRESS(1020,24))+INDIRECT(ADDRESS(1018,25))-INDIRECT(ADDRESS(1019,25))</f>
        <v>0</v>
      </c>
      <c r="Z1020">
        <f>INDIRECT(ADDRESS(1020,25))+INDIRECT(ADDRESS(1018,26))-INDIRECT(ADDRESS(1019,26))</f>
        <v>0</v>
      </c>
      <c r="AA1020">
        <f>INDIRECT(ADDRESS(1020,26))+INDIRECT(ADDRESS(1018,27))-INDIRECT(ADDRESS(1019,27))</f>
        <v>0</v>
      </c>
      <c r="AB1020">
        <f>INDIRECT(ADDRESS(1020,27))+INDIRECT(ADDRESS(1018,28))-INDIRECT(ADDRESS(1019,28))</f>
        <v>0</v>
      </c>
      <c r="AC1020">
        <f>INDIRECT(ADDRESS(1020,28))+INDIRECT(ADDRESS(1018,29))-INDIRECT(ADDRESS(1019,29))</f>
        <v>0</v>
      </c>
      <c r="AD1020">
        <f>INDIRECT(ADDRESS(1020,29))+INDIRECT(ADDRESS(1018,30))-INDIRECT(ADDRESS(1019,30))</f>
        <v>0</v>
      </c>
      <c r="AE1020">
        <f>INDIRECT(ADDRESS(1020,30))+INDIRECT(ADDRESS(1018,31))-INDIRECT(ADDRESS(1019,31))</f>
        <v>0</v>
      </c>
      <c r="AF1020">
        <f>INDIRECT(ADDRESS(1020,31))+INDIRECT(ADDRESS(1018,32))-INDIRECT(ADDRESS(1019,32))</f>
        <v>0</v>
      </c>
      <c r="AG1020">
        <f>INDIRECT(ADDRESS(1020,32))+INDIRECT(ADDRESS(1018,33))-INDIRECT(ADDRESS(1019,33))</f>
        <v>0</v>
      </c>
      <c r="AH1020">
        <f>INDIRECT(ADDRESS(1020,33))+INDIRECT(ADDRESS(1018,34))-INDIRECT(ADDRESS(1019,34))</f>
        <v>0</v>
      </c>
      <c r="AI1020">
        <f>INDIRECT(ADDRESS(1020,34))+INDIRECT(ADDRESS(1018,35))-INDIRECT(ADDRESS(1019,35))</f>
        <v>0</v>
      </c>
      <c r="AJ1020">
        <f>INDIRECT(ADDRESS(1020,35))+INDIRECT(ADDRESS(1018,36))-INDIRECT(ADDRESS(1019,36))</f>
        <v>0</v>
      </c>
      <c r="AK1020">
        <f>INDIRECT(ADDRESS(1020,36))+INDIRECT(ADDRESS(1018,37))-INDIRECT(ADDRESS(1019,37))</f>
        <v>0</v>
      </c>
      <c r="AL1020">
        <f>INDIRECT(ADDRESS(1020,37))+INDIRECT(ADDRESS(1018,38))-INDIRECT(ADDRESS(1019,38))</f>
        <v>0</v>
      </c>
      <c r="AM1020">
        <f>INDIRECT(ADDRESS(1020,38))+INDIRECT(ADDRESS(1018,39))-INDIRECT(ADDRESS(1019,39))</f>
        <v>0</v>
      </c>
      <c r="AN1020">
        <f>INDIRECT(ADDRESS(1020,39))+INDIRECT(ADDRESS(1018,40))-INDIRECT(ADDRESS(1019,40))</f>
        <v>0</v>
      </c>
      <c r="AO1020">
        <f>SUM(INDIRECT(ADDRESS(1019,8)):INDIRECT(ADDRESS(1019,39)))</f>
        <v>0</v>
      </c>
    </row>
    <row r="1021" spans="1:41">
      <c r="A1021" t="s">
        <v>8</v>
      </c>
      <c r="B1021" t="s">
        <v>81</v>
      </c>
      <c r="C1021" t="s">
        <v>82</v>
      </c>
      <c r="E1021">
        <v>1</v>
      </c>
      <c r="I1021" t="s">
        <v>177</v>
      </c>
    </row>
    <row r="1022" spans="1:41">
      <c r="I1022" t="s">
        <v>178</v>
      </c>
      <c r="J1022">
        <f>IFERROR(VLOOKUP("922-096465-400",Out!B:AB,1+8,0),0)</f>
        <v>0</v>
      </c>
      <c r="K1022">
        <f>IFERROR(VLOOKUP("922-096465-400",Out!B:AB,2+8,0),0)</f>
        <v>0</v>
      </c>
      <c r="L1022">
        <f>IFERROR(VLOOKUP("922-096465-400",Out!B:AB,3+8,0),0)</f>
        <v>0</v>
      </c>
      <c r="M1022">
        <f>IFERROR(VLOOKUP("922-096465-400",Out!B:AB,4+8,0),0)</f>
        <v>0</v>
      </c>
      <c r="N1022">
        <f>IFERROR(VLOOKUP("922-096465-400",Out!B:AB,5+8,0),0)</f>
        <v>0</v>
      </c>
      <c r="O1022">
        <f>IFERROR(VLOOKUP("922-096465-400",Out!B:AB,6+8,0),0)</f>
        <v>0</v>
      </c>
      <c r="P1022">
        <f>IFERROR(VLOOKUP("922-096465-400",Out!B:AB,7+8,0),0)</f>
        <v>0</v>
      </c>
      <c r="Q1022">
        <f>IFERROR(VLOOKUP("922-096465-400",Out!B:AB,8+8,0),0)</f>
        <v>0</v>
      </c>
      <c r="R1022">
        <f>IFERROR(VLOOKUP("922-096465-400",Out!B:AB,9+8,0),0)</f>
        <v>0</v>
      </c>
      <c r="S1022">
        <f>IFERROR(VLOOKUP("922-096465-400",Out!B:AB,10+8,0),0)</f>
        <v>0</v>
      </c>
      <c r="T1022">
        <f>IFERROR(VLOOKUP("922-096465-400",Out!B:AB,11+8,0),0)</f>
        <v>0</v>
      </c>
      <c r="U1022">
        <f>IFERROR(VLOOKUP("922-096465-400",Out!B:AB,12+8,0),0)</f>
        <v>0</v>
      </c>
      <c r="V1022">
        <f>IFERROR(VLOOKUP("922-096465-400",Out!B:AB,13+8,0),0)</f>
        <v>0</v>
      </c>
      <c r="W1022">
        <f>IFERROR(VLOOKUP("922-096465-400",Out!B:AB,14+8,0),0)</f>
        <v>0</v>
      </c>
      <c r="X1022">
        <f>IFERROR(VLOOKUP("922-096465-400",Out!B:AB,15+8,0),0)</f>
        <v>0</v>
      </c>
      <c r="Y1022">
        <f>IFERROR(VLOOKUP("922-096465-400",Out!B:AB,16+8,0),0)</f>
        <v>0</v>
      </c>
      <c r="Z1022">
        <f>IFERROR(VLOOKUP("922-096465-400",Out!B:AB,17+8,0),0)</f>
        <v>0</v>
      </c>
      <c r="AA1022">
        <f>IFERROR(VLOOKUP("922-096465-400",Out!B:AB,18+8,0),0)</f>
        <v>0</v>
      </c>
      <c r="AB1022">
        <f>IFERROR(VLOOKUP("922-096465-400",Out!B:AB,19+8,0),0)</f>
        <v>0</v>
      </c>
      <c r="AC1022">
        <f>IFERROR(VLOOKUP("922-096465-400",Out!B:AB,20+8,0),0)</f>
        <v>0</v>
      </c>
      <c r="AD1022">
        <f>IFERROR(VLOOKUP("922-096465-400",Out!B:AB,21+8,0),0)</f>
        <v>0</v>
      </c>
      <c r="AE1022">
        <f>IFERROR(VLOOKUP("922-096465-400",Out!B:AB,22+8,0),0)</f>
        <v>0</v>
      </c>
      <c r="AF1022">
        <f>IFERROR(VLOOKUP("922-096465-400",Out!B:AB,23+8,0),0)</f>
        <v>0</v>
      </c>
      <c r="AG1022">
        <f>IFERROR(VLOOKUP("922-096465-400",Out!B:AB,24+8,0),0)</f>
        <v>0</v>
      </c>
      <c r="AH1022">
        <f>IFERROR(VLOOKUP("922-096465-400",Out!B:AB,25+8,0),0)</f>
        <v>0</v>
      </c>
      <c r="AI1022">
        <f>IFERROR(VLOOKUP("922-096465-400",Out!B:AB,26+8,0),0)</f>
        <v>0</v>
      </c>
      <c r="AJ1022">
        <f>IFERROR(VLOOKUP("922-096465-400",Out!B:AB,27+8,0),0)</f>
        <v>0</v>
      </c>
      <c r="AK1022">
        <f>IFERROR(VLOOKUP("922-096465-400",Out!B:AB,28+8,0),0)</f>
        <v>0</v>
      </c>
      <c r="AL1022">
        <f>IFERROR(VLOOKUP("922-096465-400",Out!B:AB,29+8,0),0)</f>
        <v>0</v>
      </c>
      <c r="AM1022">
        <f>IFERROR(VLOOKUP("922-096465-400",Out!B:AB,30+8,0),0)</f>
        <v>0</v>
      </c>
      <c r="AN1022">
        <f>IFERROR(VLOOKUP("922-096465-400",Out!B:AB,31+8,0),0)</f>
        <v>0</v>
      </c>
      <c r="AO1022">
        <f>SUN(INDIRECT(ADDRESS(1021,8)):INDIRECT(ADDRESS(1021,39)))</f>
        <v>0</v>
      </c>
    </row>
    <row r="1023" spans="1:41">
      <c r="H1023" t="s">
        <v>179</v>
      </c>
      <c r="J1023">
        <f>INDIRECT(ADDRESS(1023,9))+INDIRECT(ADDRESS(1021,10))-INDIRECT(ADDRESS(1022,10))</f>
        <v>0</v>
      </c>
      <c r="K1023">
        <f>INDIRECT(ADDRESS(1023,10))+INDIRECT(ADDRESS(1021,11))-INDIRECT(ADDRESS(1022,11))</f>
        <v>0</v>
      </c>
      <c r="L1023">
        <f>INDIRECT(ADDRESS(1023,11))+INDIRECT(ADDRESS(1021,12))-INDIRECT(ADDRESS(1022,12))</f>
        <v>0</v>
      </c>
      <c r="M1023">
        <f>INDIRECT(ADDRESS(1023,12))+INDIRECT(ADDRESS(1021,13))-INDIRECT(ADDRESS(1022,13))</f>
        <v>0</v>
      </c>
      <c r="N1023">
        <f>INDIRECT(ADDRESS(1023,13))+INDIRECT(ADDRESS(1021,14))-INDIRECT(ADDRESS(1022,14))</f>
        <v>0</v>
      </c>
      <c r="O1023">
        <f>INDIRECT(ADDRESS(1023,14))+INDIRECT(ADDRESS(1021,15))-INDIRECT(ADDRESS(1022,15))</f>
        <v>0</v>
      </c>
      <c r="P1023">
        <f>INDIRECT(ADDRESS(1023,15))+INDIRECT(ADDRESS(1021,16))-INDIRECT(ADDRESS(1022,16))</f>
        <v>0</v>
      </c>
      <c r="Q1023">
        <f>INDIRECT(ADDRESS(1023,16))+INDIRECT(ADDRESS(1021,17))-INDIRECT(ADDRESS(1022,17))</f>
        <v>0</v>
      </c>
      <c r="R1023">
        <f>INDIRECT(ADDRESS(1023,17))+INDIRECT(ADDRESS(1021,18))-INDIRECT(ADDRESS(1022,18))</f>
        <v>0</v>
      </c>
      <c r="S1023">
        <f>INDIRECT(ADDRESS(1023,18))+INDIRECT(ADDRESS(1021,19))-INDIRECT(ADDRESS(1022,19))</f>
        <v>0</v>
      </c>
      <c r="T1023">
        <f>INDIRECT(ADDRESS(1023,19))+INDIRECT(ADDRESS(1021,20))-INDIRECT(ADDRESS(1022,20))</f>
        <v>0</v>
      </c>
      <c r="U1023">
        <f>INDIRECT(ADDRESS(1023,20))+INDIRECT(ADDRESS(1021,21))-INDIRECT(ADDRESS(1022,21))</f>
        <v>0</v>
      </c>
      <c r="V1023">
        <f>INDIRECT(ADDRESS(1023,21))+INDIRECT(ADDRESS(1021,22))-INDIRECT(ADDRESS(1022,22))</f>
        <v>0</v>
      </c>
      <c r="W1023">
        <f>INDIRECT(ADDRESS(1023,22))+INDIRECT(ADDRESS(1021,23))-INDIRECT(ADDRESS(1022,23))</f>
        <v>0</v>
      </c>
      <c r="X1023">
        <f>INDIRECT(ADDRESS(1023,23))+INDIRECT(ADDRESS(1021,24))-INDIRECT(ADDRESS(1022,24))</f>
        <v>0</v>
      </c>
      <c r="Y1023">
        <f>INDIRECT(ADDRESS(1023,24))+INDIRECT(ADDRESS(1021,25))-INDIRECT(ADDRESS(1022,25))</f>
        <v>0</v>
      </c>
      <c r="Z1023">
        <f>INDIRECT(ADDRESS(1023,25))+INDIRECT(ADDRESS(1021,26))-INDIRECT(ADDRESS(1022,26))</f>
        <v>0</v>
      </c>
      <c r="AA1023">
        <f>INDIRECT(ADDRESS(1023,26))+INDIRECT(ADDRESS(1021,27))-INDIRECT(ADDRESS(1022,27))</f>
        <v>0</v>
      </c>
      <c r="AB1023">
        <f>INDIRECT(ADDRESS(1023,27))+INDIRECT(ADDRESS(1021,28))-INDIRECT(ADDRESS(1022,28))</f>
        <v>0</v>
      </c>
      <c r="AC1023">
        <f>INDIRECT(ADDRESS(1023,28))+INDIRECT(ADDRESS(1021,29))-INDIRECT(ADDRESS(1022,29))</f>
        <v>0</v>
      </c>
      <c r="AD1023">
        <f>INDIRECT(ADDRESS(1023,29))+INDIRECT(ADDRESS(1021,30))-INDIRECT(ADDRESS(1022,30))</f>
        <v>0</v>
      </c>
      <c r="AE1023">
        <f>INDIRECT(ADDRESS(1023,30))+INDIRECT(ADDRESS(1021,31))-INDIRECT(ADDRESS(1022,31))</f>
        <v>0</v>
      </c>
      <c r="AF1023">
        <f>INDIRECT(ADDRESS(1023,31))+INDIRECT(ADDRESS(1021,32))-INDIRECT(ADDRESS(1022,32))</f>
        <v>0</v>
      </c>
      <c r="AG1023">
        <f>INDIRECT(ADDRESS(1023,32))+INDIRECT(ADDRESS(1021,33))-INDIRECT(ADDRESS(1022,33))</f>
        <v>0</v>
      </c>
      <c r="AH1023">
        <f>INDIRECT(ADDRESS(1023,33))+INDIRECT(ADDRESS(1021,34))-INDIRECT(ADDRESS(1022,34))</f>
        <v>0</v>
      </c>
      <c r="AI1023">
        <f>INDIRECT(ADDRESS(1023,34))+INDIRECT(ADDRESS(1021,35))-INDIRECT(ADDRESS(1022,35))</f>
        <v>0</v>
      </c>
      <c r="AJ1023">
        <f>INDIRECT(ADDRESS(1023,35))+INDIRECT(ADDRESS(1021,36))-INDIRECT(ADDRESS(1022,36))</f>
        <v>0</v>
      </c>
      <c r="AK1023">
        <f>INDIRECT(ADDRESS(1023,36))+INDIRECT(ADDRESS(1021,37))-INDIRECT(ADDRESS(1022,37))</f>
        <v>0</v>
      </c>
      <c r="AL1023">
        <f>INDIRECT(ADDRESS(1023,37))+INDIRECT(ADDRESS(1021,38))-INDIRECT(ADDRESS(1022,38))</f>
        <v>0</v>
      </c>
      <c r="AM1023">
        <f>INDIRECT(ADDRESS(1023,38))+INDIRECT(ADDRESS(1021,39))-INDIRECT(ADDRESS(1022,39))</f>
        <v>0</v>
      </c>
      <c r="AN1023">
        <f>INDIRECT(ADDRESS(1023,39))+INDIRECT(ADDRESS(1021,40))-INDIRECT(ADDRESS(1022,40))</f>
        <v>0</v>
      </c>
      <c r="AO1023">
        <f>SUM(INDIRECT(ADDRESS(1022,8)):INDIRECT(ADDRESS(1022,39)))</f>
        <v>0</v>
      </c>
    </row>
    <row r="1024" spans="1:41">
      <c r="A1024" t="s">
        <v>180</v>
      </c>
      <c r="B1024" t="s">
        <v>520</v>
      </c>
      <c r="C1024" t="s">
        <v>521</v>
      </c>
      <c r="E1024">
        <v>1</v>
      </c>
      <c r="I1024" t="s">
        <v>177</v>
      </c>
    </row>
    <row r="1025" spans="1:41">
      <c r="I1025" t="s">
        <v>178</v>
      </c>
      <c r="J1025">
        <f>IFERROR(VLOOKUP("922-096465-400",B:AB,1+8,0),0)</f>
        <v>0</v>
      </c>
      <c r="K1025">
        <f>IFERROR(VLOOKUP("922-096465-400",B:AB,2+8,0),0)</f>
        <v>0</v>
      </c>
      <c r="L1025">
        <f>IFERROR(VLOOKUP("922-096465-400",B:AB,3+8,0),0)</f>
        <v>0</v>
      </c>
      <c r="M1025">
        <f>IFERROR(VLOOKUP("922-096465-400",B:AB,4+8,0),0)</f>
        <v>0</v>
      </c>
      <c r="N1025">
        <f>IFERROR(VLOOKUP("922-096465-400",B:AB,5+8,0),0)</f>
        <v>0</v>
      </c>
      <c r="O1025">
        <f>IFERROR(VLOOKUP("922-096465-400",B:AB,6+8,0),0)</f>
        <v>0</v>
      </c>
      <c r="P1025">
        <f>IFERROR(VLOOKUP("922-096465-400",B:AB,7+8,0),0)</f>
        <v>0</v>
      </c>
      <c r="Q1025">
        <f>IFERROR(VLOOKUP("922-096465-400",B:AB,8+8,0),0)</f>
        <v>0</v>
      </c>
      <c r="R1025">
        <f>IFERROR(VLOOKUP("922-096465-400",B:AB,9+8,0),0)</f>
        <v>0</v>
      </c>
      <c r="S1025">
        <f>IFERROR(VLOOKUP("922-096465-400",B:AB,10+8,0),0)</f>
        <v>0</v>
      </c>
      <c r="T1025">
        <f>IFERROR(VLOOKUP("922-096465-400",B:AB,11+8,0),0)</f>
        <v>0</v>
      </c>
      <c r="U1025">
        <f>IFERROR(VLOOKUP("922-096465-400",B:AB,12+8,0),0)</f>
        <v>0</v>
      </c>
      <c r="V1025">
        <f>IFERROR(VLOOKUP("922-096465-400",B:AB,13+8,0),0)</f>
        <v>0</v>
      </c>
      <c r="W1025">
        <f>IFERROR(VLOOKUP("922-096465-400",B:AB,14+8,0),0)</f>
        <v>0</v>
      </c>
      <c r="X1025">
        <f>IFERROR(VLOOKUP("922-096465-400",B:AB,15+8,0),0)</f>
        <v>0</v>
      </c>
      <c r="Y1025">
        <f>IFERROR(VLOOKUP("922-096465-400",B:AB,16+8,0),0)</f>
        <v>0</v>
      </c>
      <c r="Z1025">
        <f>IFERROR(VLOOKUP("922-096465-400",B:AB,17+8,0),0)</f>
        <v>0</v>
      </c>
      <c r="AA1025">
        <f>IFERROR(VLOOKUP("922-096465-400",B:AB,18+8,0),0)</f>
        <v>0</v>
      </c>
      <c r="AB1025">
        <f>IFERROR(VLOOKUP("922-096465-400",B:AB,19+8,0),0)</f>
        <v>0</v>
      </c>
      <c r="AC1025">
        <f>IFERROR(VLOOKUP("922-096465-400",B:AB,20+8,0),0)</f>
        <v>0</v>
      </c>
      <c r="AD1025">
        <f>IFERROR(VLOOKUP("922-096465-400",B:AB,21+8,0),0)</f>
        <v>0</v>
      </c>
      <c r="AE1025">
        <f>IFERROR(VLOOKUP("922-096465-400",B:AB,22+8,0),0)</f>
        <v>0</v>
      </c>
      <c r="AF1025">
        <f>IFERROR(VLOOKUP("922-096465-400",B:AB,23+8,0),0)</f>
        <v>0</v>
      </c>
      <c r="AG1025">
        <f>IFERROR(VLOOKUP("922-096465-400",B:AB,24+8,0),0)</f>
        <v>0</v>
      </c>
      <c r="AH1025">
        <f>IFERROR(VLOOKUP("922-096465-400",B:AB,25+8,0),0)</f>
        <v>0</v>
      </c>
      <c r="AI1025">
        <f>IFERROR(VLOOKUP("922-096465-400",B:AB,26+8,0),0)</f>
        <v>0</v>
      </c>
      <c r="AJ1025">
        <f>IFERROR(VLOOKUP("922-096465-400",B:AB,27+8,0),0)</f>
        <v>0</v>
      </c>
      <c r="AK1025">
        <f>IFERROR(VLOOKUP("922-096465-400",B:AB,28+8,0),0)</f>
        <v>0</v>
      </c>
      <c r="AL1025">
        <f>IFERROR(VLOOKUP("922-096465-400",B:AB,29+8,0),0)</f>
        <v>0</v>
      </c>
      <c r="AM1025">
        <f>IFERROR(VLOOKUP("922-096465-400",B:AB,30+8,0),0)</f>
        <v>0</v>
      </c>
      <c r="AN1025">
        <f>IFERROR(VLOOKUP("922-096465-400",B:AB,31+8,0),0)</f>
        <v>0</v>
      </c>
      <c r="AO1025">
        <f>SUN(INDIRECT(ADDRESS(1024,8)):INDIRECT(ADDRESS(1024,39)))</f>
        <v>0</v>
      </c>
    </row>
    <row r="1026" spans="1:41">
      <c r="H1026" t="s">
        <v>179</v>
      </c>
      <c r="J1026">
        <f>INDIRECT(ADDRESS(1026,9))+INDIRECT(ADDRESS(1024,10))-INDIRECT(ADDRESS(1025,10))</f>
        <v>0</v>
      </c>
      <c r="K1026">
        <f>INDIRECT(ADDRESS(1026,10))+INDIRECT(ADDRESS(1024,11))-INDIRECT(ADDRESS(1025,11))</f>
        <v>0</v>
      </c>
      <c r="L1026">
        <f>INDIRECT(ADDRESS(1026,11))+INDIRECT(ADDRESS(1024,12))-INDIRECT(ADDRESS(1025,12))</f>
        <v>0</v>
      </c>
      <c r="M1026">
        <f>INDIRECT(ADDRESS(1026,12))+INDIRECT(ADDRESS(1024,13))-INDIRECT(ADDRESS(1025,13))</f>
        <v>0</v>
      </c>
      <c r="N1026">
        <f>INDIRECT(ADDRESS(1026,13))+INDIRECT(ADDRESS(1024,14))-INDIRECT(ADDRESS(1025,14))</f>
        <v>0</v>
      </c>
      <c r="O1026">
        <f>INDIRECT(ADDRESS(1026,14))+INDIRECT(ADDRESS(1024,15))-INDIRECT(ADDRESS(1025,15))</f>
        <v>0</v>
      </c>
      <c r="P1026">
        <f>INDIRECT(ADDRESS(1026,15))+INDIRECT(ADDRESS(1024,16))-INDIRECT(ADDRESS(1025,16))</f>
        <v>0</v>
      </c>
      <c r="Q1026">
        <f>INDIRECT(ADDRESS(1026,16))+INDIRECT(ADDRESS(1024,17))-INDIRECT(ADDRESS(1025,17))</f>
        <v>0</v>
      </c>
      <c r="R1026">
        <f>INDIRECT(ADDRESS(1026,17))+INDIRECT(ADDRESS(1024,18))-INDIRECT(ADDRESS(1025,18))</f>
        <v>0</v>
      </c>
      <c r="S1026">
        <f>INDIRECT(ADDRESS(1026,18))+INDIRECT(ADDRESS(1024,19))-INDIRECT(ADDRESS(1025,19))</f>
        <v>0</v>
      </c>
      <c r="T1026">
        <f>INDIRECT(ADDRESS(1026,19))+INDIRECT(ADDRESS(1024,20))-INDIRECT(ADDRESS(1025,20))</f>
        <v>0</v>
      </c>
      <c r="U1026">
        <f>INDIRECT(ADDRESS(1026,20))+INDIRECT(ADDRESS(1024,21))-INDIRECT(ADDRESS(1025,21))</f>
        <v>0</v>
      </c>
      <c r="V1026">
        <f>INDIRECT(ADDRESS(1026,21))+INDIRECT(ADDRESS(1024,22))-INDIRECT(ADDRESS(1025,22))</f>
        <v>0</v>
      </c>
      <c r="W1026">
        <f>INDIRECT(ADDRESS(1026,22))+INDIRECT(ADDRESS(1024,23))-INDIRECT(ADDRESS(1025,23))</f>
        <v>0</v>
      </c>
      <c r="X1026">
        <f>INDIRECT(ADDRESS(1026,23))+INDIRECT(ADDRESS(1024,24))-INDIRECT(ADDRESS(1025,24))</f>
        <v>0</v>
      </c>
      <c r="Y1026">
        <f>INDIRECT(ADDRESS(1026,24))+INDIRECT(ADDRESS(1024,25))-INDIRECT(ADDRESS(1025,25))</f>
        <v>0</v>
      </c>
      <c r="Z1026">
        <f>INDIRECT(ADDRESS(1026,25))+INDIRECT(ADDRESS(1024,26))-INDIRECT(ADDRESS(1025,26))</f>
        <v>0</v>
      </c>
      <c r="AA1026">
        <f>INDIRECT(ADDRESS(1026,26))+INDIRECT(ADDRESS(1024,27))-INDIRECT(ADDRESS(1025,27))</f>
        <v>0</v>
      </c>
      <c r="AB1026">
        <f>INDIRECT(ADDRESS(1026,27))+INDIRECT(ADDRESS(1024,28))-INDIRECT(ADDRESS(1025,28))</f>
        <v>0</v>
      </c>
      <c r="AC1026">
        <f>INDIRECT(ADDRESS(1026,28))+INDIRECT(ADDRESS(1024,29))-INDIRECT(ADDRESS(1025,29))</f>
        <v>0</v>
      </c>
      <c r="AD1026">
        <f>INDIRECT(ADDRESS(1026,29))+INDIRECT(ADDRESS(1024,30))-INDIRECT(ADDRESS(1025,30))</f>
        <v>0</v>
      </c>
      <c r="AE1026">
        <f>INDIRECT(ADDRESS(1026,30))+INDIRECT(ADDRESS(1024,31))-INDIRECT(ADDRESS(1025,31))</f>
        <v>0</v>
      </c>
      <c r="AF1026">
        <f>INDIRECT(ADDRESS(1026,31))+INDIRECT(ADDRESS(1024,32))-INDIRECT(ADDRESS(1025,32))</f>
        <v>0</v>
      </c>
      <c r="AG1026">
        <f>INDIRECT(ADDRESS(1026,32))+INDIRECT(ADDRESS(1024,33))-INDIRECT(ADDRESS(1025,33))</f>
        <v>0</v>
      </c>
      <c r="AH1026">
        <f>INDIRECT(ADDRESS(1026,33))+INDIRECT(ADDRESS(1024,34))-INDIRECT(ADDRESS(1025,34))</f>
        <v>0</v>
      </c>
      <c r="AI1026">
        <f>INDIRECT(ADDRESS(1026,34))+INDIRECT(ADDRESS(1024,35))-INDIRECT(ADDRESS(1025,35))</f>
        <v>0</v>
      </c>
      <c r="AJ1026">
        <f>INDIRECT(ADDRESS(1026,35))+INDIRECT(ADDRESS(1024,36))-INDIRECT(ADDRESS(1025,36))</f>
        <v>0</v>
      </c>
      <c r="AK1026">
        <f>INDIRECT(ADDRESS(1026,36))+INDIRECT(ADDRESS(1024,37))-INDIRECT(ADDRESS(1025,37))</f>
        <v>0</v>
      </c>
      <c r="AL1026">
        <f>INDIRECT(ADDRESS(1026,37))+INDIRECT(ADDRESS(1024,38))-INDIRECT(ADDRESS(1025,38))</f>
        <v>0</v>
      </c>
      <c r="AM1026">
        <f>INDIRECT(ADDRESS(1026,38))+INDIRECT(ADDRESS(1024,39))-INDIRECT(ADDRESS(1025,39))</f>
        <v>0</v>
      </c>
      <c r="AN1026">
        <f>INDIRECT(ADDRESS(1026,39))+INDIRECT(ADDRESS(1024,40))-INDIRECT(ADDRESS(1025,40))</f>
        <v>0</v>
      </c>
      <c r="AO1026">
        <f>SUM(INDIRECT(ADDRESS(1025,8)):INDIRECT(ADDRESS(1025,39)))</f>
        <v>0</v>
      </c>
    </row>
    <row r="1027" spans="1:41">
      <c r="A1027" t="s">
        <v>185</v>
      </c>
      <c r="B1027" t="s">
        <v>530</v>
      </c>
      <c r="C1027" t="s">
        <v>531</v>
      </c>
      <c r="E1027">
        <v>1</v>
      </c>
      <c r="I1027" t="s">
        <v>177</v>
      </c>
    </row>
    <row r="1028" spans="1:41">
      <c r="I1028" t="s">
        <v>178</v>
      </c>
      <c r="J1028">
        <f>IFERROR(VLOOKUP("922-096465-400",B:AB,1+8,0),0)</f>
        <v>0</v>
      </c>
      <c r="K1028">
        <f>IFERROR(VLOOKUP("922-096465-400",B:AB,2+8,0),0)</f>
        <v>0</v>
      </c>
      <c r="L1028">
        <f>IFERROR(VLOOKUP("922-096465-400",B:AB,3+8,0),0)</f>
        <v>0</v>
      </c>
      <c r="M1028">
        <f>IFERROR(VLOOKUP("922-096465-400",B:AB,4+8,0),0)</f>
        <v>0</v>
      </c>
      <c r="N1028">
        <f>IFERROR(VLOOKUP("922-096465-400",B:AB,5+8,0),0)</f>
        <v>0</v>
      </c>
      <c r="O1028">
        <f>IFERROR(VLOOKUP("922-096465-400",B:AB,6+8,0),0)</f>
        <v>0</v>
      </c>
      <c r="P1028">
        <f>IFERROR(VLOOKUP("922-096465-400",B:AB,7+8,0),0)</f>
        <v>0</v>
      </c>
      <c r="Q1028">
        <f>IFERROR(VLOOKUP("922-096465-400",B:AB,8+8,0),0)</f>
        <v>0</v>
      </c>
      <c r="R1028">
        <f>IFERROR(VLOOKUP("922-096465-400",B:AB,9+8,0),0)</f>
        <v>0</v>
      </c>
      <c r="S1028">
        <f>IFERROR(VLOOKUP("922-096465-400",B:AB,10+8,0),0)</f>
        <v>0</v>
      </c>
      <c r="T1028">
        <f>IFERROR(VLOOKUP("922-096465-400",B:AB,11+8,0),0)</f>
        <v>0</v>
      </c>
      <c r="U1028">
        <f>IFERROR(VLOOKUP("922-096465-400",B:AB,12+8,0),0)</f>
        <v>0</v>
      </c>
      <c r="V1028">
        <f>IFERROR(VLOOKUP("922-096465-400",B:AB,13+8,0),0)</f>
        <v>0</v>
      </c>
      <c r="W1028">
        <f>IFERROR(VLOOKUP("922-096465-400",B:AB,14+8,0),0)</f>
        <v>0</v>
      </c>
      <c r="X1028">
        <f>IFERROR(VLOOKUP("922-096465-400",B:AB,15+8,0),0)</f>
        <v>0</v>
      </c>
      <c r="Y1028">
        <f>IFERROR(VLOOKUP("922-096465-400",B:AB,16+8,0),0)</f>
        <v>0</v>
      </c>
      <c r="Z1028">
        <f>IFERROR(VLOOKUP("922-096465-400",B:AB,17+8,0),0)</f>
        <v>0</v>
      </c>
      <c r="AA1028">
        <f>IFERROR(VLOOKUP("922-096465-400",B:AB,18+8,0),0)</f>
        <v>0</v>
      </c>
      <c r="AB1028">
        <f>IFERROR(VLOOKUP("922-096465-400",B:AB,19+8,0),0)</f>
        <v>0</v>
      </c>
      <c r="AC1028">
        <f>IFERROR(VLOOKUP("922-096465-400",B:AB,20+8,0),0)</f>
        <v>0</v>
      </c>
      <c r="AD1028">
        <f>IFERROR(VLOOKUP("922-096465-400",B:AB,21+8,0),0)</f>
        <v>0</v>
      </c>
      <c r="AE1028">
        <f>IFERROR(VLOOKUP("922-096465-400",B:AB,22+8,0),0)</f>
        <v>0</v>
      </c>
      <c r="AF1028">
        <f>IFERROR(VLOOKUP("922-096465-400",B:AB,23+8,0),0)</f>
        <v>0</v>
      </c>
      <c r="AG1028">
        <f>IFERROR(VLOOKUP("922-096465-400",B:AB,24+8,0),0)</f>
        <v>0</v>
      </c>
      <c r="AH1028">
        <f>IFERROR(VLOOKUP("922-096465-400",B:AB,25+8,0),0)</f>
        <v>0</v>
      </c>
      <c r="AI1028">
        <f>IFERROR(VLOOKUP("922-096465-400",B:AB,26+8,0),0)</f>
        <v>0</v>
      </c>
      <c r="AJ1028">
        <f>IFERROR(VLOOKUP("922-096465-400",B:AB,27+8,0),0)</f>
        <v>0</v>
      </c>
      <c r="AK1028">
        <f>IFERROR(VLOOKUP("922-096465-400",B:AB,28+8,0),0)</f>
        <v>0</v>
      </c>
      <c r="AL1028">
        <f>IFERROR(VLOOKUP("922-096465-400",B:AB,29+8,0),0)</f>
        <v>0</v>
      </c>
      <c r="AM1028">
        <f>IFERROR(VLOOKUP("922-096465-400",B:AB,30+8,0),0)</f>
        <v>0</v>
      </c>
      <c r="AN1028">
        <f>IFERROR(VLOOKUP("922-096465-400",B:AB,31+8,0),0)</f>
        <v>0</v>
      </c>
      <c r="AO1028">
        <f>SUN(INDIRECT(ADDRESS(1027,8)):INDIRECT(ADDRESS(1027,39)))</f>
        <v>0</v>
      </c>
    </row>
    <row r="1029" spans="1:41">
      <c r="H1029" t="s">
        <v>179</v>
      </c>
      <c r="J1029">
        <f>INDIRECT(ADDRESS(1029,9))+INDIRECT(ADDRESS(1027,10))-INDIRECT(ADDRESS(1028,10))</f>
        <v>0</v>
      </c>
      <c r="K1029">
        <f>INDIRECT(ADDRESS(1029,10))+INDIRECT(ADDRESS(1027,11))-INDIRECT(ADDRESS(1028,11))</f>
        <v>0</v>
      </c>
      <c r="L1029">
        <f>INDIRECT(ADDRESS(1029,11))+INDIRECT(ADDRESS(1027,12))-INDIRECT(ADDRESS(1028,12))</f>
        <v>0</v>
      </c>
      <c r="M1029">
        <f>INDIRECT(ADDRESS(1029,12))+INDIRECT(ADDRESS(1027,13))-INDIRECT(ADDRESS(1028,13))</f>
        <v>0</v>
      </c>
      <c r="N1029">
        <f>INDIRECT(ADDRESS(1029,13))+INDIRECT(ADDRESS(1027,14))-INDIRECT(ADDRESS(1028,14))</f>
        <v>0</v>
      </c>
      <c r="O1029">
        <f>INDIRECT(ADDRESS(1029,14))+INDIRECT(ADDRESS(1027,15))-INDIRECT(ADDRESS(1028,15))</f>
        <v>0</v>
      </c>
      <c r="P1029">
        <f>INDIRECT(ADDRESS(1029,15))+INDIRECT(ADDRESS(1027,16))-INDIRECT(ADDRESS(1028,16))</f>
        <v>0</v>
      </c>
      <c r="Q1029">
        <f>INDIRECT(ADDRESS(1029,16))+INDIRECT(ADDRESS(1027,17))-INDIRECT(ADDRESS(1028,17))</f>
        <v>0</v>
      </c>
      <c r="R1029">
        <f>INDIRECT(ADDRESS(1029,17))+INDIRECT(ADDRESS(1027,18))-INDIRECT(ADDRESS(1028,18))</f>
        <v>0</v>
      </c>
      <c r="S1029">
        <f>INDIRECT(ADDRESS(1029,18))+INDIRECT(ADDRESS(1027,19))-INDIRECT(ADDRESS(1028,19))</f>
        <v>0</v>
      </c>
      <c r="T1029">
        <f>INDIRECT(ADDRESS(1029,19))+INDIRECT(ADDRESS(1027,20))-INDIRECT(ADDRESS(1028,20))</f>
        <v>0</v>
      </c>
      <c r="U1029">
        <f>INDIRECT(ADDRESS(1029,20))+INDIRECT(ADDRESS(1027,21))-INDIRECT(ADDRESS(1028,21))</f>
        <v>0</v>
      </c>
      <c r="V1029">
        <f>INDIRECT(ADDRESS(1029,21))+INDIRECT(ADDRESS(1027,22))-INDIRECT(ADDRESS(1028,22))</f>
        <v>0</v>
      </c>
      <c r="W1029">
        <f>INDIRECT(ADDRESS(1029,22))+INDIRECT(ADDRESS(1027,23))-INDIRECT(ADDRESS(1028,23))</f>
        <v>0</v>
      </c>
      <c r="X1029">
        <f>INDIRECT(ADDRESS(1029,23))+INDIRECT(ADDRESS(1027,24))-INDIRECT(ADDRESS(1028,24))</f>
        <v>0</v>
      </c>
      <c r="Y1029">
        <f>INDIRECT(ADDRESS(1029,24))+INDIRECT(ADDRESS(1027,25))-INDIRECT(ADDRESS(1028,25))</f>
        <v>0</v>
      </c>
      <c r="Z1029">
        <f>INDIRECT(ADDRESS(1029,25))+INDIRECT(ADDRESS(1027,26))-INDIRECT(ADDRESS(1028,26))</f>
        <v>0</v>
      </c>
      <c r="AA1029">
        <f>INDIRECT(ADDRESS(1029,26))+INDIRECT(ADDRESS(1027,27))-INDIRECT(ADDRESS(1028,27))</f>
        <v>0</v>
      </c>
      <c r="AB1029">
        <f>INDIRECT(ADDRESS(1029,27))+INDIRECT(ADDRESS(1027,28))-INDIRECT(ADDRESS(1028,28))</f>
        <v>0</v>
      </c>
      <c r="AC1029">
        <f>INDIRECT(ADDRESS(1029,28))+INDIRECT(ADDRESS(1027,29))-INDIRECT(ADDRESS(1028,29))</f>
        <v>0</v>
      </c>
      <c r="AD1029">
        <f>INDIRECT(ADDRESS(1029,29))+INDIRECT(ADDRESS(1027,30))-INDIRECT(ADDRESS(1028,30))</f>
        <v>0</v>
      </c>
      <c r="AE1029">
        <f>INDIRECT(ADDRESS(1029,30))+INDIRECT(ADDRESS(1027,31))-INDIRECT(ADDRESS(1028,31))</f>
        <v>0</v>
      </c>
      <c r="AF1029">
        <f>INDIRECT(ADDRESS(1029,31))+INDIRECT(ADDRESS(1027,32))-INDIRECT(ADDRESS(1028,32))</f>
        <v>0</v>
      </c>
      <c r="AG1029">
        <f>INDIRECT(ADDRESS(1029,32))+INDIRECT(ADDRESS(1027,33))-INDIRECT(ADDRESS(1028,33))</f>
        <v>0</v>
      </c>
      <c r="AH1029">
        <f>INDIRECT(ADDRESS(1029,33))+INDIRECT(ADDRESS(1027,34))-INDIRECT(ADDRESS(1028,34))</f>
        <v>0</v>
      </c>
      <c r="AI1029">
        <f>INDIRECT(ADDRESS(1029,34))+INDIRECT(ADDRESS(1027,35))-INDIRECT(ADDRESS(1028,35))</f>
        <v>0</v>
      </c>
      <c r="AJ1029">
        <f>INDIRECT(ADDRESS(1029,35))+INDIRECT(ADDRESS(1027,36))-INDIRECT(ADDRESS(1028,36))</f>
        <v>0</v>
      </c>
      <c r="AK1029">
        <f>INDIRECT(ADDRESS(1029,36))+INDIRECT(ADDRESS(1027,37))-INDIRECT(ADDRESS(1028,37))</f>
        <v>0</v>
      </c>
      <c r="AL1029">
        <f>INDIRECT(ADDRESS(1029,37))+INDIRECT(ADDRESS(1027,38))-INDIRECT(ADDRESS(1028,38))</f>
        <v>0</v>
      </c>
      <c r="AM1029">
        <f>INDIRECT(ADDRESS(1029,38))+INDIRECT(ADDRESS(1027,39))-INDIRECT(ADDRESS(1028,39))</f>
        <v>0</v>
      </c>
      <c r="AN1029">
        <f>INDIRECT(ADDRESS(1029,39))+INDIRECT(ADDRESS(1027,40))-INDIRECT(ADDRESS(1028,40))</f>
        <v>0</v>
      </c>
      <c r="AO1029">
        <f>SUM(INDIRECT(ADDRESS(1028,8)):INDIRECT(ADDRESS(1028,39)))</f>
        <v>0</v>
      </c>
    </row>
    <row r="1030" spans="1:41">
      <c r="A1030" t="s">
        <v>206</v>
      </c>
      <c r="B1030" t="s">
        <v>532</v>
      </c>
      <c r="C1030" t="s">
        <v>533</v>
      </c>
      <c r="E1030">
        <v>0.05</v>
      </c>
      <c r="I1030" t="s">
        <v>177</v>
      </c>
    </row>
    <row r="1031" spans="1:41">
      <c r="I1031" t="s">
        <v>178</v>
      </c>
      <c r="J1031">
        <f>IFERROR(VLOOKUP("922-096465-400",B:AB,1+8,0),0)</f>
        <v>0</v>
      </c>
      <c r="K1031">
        <f>IFERROR(VLOOKUP("922-096465-400",B:AB,2+8,0),0)</f>
        <v>0</v>
      </c>
      <c r="L1031">
        <f>IFERROR(VLOOKUP("922-096465-400",B:AB,3+8,0),0)</f>
        <v>0</v>
      </c>
      <c r="M1031">
        <f>IFERROR(VLOOKUP("922-096465-400",B:AB,4+8,0),0)</f>
        <v>0</v>
      </c>
      <c r="N1031">
        <f>IFERROR(VLOOKUP("922-096465-400",B:AB,5+8,0),0)</f>
        <v>0</v>
      </c>
      <c r="O1031">
        <f>IFERROR(VLOOKUP("922-096465-400",B:AB,6+8,0),0)</f>
        <v>0</v>
      </c>
      <c r="P1031">
        <f>IFERROR(VLOOKUP("922-096465-400",B:AB,7+8,0),0)</f>
        <v>0</v>
      </c>
      <c r="Q1031">
        <f>IFERROR(VLOOKUP("922-096465-400",B:AB,8+8,0),0)</f>
        <v>0</v>
      </c>
      <c r="R1031">
        <f>IFERROR(VLOOKUP("922-096465-400",B:AB,9+8,0),0)</f>
        <v>0</v>
      </c>
      <c r="S1031">
        <f>IFERROR(VLOOKUP("922-096465-400",B:AB,10+8,0),0)</f>
        <v>0</v>
      </c>
      <c r="T1031">
        <f>IFERROR(VLOOKUP("922-096465-400",B:AB,11+8,0),0)</f>
        <v>0</v>
      </c>
      <c r="U1031">
        <f>IFERROR(VLOOKUP("922-096465-400",B:AB,12+8,0),0)</f>
        <v>0</v>
      </c>
      <c r="V1031">
        <f>IFERROR(VLOOKUP("922-096465-400",B:AB,13+8,0),0)</f>
        <v>0</v>
      </c>
      <c r="W1031">
        <f>IFERROR(VLOOKUP("922-096465-400",B:AB,14+8,0),0)</f>
        <v>0</v>
      </c>
      <c r="X1031">
        <f>IFERROR(VLOOKUP("922-096465-400",B:AB,15+8,0),0)</f>
        <v>0</v>
      </c>
      <c r="Y1031">
        <f>IFERROR(VLOOKUP("922-096465-400",B:AB,16+8,0),0)</f>
        <v>0</v>
      </c>
      <c r="Z1031">
        <f>IFERROR(VLOOKUP("922-096465-400",B:AB,17+8,0),0)</f>
        <v>0</v>
      </c>
      <c r="AA1031">
        <f>IFERROR(VLOOKUP("922-096465-400",B:AB,18+8,0),0)</f>
        <v>0</v>
      </c>
      <c r="AB1031">
        <f>IFERROR(VLOOKUP("922-096465-400",B:AB,19+8,0),0)</f>
        <v>0</v>
      </c>
      <c r="AC1031">
        <f>IFERROR(VLOOKUP("922-096465-400",B:AB,20+8,0),0)</f>
        <v>0</v>
      </c>
      <c r="AD1031">
        <f>IFERROR(VLOOKUP("922-096465-400",B:AB,21+8,0),0)</f>
        <v>0</v>
      </c>
      <c r="AE1031">
        <f>IFERROR(VLOOKUP("922-096465-400",B:AB,22+8,0),0)</f>
        <v>0</v>
      </c>
      <c r="AF1031">
        <f>IFERROR(VLOOKUP("922-096465-400",B:AB,23+8,0),0)</f>
        <v>0</v>
      </c>
      <c r="AG1031">
        <f>IFERROR(VLOOKUP("922-096465-400",B:AB,24+8,0),0)</f>
        <v>0</v>
      </c>
      <c r="AH1031">
        <f>IFERROR(VLOOKUP("922-096465-400",B:AB,25+8,0),0)</f>
        <v>0</v>
      </c>
      <c r="AI1031">
        <f>IFERROR(VLOOKUP("922-096465-400",B:AB,26+8,0),0)</f>
        <v>0</v>
      </c>
      <c r="AJ1031">
        <f>IFERROR(VLOOKUP("922-096465-400",B:AB,27+8,0),0)</f>
        <v>0</v>
      </c>
      <c r="AK1031">
        <f>IFERROR(VLOOKUP("922-096465-400",B:AB,28+8,0),0)</f>
        <v>0</v>
      </c>
      <c r="AL1031">
        <f>IFERROR(VLOOKUP("922-096465-400",B:AB,29+8,0),0)</f>
        <v>0</v>
      </c>
      <c r="AM1031">
        <f>IFERROR(VLOOKUP("922-096465-400",B:AB,30+8,0),0)</f>
        <v>0</v>
      </c>
      <c r="AN1031">
        <f>IFERROR(VLOOKUP("922-096465-400",B:AB,31+8,0),0)</f>
        <v>0</v>
      </c>
      <c r="AO1031">
        <f>SUN(INDIRECT(ADDRESS(1030,8)):INDIRECT(ADDRESS(1030,39)))</f>
        <v>0</v>
      </c>
    </row>
    <row r="1032" spans="1:41">
      <c r="H1032" t="s">
        <v>179</v>
      </c>
      <c r="J1032">
        <f>INDIRECT(ADDRESS(1032,9))+INDIRECT(ADDRESS(1030,10))-INDIRECT(ADDRESS(1031,10))</f>
        <v>0</v>
      </c>
      <c r="K1032">
        <f>INDIRECT(ADDRESS(1032,10))+INDIRECT(ADDRESS(1030,11))-INDIRECT(ADDRESS(1031,11))</f>
        <v>0</v>
      </c>
      <c r="L1032">
        <f>INDIRECT(ADDRESS(1032,11))+INDIRECT(ADDRESS(1030,12))-INDIRECT(ADDRESS(1031,12))</f>
        <v>0</v>
      </c>
      <c r="M1032">
        <f>INDIRECT(ADDRESS(1032,12))+INDIRECT(ADDRESS(1030,13))-INDIRECT(ADDRESS(1031,13))</f>
        <v>0</v>
      </c>
      <c r="N1032">
        <f>INDIRECT(ADDRESS(1032,13))+INDIRECT(ADDRESS(1030,14))-INDIRECT(ADDRESS(1031,14))</f>
        <v>0</v>
      </c>
      <c r="O1032">
        <f>INDIRECT(ADDRESS(1032,14))+INDIRECT(ADDRESS(1030,15))-INDIRECT(ADDRESS(1031,15))</f>
        <v>0</v>
      </c>
      <c r="P1032">
        <f>INDIRECT(ADDRESS(1032,15))+INDIRECT(ADDRESS(1030,16))-INDIRECT(ADDRESS(1031,16))</f>
        <v>0</v>
      </c>
      <c r="Q1032">
        <f>INDIRECT(ADDRESS(1032,16))+INDIRECT(ADDRESS(1030,17))-INDIRECT(ADDRESS(1031,17))</f>
        <v>0</v>
      </c>
      <c r="R1032">
        <f>INDIRECT(ADDRESS(1032,17))+INDIRECT(ADDRESS(1030,18))-INDIRECT(ADDRESS(1031,18))</f>
        <v>0</v>
      </c>
      <c r="S1032">
        <f>INDIRECT(ADDRESS(1032,18))+INDIRECT(ADDRESS(1030,19))-INDIRECT(ADDRESS(1031,19))</f>
        <v>0</v>
      </c>
      <c r="T1032">
        <f>INDIRECT(ADDRESS(1032,19))+INDIRECT(ADDRESS(1030,20))-INDIRECT(ADDRESS(1031,20))</f>
        <v>0</v>
      </c>
      <c r="U1032">
        <f>INDIRECT(ADDRESS(1032,20))+INDIRECT(ADDRESS(1030,21))-INDIRECT(ADDRESS(1031,21))</f>
        <v>0</v>
      </c>
      <c r="V1032">
        <f>INDIRECT(ADDRESS(1032,21))+INDIRECT(ADDRESS(1030,22))-INDIRECT(ADDRESS(1031,22))</f>
        <v>0</v>
      </c>
      <c r="W1032">
        <f>INDIRECT(ADDRESS(1032,22))+INDIRECT(ADDRESS(1030,23))-INDIRECT(ADDRESS(1031,23))</f>
        <v>0</v>
      </c>
      <c r="X1032">
        <f>INDIRECT(ADDRESS(1032,23))+INDIRECT(ADDRESS(1030,24))-INDIRECT(ADDRESS(1031,24))</f>
        <v>0</v>
      </c>
      <c r="Y1032">
        <f>INDIRECT(ADDRESS(1032,24))+INDIRECT(ADDRESS(1030,25))-INDIRECT(ADDRESS(1031,25))</f>
        <v>0</v>
      </c>
      <c r="Z1032">
        <f>INDIRECT(ADDRESS(1032,25))+INDIRECT(ADDRESS(1030,26))-INDIRECT(ADDRESS(1031,26))</f>
        <v>0</v>
      </c>
      <c r="AA1032">
        <f>INDIRECT(ADDRESS(1032,26))+INDIRECT(ADDRESS(1030,27))-INDIRECT(ADDRESS(1031,27))</f>
        <v>0</v>
      </c>
      <c r="AB1032">
        <f>INDIRECT(ADDRESS(1032,27))+INDIRECT(ADDRESS(1030,28))-INDIRECT(ADDRESS(1031,28))</f>
        <v>0</v>
      </c>
      <c r="AC1032">
        <f>INDIRECT(ADDRESS(1032,28))+INDIRECT(ADDRESS(1030,29))-INDIRECT(ADDRESS(1031,29))</f>
        <v>0</v>
      </c>
      <c r="AD1032">
        <f>INDIRECT(ADDRESS(1032,29))+INDIRECT(ADDRESS(1030,30))-INDIRECT(ADDRESS(1031,30))</f>
        <v>0</v>
      </c>
      <c r="AE1032">
        <f>INDIRECT(ADDRESS(1032,30))+INDIRECT(ADDRESS(1030,31))-INDIRECT(ADDRESS(1031,31))</f>
        <v>0</v>
      </c>
      <c r="AF1032">
        <f>INDIRECT(ADDRESS(1032,31))+INDIRECT(ADDRESS(1030,32))-INDIRECT(ADDRESS(1031,32))</f>
        <v>0</v>
      </c>
      <c r="AG1032">
        <f>INDIRECT(ADDRESS(1032,32))+INDIRECT(ADDRESS(1030,33))-INDIRECT(ADDRESS(1031,33))</f>
        <v>0</v>
      </c>
      <c r="AH1032">
        <f>INDIRECT(ADDRESS(1032,33))+INDIRECT(ADDRESS(1030,34))-INDIRECT(ADDRESS(1031,34))</f>
        <v>0</v>
      </c>
      <c r="AI1032">
        <f>INDIRECT(ADDRESS(1032,34))+INDIRECT(ADDRESS(1030,35))-INDIRECT(ADDRESS(1031,35))</f>
        <v>0</v>
      </c>
      <c r="AJ1032">
        <f>INDIRECT(ADDRESS(1032,35))+INDIRECT(ADDRESS(1030,36))-INDIRECT(ADDRESS(1031,36))</f>
        <v>0</v>
      </c>
      <c r="AK1032">
        <f>INDIRECT(ADDRESS(1032,36))+INDIRECT(ADDRESS(1030,37))-INDIRECT(ADDRESS(1031,37))</f>
        <v>0</v>
      </c>
      <c r="AL1032">
        <f>INDIRECT(ADDRESS(1032,37))+INDIRECT(ADDRESS(1030,38))-INDIRECT(ADDRESS(1031,38))</f>
        <v>0</v>
      </c>
      <c r="AM1032">
        <f>INDIRECT(ADDRESS(1032,38))+INDIRECT(ADDRESS(1030,39))-INDIRECT(ADDRESS(1031,39))</f>
        <v>0</v>
      </c>
      <c r="AN1032">
        <f>INDIRECT(ADDRESS(1032,39))+INDIRECT(ADDRESS(1030,40))-INDIRECT(ADDRESS(1031,40))</f>
        <v>0</v>
      </c>
      <c r="AO1032">
        <f>SUM(INDIRECT(ADDRESS(1031,8)):INDIRECT(ADDRESS(1031,39)))</f>
        <v>0</v>
      </c>
    </row>
    <row r="1033" spans="1:41">
      <c r="A1033" t="s">
        <v>8</v>
      </c>
      <c r="B1033" t="s">
        <v>83</v>
      </c>
      <c r="C1033" t="s">
        <v>84</v>
      </c>
      <c r="E1033">
        <v>1</v>
      </c>
      <c r="I1033" t="s">
        <v>177</v>
      </c>
    </row>
    <row r="1034" spans="1:41">
      <c r="I1034" t="s">
        <v>178</v>
      </c>
      <c r="J1034">
        <f>IFERROR(VLOOKUP("922-096465-500",Out!B:AB,1+8,0),0)</f>
        <v>0</v>
      </c>
      <c r="K1034">
        <f>IFERROR(VLOOKUP("922-096465-500",Out!B:AB,2+8,0),0)</f>
        <v>0</v>
      </c>
      <c r="L1034">
        <f>IFERROR(VLOOKUP("922-096465-500",Out!B:AB,3+8,0),0)</f>
        <v>0</v>
      </c>
      <c r="M1034">
        <f>IFERROR(VLOOKUP("922-096465-500",Out!B:AB,4+8,0),0)</f>
        <v>0</v>
      </c>
      <c r="N1034">
        <f>IFERROR(VLOOKUP("922-096465-500",Out!B:AB,5+8,0),0)</f>
        <v>0</v>
      </c>
      <c r="O1034">
        <f>IFERROR(VLOOKUP("922-096465-500",Out!B:AB,6+8,0),0)</f>
        <v>0</v>
      </c>
      <c r="P1034">
        <f>IFERROR(VLOOKUP("922-096465-500",Out!B:AB,7+8,0),0)</f>
        <v>0</v>
      </c>
      <c r="Q1034">
        <f>IFERROR(VLOOKUP("922-096465-500",Out!B:AB,8+8,0),0)</f>
        <v>0</v>
      </c>
      <c r="R1034">
        <f>IFERROR(VLOOKUP("922-096465-500",Out!B:AB,9+8,0),0)</f>
        <v>0</v>
      </c>
      <c r="S1034">
        <f>IFERROR(VLOOKUP("922-096465-500",Out!B:AB,10+8,0),0)</f>
        <v>0</v>
      </c>
      <c r="T1034">
        <f>IFERROR(VLOOKUP("922-096465-500",Out!B:AB,11+8,0),0)</f>
        <v>0</v>
      </c>
      <c r="U1034">
        <f>IFERROR(VLOOKUP("922-096465-500",Out!B:AB,12+8,0),0)</f>
        <v>0</v>
      </c>
      <c r="V1034">
        <f>IFERROR(VLOOKUP("922-096465-500",Out!B:AB,13+8,0),0)</f>
        <v>0</v>
      </c>
      <c r="W1034">
        <f>IFERROR(VLOOKUP("922-096465-500",Out!B:AB,14+8,0),0)</f>
        <v>0</v>
      </c>
      <c r="X1034">
        <f>IFERROR(VLOOKUP("922-096465-500",Out!B:AB,15+8,0),0)</f>
        <v>0</v>
      </c>
      <c r="Y1034">
        <f>IFERROR(VLOOKUP("922-096465-500",Out!B:AB,16+8,0),0)</f>
        <v>0</v>
      </c>
      <c r="Z1034">
        <f>IFERROR(VLOOKUP("922-096465-500",Out!B:AB,17+8,0),0)</f>
        <v>0</v>
      </c>
      <c r="AA1034">
        <f>IFERROR(VLOOKUP("922-096465-500",Out!B:AB,18+8,0),0)</f>
        <v>0</v>
      </c>
      <c r="AB1034">
        <f>IFERROR(VLOOKUP("922-096465-500",Out!B:AB,19+8,0),0)</f>
        <v>0</v>
      </c>
      <c r="AC1034">
        <f>IFERROR(VLOOKUP("922-096465-500",Out!B:AB,20+8,0),0)</f>
        <v>0</v>
      </c>
      <c r="AD1034">
        <f>IFERROR(VLOOKUP("922-096465-500",Out!B:AB,21+8,0),0)</f>
        <v>0</v>
      </c>
      <c r="AE1034">
        <f>IFERROR(VLOOKUP("922-096465-500",Out!B:AB,22+8,0),0)</f>
        <v>0</v>
      </c>
      <c r="AF1034">
        <f>IFERROR(VLOOKUP("922-096465-500",Out!B:AB,23+8,0),0)</f>
        <v>0</v>
      </c>
      <c r="AG1034">
        <f>IFERROR(VLOOKUP("922-096465-500",Out!B:AB,24+8,0),0)</f>
        <v>0</v>
      </c>
      <c r="AH1034">
        <f>IFERROR(VLOOKUP("922-096465-500",Out!B:AB,25+8,0),0)</f>
        <v>0</v>
      </c>
      <c r="AI1034">
        <f>IFERROR(VLOOKUP("922-096465-500",Out!B:AB,26+8,0),0)</f>
        <v>0</v>
      </c>
      <c r="AJ1034">
        <f>IFERROR(VLOOKUP("922-096465-500",Out!B:AB,27+8,0),0)</f>
        <v>0</v>
      </c>
      <c r="AK1034">
        <f>IFERROR(VLOOKUP("922-096465-500",Out!B:AB,28+8,0),0)</f>
        <v>0</v>
      </c>
      <c r="AL1034">
        <f>IFERROR(VLOOKUP("922-096465-500",Out!B:AB,29+8,0),0)</f>
        <v>0</v>
      </c>
      <c r="AM1034">
        <f>IFERROR(VLOOKUP("922-096465-500",Out!B:AB,30+8,0),0)</f>
        <v>0</v>
      </c>
      <c r="AN1034">
        <f>IFERROR(VLOOKUP("922-096465-500",Out!B:AB,31+8,0),0)</f>
        <v>0</v>
      </c>
      <c r="AO1034">
        <f>SUN(INDIRECT(ADDRESS(1033,8)):INDIRECT(ADDRESS(1033,39)))</f>
        <v>0</v>
      </c>
    </row>
    <row r="1035" spans="1:41">
      <c r="H1035" t="s">
        <v>179</v>
      </c>
      <c r="J1035">
        <f>INDIRECT(ADDRESS(1035,9))+INDIRECT(ADDRESS(1033,10))-INDIRECT(ADDRESS(1034,10))</f>
        <v>0</v>
      </c>
      <c r="K1035">
        <f>INDIRECT(ADDRESS(1035,10))+INDIRECT(ADDRESS(1033,11))-INDIRECT(ADDRESS(1034,11))</f>
        <v>0</v>
      </c>
      <c r="L1035">
        <f>INDIRECT(ADDRESS(1035,11))+INDIRECT(ADDRESS(1033,12))-INDIRECT(ADDRESS(1034,12))</f>
        <v>0</v>
      </c>
      <c r="M1035">
        <f>INDIRECT(ADDRESS(1035,12))+INDIRECT(ADDRESS(1033,13))-INDIRECT(ADDRESS(1034,13))</f>
        <v>0</v>
      </c>
      <c r="N1035">
        <f>INDIRECT(ADDRESS(1035,13))+INDIRECT(ADDRESS(1033,14))-INDIRECT(ADDRESS(1034,14))</f>
        <v>0</v>
      </c>
      <c r="O1035">
        <f>INDIRECT(ADDRESS(1035,14))+INDIRECT(ADDRESS(1033,15))-INDIRECT(ADDRESS(1034,15))</f>
        <v>0</v>
      </c>
      <c r="P1035">
        <f>INDIRECT(ADDRESS(1035,15))+INDIRECT(ADDRESS(1033,16))-INDIRECT(ADDRESS(1034,16))</f>
        <v>0</v>
      </c>
      <c r="Q1035">
        <f>INDIRECT(ADDRESS(1035,16))+INDIRECT(ADDRESS(1033,17))-INDIRECT(ADDRESS(1034,17))</f>
        <v>0</v>
      </c>
      <c r="R1035">
        <f>INDIRECT(ADDRESS(1035,17))+INDIRECT(ADDRESS(1033,18))-INDIRECT(ADDRESS(1034,18))</f>
        <v>0</v>
      </c>
      <c r="S1035">
        <f>INDIRECT(ADDRESS(1035,18))+INDIRECT(ADDRESS(1033,19))-INDIRECT(ADDRESS(1034,19))</f>
        <v>0</v>
      </c>
      <c r="T1035">
        <f>INDIRECT(ADDRESS(1035,19))+INDIRECT(ADDRESS(1033,20))-INDIRECT(ADDRESS(1034,20))</f>
        <v>0</v>
      </c>
      <c r="U1035">
        <f>INDIRECT(ADDRESS(1035,20))+INDIRECT(ADDRESS(1033,21))-INDIRECT(ADDRESS(1034,21))</f>
        <v>0</v>
      </c>
      <c r="V1035">
        <f>INDIRECT(ADDRESS(1035,21))+INDIRECT(ADDRESS(1033,22))-INDIRECT(ADDRESS(1034,22))</f>
        <v>0</v>
      </c>
      <c r="W1035">
        <f>INDIRECT(ADDRESS(1035,22))+INDIRECT(ADDRESS(1033,23))-INDIRECT(ADDRESS(1034,23))</f>
        <v>0</v>
      </c>
      <c r="X1035">
        <f>INDIRECT(ADDRESS(1035,23))+INDIRECT(ADDRESS(1033,24))-INDIRECT(ADDRESS(1034,24))</f>
        <v>0</v>
      </c>
      <c r="Y1035">
        <f>INDIRECT(ADDRESS(1035,24))+INDIRECT(ADDRESS(1033,25))-INDIRECT(ADDRESS(1034,25))</f>
        <v>0</v>
      </c>
      <c r="Z1035">
        <f>INDIRECT(ADDRESS(1035,25))+INDIRECT(ADDRESS(1033,26))-INDIRECT(ADDRESS(1034,26))</f>
        <v>0</v>
      </c>
      <c r="AA1035">
        <f>INDIRECT(ADDRESS(1035,26))+INDIRECT(ADDRESS(1033,27))-INDIRECT(ADDRESS(1034,27))</f>
        <v>0</v>
      </c>
      <c r="AB1035">
        <f>INDIRECT(ADDRESS(1035,27))+INDIRECT(ADDRESS(1033,28))-INDIRECT(ADDRESS(1034,28))</f>
        <v>0</v>
      </c>
      <c r="AC1035">
        <f>INDIRECT(ADDRESS(1035,28))+INDIRECT(ADDRESS(1033,29))-INDIRECT(ADDRESS(1034,29))</f>
        <v>0</v>
      </c>
      <c r="AD1035">
        <f>INDIRECT(ADDRESS(1035,29))+INDIRECT(ADDRESS(1033,30))-INDIRECT(ADDRESS(1034,30))</f>
        <v>0</v>
      </c>
      <c r="AE1035">
        <f>INDIRECT(ADDRESS(1035,30))+INDIRECT(ADDRESS(1033,31))-INDIRECT(ADDRESS(1034,31))</f>
        <v>0</v>
      </c>
      <c r="AF1035">
        <f>INDIRECT(ADDRESS(1035,31))+INDIRECT(ADDRESS(1033,32))-INDIRECT(ADDRESS(1034,32))</f>
        <v>0</v>
      </c>
      <c r="AG1035">
        <f>INDIRECT(ADDRESS(1035,32))+INDIRECT(ADDRESS(1033,33))-INDIRECT(ADDRESS(1034,33))</f>
        <v>0</v>
      </c>
      <c r="AH1035">
        <f>INDIRECT(ADDRESS(1035,33))+INDIRECT(ADDRESS(1033,34))-INDIRECT(ADDRESS(1034,34))</f>
        <v>0</v>
      </c>
      <c r="AI1035">
        <f>INDIRECT(ADDRESS(1035,34))+INDIRECT(ADDRESS(1033,35))-INDIRECT(ADDRESS(1034,35))</f>
        <v>0</v>
      </c>
      <c r="AJ1035">
        <f>INDIRECT(ADDRESS(1035,35))+INDIRECT(ADDRESS(1033,36))-INDIRECT(ADDRESS(1034,36))</f>
        <v>0</v>
      </c>
      <c r="AK1035">
        <f>INDIRECT(ADDRESS(1035,36))+INDIRECT(ADDRESS(1033,37))-INDIRECT(ADDRESS(1034,37))</f>
        <v>0</v>
      </c>
      <c r="AL1035">
        <f>INDIRECT(ADDRESS(1035,37))+INDIRECT(ADDRESS(1033,38))-INDIRECT(ADDRESS(1034,38))</f>
        <v>0</v>
      </c>
      <c r="AM1035">
        <f>INDIRECT(ADDRESS(1035,38))+INDIRECT(ADDRESS(1033,39))-INDIRECT(ADDRESS(1034,39))</f>
        <v>0</v>
      </c>
      <c r="AN1035">
        <f>INDIRECT(ADDRESS(1035,39))+INDIRECT(ADDRESS(1033,40))-INDIRECT(ADDRESS(1034,40))</f>
        <v>0</v>
      </c>
      <c r="AO1035">
        <f>SUM(INDIRECT(ADDRESS(1034,8)):INDIRECT(ADDRESS(1034,39)))</f>
        <v>0</v>
      </c>
    </row>
    <row r="1036" spans="1:41">
      <c r="A1036" t="s">
        <v>180</v>
      </c>
      <c r="B1036" t="s">
        <v>514</v>
      </c>
      <c r="C1036" t="s">
        <v>515</v>
      </c>
      <c r="E1036">
        <v>1</v>
      </c>
      <c r="I1036" t="s">
        <v>177</v>
      </c>
    </row>
    <row r="1037" spans="1:41">
      <c r="I1037" t="s">
        <v>178</v>
      </c>
      <c r="J1037">
        <f>IFERROR(VLOOKUP("922-096465-500",B:AB,1+8,0),0)</f>
        <v>0</v>
      </c>
      <c r="K1037">
        <f>IFERROR(VLOOKUP("922-096465-500",B:AB,2+8,0),0)</f>
        <v>0</v>
      </c>
      <c r="L1037">
        <f>IFERROR(VLOOKUP("922-096465-500",B:AB,3+8,0),0)</f>
        <v>0</v>
      </c>
      <c r="M1037">
        <f>IFERROR(VLOOKUP("922-096465-500",B:AB,4+8,0),0)</f>
        <v>0</v>
      </c>
      <c r="N1037">
        <f>IFERROR(VLOOKUP("922-096465-500",B:AB,5+8,0),0)</f>
        <v>0</v>
      </c>
      <c r="O1037">
        <f>IFERROR(VLOOKUP("922-096465-500",B:AB,6+8,0),0)</f>
        <v>0</v>
      </c>
      <c r="P1037">
        <f>IFERROR(VLOOKUP("922-096465-500",B:AB,7+8,0),0)</f>
        <v>0</v>
      </c>
      <c r="Q1037">
        <f>IFERROR(VLOOKUP("922-096465-500",B:AB,8+8,0),0)</f>
        <v>0</v>
      </c>
      <c r="R1037">
        <f>IFERROR(VLOOKUP("922-096465-500",B:AB,9+8,0),0)</f>
        <v>0</v>
      </c>
      <c r="S1037">
        <f>IFERROR(VLOOKUP("922-096465-500",B:AB,10+8,0),0)</f>
        <v>0</v>
      </c>
      <c r="T1037">
        <f>IFERROR(VLOOKUP("922-096465-500",B:AB,11+8,0),0)</f>
        <v>0</v>
      </c>
      <c r="U1037">
        <f>IFERROR(VLOOKUP("922-096465-500",B:AB,12+8,0),0)</f>
        <v>0</v>
      </c>
      <c r="V1037">
        <f>IFERROR(VLOOKUP("922-096465-500",B:AB,13+8,0),0)</f>
        <v>0</v>
      </c>
      <c r="W1037">
        <f>IFERROR(VLOOKUP("922-096465-500",B:AB,14+8,0),0)</f>
        <v>0</v>
      </c>
      <c r="X1037">
        <f>IFERROR(VLOOKUP("922-096465-500",B:AB,15+8,0),0)</f>
        <v>0</v>
      </c>
      <c r="Y1037">
        <f>IFERROR(VLOOKUP("922-096465-500",B:AB,16+8,0),0)</f>
        <v>0</v>
      </c>
      <c r="Z1037">
        <f>IFERROR(VLOOKUP("922-096465-500",B:AB,17+8,0),0)</f>
        <v>0</v>
      </c>
      <c r="AA1037">
        <f>IFERROR(VLOOKUP("922-096465-500",B:AB,18+8,0),0)</f>
        <v>0</v>
      </c>
      <c r="AB1037">
        <f>IFERROR(VLOOKUP("922-096465-500",B:AB,19+8,0),0)</f>
        <v>0</v>
      </c>
      <c r="AC1037">
        <f>IFERROR(VLOOKUP("922-096465-500",B:AB,20+8,0),0)</f>
        <v>0</v>
      </c>
      <c r="AD1037">
        <f>IFERROR(VLOOKUP("922-096465-500",B:AB,21+8,0),0)</f>
        <v>0</v>
      </c>
      <c r="AE1037">
        <f>IFERROR(VLOOKUP("922-096465-500",B:AB,22+8,0),0)</f>
        <v>0</v>
      </c>
      <c r="AF1037">
        <f>IFERROR(VLOOKUP("922-096465-500",B:AB,23+8,0),0)</f>
        <v>0</v>
      </c>
      <c r="AG1037">
        <f>IFERROR(VLOOKUP("922-096465-500",B:AB,24+8,0),0)</f>
        <v>0</v>
      </c>
      <c r="AH1037">
        <f>IFERROR(VLOOKUP("922-096465-500",B:AB,25+8,0),0)</f>
        <v>0</v>
      </c>
      <c r="AI1037">
        <f>IFERROR(VLOOKUP("922-096465-500",B:AB,26+8,0),0)</f>
        <v>0</v>
      </c>
      <c r="AJ1037">
        <f>IFERROR(VLOOKUP("922-096465-500",B:AB,27+8,0),0)</f>
        <v>0</v>
      </c>
      <c r="AK1037">
        <f>IFERROR(VLOOKUP("922-096465-500",B:AB,28+8,0),0)</f>
        <v>0</v>
      </c>
      <c r="AL1037">
        <f>IFERROR(VLOOKUP("922-096465-500",B:AB,29+8,0),0)</f>
        <v>0</v>
      </c>
      <c r="AM1037">
        <f>IFERROR(VLOOKUP("922-096465-500",B:AB,30+8,0),0)</f>
        <v>0</v>
      </c>
      <c r="AN1037">
        <f>IFERROR(VLOOKUP("922-096465-500",B:AB,31+8,0),0)</f>
        <v>0</v>
      </c>
      <c r="AO1037">
        <f>SUN(INDIRECT(ADDRESS(1036,8)):INDIRECT(ADDRESS(1036,39)))</f>
        <v>0</v>
      </c>
    </row>
    <row r="1038" spans="1:41">
      <c r="H1038" t="s">
        <v>179</v>
      </c>
      <c r="J1038">
        <f>INDIRECT(ADDRESS(1038,9))+INDIRECT(ADDRESS(1036,10))-INDIRECT(ADDRESS(1037,10))</f>
        <v>0</v>
      </c>
      <c r="K1038">
        <f>INDIRECT(ADDRESS(1038,10))+INDIRECT(ADDRESS(1036,11))-INDIRECT(ADDRESS(1037,11))</f>
        <v>0</v>
      </c>
      <c r="L1038">
        <f>INDIRECT(ADDRESS(1038,11))+INDIRECT(ADDRESS(1036,12))-INDIRECT(ADDRESS(1037,12))</f>
        <v>0</v>
      </c>
      <c r="M1038">
        <f>INDIRECT(ADDRESS(1038,12))+INDIRECT(ADDRESS(1036,13))-INDIRECT(ADDRESS(1037,13))</f>
        <v>0</v>
      </c>
      <c r="N1038">
        <f>INDIRECT(ADDRESS(1038,13))+INDIRECT(ADDRESS(1036,14))-INDIRECT(ADDRESS(1037,14))</f>
        <v>0</v>
      </c>
      <c r="O1038">
        <f>INDIRECT(ADDRESS(1038,14))+INDIRECT(ADDRESS(1036,15))-INDIRECT(ADDRESS(1037,15))</f>
        <v>0</v>
      </c>
      <c r="P1038">
        <f>INDIRECT(ADDRESS(1038,15))+INDIRECT(ADDRESS(1036,16))-INDIRECT(ADDRESS(1037,16))</f>
        <v>0</v>
      </c>
      <c r="Q1038">
        <f>INDIRECT(ADDRESS(1038,16))+INDIRECT(ADDRESS(1036,17))-INDIRECT(ADDRESS(1037,17))</f>
        <v>0</v>
      </c>
      <c r="R1038">
        <f>INDIRECT(ADDRESS(1038,17))+INDIRECT(ADDRESS(1036,18))-INDIRECT(ADDRESS(1037,18))</f>
        <v>0</v>
      </c>
      <c r="S1038">
        <f>INDIRECT(ADDRESS(1038,18))+INDIRECT(ADDRESS(1036,19))-INDIRECT(ADDRESS(1037,19))</f>
        <v>0</v>
      </c>
      <c r="T1038">
        <f>INDIRECT(ADDRESS(1038,19))+INDIRECT(ADDRESS(1036,20))-INDIRECT(ADDRESS(1037,20))</f>
        <v>0</v>
      </c>
      <c r="U1038">
        <f>INDIRECT(ADDRESS(1038,20))+INDIRECT(ADDRESS(1036,21))-INDIRECT(ADDRESS(1037,21))</f>
        <v>0</v>
      </c>
      <c r="V1038">
        <f>INDIRECT(ADDRESS(1038,21))+INDIRECT(ADDRESS(1036,22))-INDIRECT(ADDRESS(1037,22))</f>
        <v>0</v>
      </c>
      <c r="W1038">
        <f>INDIRECT(ADDRESS(1038,22))+INDIRECT(ADDRESS(1036,23))-INDIRECT(ADDRESS(1037,23))</f>
        <v>0</v>
      </c>
      <c r="X1038">
        <f>INDIRECT(ADDRESS(1038,23))+INDIRECT(ADDRESS(1036,24))-INDIRECT(ADDRESS(1037,24))</f>
        <v>0</v>
      </c>
      <c r="Y1038">
        <f>INDIRECT(ADDRESS(1038,24))+INDIRECT(ADDRESS(1036,25))-INDIRECT(ADDRESS(1037,25))</f>
        <v>0</v>
      </c>
      <c r="Z1038">
        <f>INDIRECT(ADDRESS(1038,25))+INDIRECT(ADDRESS(1036,26))-INDIRECT(ADDRESS(1037,26))</f>
        <v>0</v>
      </c>
      <c r="AA1038">
        <f>INDIRECT(ADDRESS(1038,26))+INDIRECT(ADDRESS(1036,27))-INDIRECT(ADDRESS(1037,27))</f>
        <v>0</v>
      </c>
      <c r="AB1038">
        <f>INDIRECT(ADDRESS(1038,27))+INDIRECT(ADDRESS(1036,28))-INDIRECT(ADDRESS(1037,28))</f>
        <v>0</v>
      </c>
      <c r="AC1038">
        <f>INDIRECT(ADDRESS(1038,28))+INDIRECT(ADDRESS(1036,29))-INDIRECT(ADDRESS(1037,29))</f>
        <v>0</v>
      </c>
      <c r="AD1038">
        <f>INDIRECT(ADDRESS(1038,29))+INDIRECT(ADDRESS(1036,30))-INDIRECT(ADDRESS(1037,30))</f>
        <v>0</v>
      </c>
      <c r="AE1038">
        <f>INDIRECT(ADDRESS(1038,30))+INDIRECT(ADDRESS(1036,31))-INDIRECT(ADDRESS(1037,31))</f>
        <v>0</v>
      </c>
      <c r="AF1038">
        <f>INDIRECT(ADDRESS(1038,31))+INDIRECT(ADDRESS(1036,32))-INDIRECT(ADDRESS(1037,32))</f>
        <v>0</v>
      </c>
      <c r="AG1038">
        <f>INDIRECT(ADDRESS(1038,32))+INDIRECT(ADDRESS(1036,33))-INDIRECT(ADDRESS(1037,33))</f>
        <v>0</v>
      </c>
      <c r="AH1038">
        <f>INDIRECT(ADDRESS(1038,33))+INDIRECT(ADDRESS(1036,34))-INDIRECT(ADDRESS(1037,34))</f>
        <v>0</v>
      </c>
      <c r="AI1038">
        <f>INDIRECT(ADDRESS(1038,34))+INDIRECT(ADDRESS(1036,35))-INDIRECT(ADDRESS(1037,35))</f>
        <v>0</v>
      </c>
      <c r="AJ1038">
        <f>INDIRECT(ADDRESS(1038,35))+INDIRECT(ADDRESS(1036,36))-INDIRECT(ADDRESS(1037,36))</f>
        <v>0</v>
      </c>
      <c r="AK1038">
        <f>INDIRECT(ADDRESS(1038,36))+INDIRECT(ADDRESS(1036,37))-INDIRECT(ADDRESS(1037,37))</f>
        <v>0</v>
      </c>
      <c r="AL1038">
        <f>INDIRECT(ADDRESS(1038,37))+INDIRECT(ADDRESS(1036,38))-INDIRECT(ADDRESS(1037,38))</f>
        <v>0</v>
      </c>
      <c r="AM1038">
        <f>INDIRECT(ADDRESS(1038,38))+INDIRECT(ADDRESS(1036,39))-INDIRECT(ADDRESS(1037,39))</f>
        <v>0</v>
      </c>
      <c r="AN1038">
        <f>INDIRECT(ADDRESS(1038,39))+INDIRECT(ADDRESS(1036,40))-INDIRECT(ADDRESS(1037,40))</f>
        <v>0</v>
      </c>
      <c r="AO1038">
        <f>SUM(INDIRECT(ADDRESS(1037,8)):INDIRECT(ADDRESS(1037,39)))</f>
        <v>0</v>
      </c>
    </row>
    <row r="1039" spans="1:41">
      <c r="A1039" t="s">
        <v>185</v>
      </c>
      <c r="B1039" t="s">
        <v>534</v>
      </c>
      <c r="C1039" t="s">
        <v>535</v>
      </c>
      <c r="E1039">
        <v>1</v>
      </c>
      <c r="I1039" t="s">
        <v>177</v>
      </c>
    </row>
    <row r="1040" spans="1:41">
      <c r="I1040" t="s">
        <v>178</v>
      </c>
      <c r="J1040">
        <f>IFERROR(VLOOKUP("922-096465-500",B:AB,1+8,0),0)</f>
        <v>0</v>
      </c>
      <c r="K1040">
        <f>IFERROR(VLOOKUP("922-096465-500",B:AB,2+8,0),0)</f>
        <v>0</v>
      </c>
      <c r="L1040">
        <f>IFERROR(VLOOKUP("922-096465-500",B:AB,3+8,0),0)</f>
        <v>0</v>
      </c>
      <c r="M1040">
        <f>IFERROR(VLOOKUP("922-096465-500",B:AB,4+8,0),0)</f>
        <v>0</v>
      </c>
      <c r="N1040">
        <f>IFERROR(VLOOKUP("922-096465-500",B:AB,5+8,0),0)</f>
        <v>0</v>
      </c>
      <c r="O1040">
        <f>IFERROR(VLOOKUP("922-096465-500",B:AB,6+8,0),0)</f>
        <v>0</v>
      </c>
      <c r="P1040">
        <f>IFERROR(VLOOKUP("922-096465-500",B:AB,7+8,0),0)</f>
        <v>0</v>
      </c>
      <c r="Q1040">
        <f>IFERROR(VLOOKUP("922-096465-500",B:AB,8+8,0),0)</f>
        <v>0</v>
      </c>
      <c r="R1040">
        <f>IFERROR(VLOOKUP("922-096465-500",B:AB,9+8,0),0)</f>
        <v>0</v>
      </c>
      <c r="S1040">
        <f>IFERROR(VLOOKUP("922-096465-500",B:AB,10+8,0),0)</f>
        <v>0</v>
      </c>
      <c r="T1040">
        <f>IFERROR(VLOOKUP("922-096465-500",B:AB,11+8,0),0)</f>
        <v>0</v>
      </c>
      <c r="U1040">
        <f>IFERROR(VLOOKUP("922-096465-500",B:AB,12+8,0),0)</f>
        <v>0</v>
      </c>
      <c r="V1040">
        <f>IFERROR(VLOOKUP("922-096465-500",B:AB,13+8,0),0)</f>
        <v>0</v>
      </c>
      <c r="W1040">
        <f>IFERROR(VLOOKUP("922-096465-500",B:AB,14+8,0),0)</f>
        <v>0</v>
      </c>
      <c r="X1040">
        <f>IFERROR(VLOOKUP("922-096465-500",B:AB,15+8,0),0)</f>
        <v>0</v>
      </c>
      <c r="Y1040">
        <f>IFERROR(VLOOKUP("922-096465-500",B:AB,16+8,0),0)</f>
        <v>0</v>
      </c>
      <c r="Z1040">
        <f>IFERROR(VLOOKUP("922-096465-500",B:AB,17+8,0),0)</f>
        <v>0</v>
      </c>
      <c r="AA1040">
        <f>IFERROR(VLOOKUP("922-096465-500",B:AB,18+8,0),0)</f>
        <v>0</v>
      </c>
      <c r="AB1040">
        <f>IFERROR(VLOOKUP("922-096465-500",B:AB,19+8,0),0)</f>
        <v>0</v>
      </c>
      <c r="AC1040">
        <f>IFERROR(VLOOKUP("922-096465-500",B:AB,20+8,0),0)</f>
        <v>0</v>
      </c>
      <c r="AD1040">
        <f>IFERROR(VLOOKUP("922-096465-500",B:AB,21+8,0),0)</f>
        <v>0</v>
      </c>
      <c r="AE1040">
        <f>IFERROR(VLOOKUP("922-096465-500",B:AB,22+8,0),0)</f>
        <v>0</v>
      </c>
      <c r="AF1040">
        <f>IFERROR(VLOOKUP("922-096465-500",B:AB,23+8,0),0)</f>
        <v>0</v>
      </c>
      <c r="AG1040">
        <f>IFERROR(VLOOKUP("922-096465-500",B:AB,24+8,0),0)</f>
        <v>0</v>
      </c>
      <c r="AH1040">
        <f>IFERROR(VLOOKUP("922-096465-500",B:AB,25+8,0),0)</f>
        <v>0</v>
      </c>
      <c r="AI1040">
        <f>IFERROR(VLOOKUP("922-096465-500",B:AB,26+8,0),0)</f>
        <v>0</v>
      </c>
      <c r="AJ1040">
        <f>IFERROR(VLOOKUP("922-096465-500",B:AB,27+8,0),0)</f>
        <v>0</v>
      </c>
      <c r="AK1040">
        <f>IFERROR(VLOOKUP("922-096465-500",B:AB,28+8,0),0)</f>
        <v>0</v>
      </c>
      <c r="AL1040">
        <f>IFERROR(VLOOKUP("922-096465-500",B:AB,29+8,0),0)</f>
        <v>0</v>
      </c>
      <c r="AM1040">
        <f>IFERROR(VLOOKUP("922-096465-500",B:AB,30+8,0),0)</f>
        <v>0</v>
      </c>
      <c r="AN1040">
        <f>IFERROR(VLOOKUP("922-096465-500",B:AB,31+8,0),0)</f>
        <v>0</v>
      </c>
      <c r="AO1040">
        <f>SUN(INDIRECT(ADDRESS(1039,8)):INDIRECT(ADDRESS(1039,39)))</f>
        <v>0</v>
      </c>
    </row>
    <row r="1041" spans="1:41">
      <c r="H1041" t="s">
        <v>179</v>
      </c>
      <c r="J1041">
        <f>INDIRECT(ADDRESS(1041,9))+INDIRECT(ADDRESS(1039,10))-INDIRECT(ADDRESS(1040,10))</f>
        <v>0</v>
      </c>
      <c r="K1041">
        <f>INDIRECT(ADDRESS(1041,10))+INDIRECT(ADDRESS(1039,11))-INDIRECT(ADDRESS(1040,11))</f>
        <v>0</v>
      </c>
      <c r="L1041">
        <f>INDIRECT(ADDRESS(1041,11))+INDIRECT(ADDRESS(1039,12))-INDIRECT(ADDRESS(1040,12))</f>
        <v>0</v>
      </c>
      <c r="M1041">
        <f>INDIRECT(ADDRESS(1041,12))+INDIRECT(ADDRESS(1039,13))-INDIRECT(ADDRESS(1040,13))</f>
        <v>0</v>
      </c>
      <c r="N1041">
        <f>INDIRECT(ADDRESS(1041,13))+INDIRECT(ADDRESS(1039,14))-INDIRECT(ADDRESS(1040,14))</f>
        <v>0</v>
      </c>
      <c r="O1041">
        <f>INDIRECT(ADDRESS(1041,14))+INDIRECT(ADDRESS(1039,15))-INDIRECT(ADDRESS(1040,15))</f>
        <v>0</v>
      </c>
      <c r="P1041">
        <f>INDIRECT(ADDRESS(1041,15))+INDIRECT(ADDRESS(1039,16))-INDIRECT(ADDRESS(1040,16))</f>
        <v>0</v>
      </c>
      <c r="Q1041">
        <f>INDIRECT(ADDRESS(1041,16))+INDIRECT(ADDRESS(1039,17))-INDIRECT(ADDRESS(1040,17))</f>
        <v>0</v>
      </c>
      <c r="R1041">
        <f>INDIRECT(ADDRESS(1041,17))+INDIRECT(ADDRESS(1039,18))-INDIRECT(ADDRESS(1040,18))</f>
        <v>0</v>
      </c>
      <c r="S1041">
        <f>INDIRECT(ADDRESS(1041,18))+INDIRECT(ADDRESS(1039,19))-INDIRECT(ADDRESS(1040,19))</f>
        <v>0</v>
      </c>
      <c r="T1041">
        <f>INDIRECT(ADDRESS(1041,19))+INDIRECT(ADDRESS(1039,20))-INDIRECT(ADDRESS(1040,20))</f>
        <v>0</v>
      </c>
      <c r="U1041">
        <f>INDIRECT(ADDRESS(1041,20))+INDIRECT(ADDRESS(1039,21))-INDIRECT(ADDRESS(1040,21))</f>
        <v>0</v>
      </c>
      <c r="V1041">
        <f>INDIRECT(ADDRESS(1041,21))+INDIRECT(ADDRESS(1039,22))-INDIRECT(ADDRESS(1040,22))</f>
        <v>0</v>
      </c>
      <c r="W1041">
        <f>INDIRECT(ADDRESS(1041,22))+INDIRECT(ADDRESS(1039,23))-INDIRECT(ADDRESS(1040,23))</f>
        <v>0</v>
      </c>
      <c r="X1041">
        <f>INDIRECT(ADDRESS(1041,23))+INDIRECT(ADDRESS(1039,24))-INDIRECT(ADDRESS(1040,24))</f>
        <v>0</v>
      </c>
      <c r="Y1041">
        <f>INDIRECT(ADDRESS(1041,24))+INDIRECT(ADDRESS(1039,25))-INDIRECT(ADDRESS(1040,25))</f>
        <v>0</v>
      </c>
      <c r="Z1041">
        <f>INDIRECT(ADDRESS(1041,25))+INDIRECT(ADDRESS(1039,26))-INDIRECT(ADDRESS(1040,26))</f>
        <v>0</v>
      </c>
      <c r="AA1041">
        <f>INDIRECT(ADDRESS(1041,26))+INDIRECT(ADDRESS(1039,27))-INDIRECT(ADDRESS(1040,27))</f>
        <v>0</v>
      </c>
      <c r="AB1041">
        <f>INDIRECT(ADDRESS(1041,27))+INDIRECT(ADDRESS(1039,28))-INDIRECT(ADDRESS(1040,28))</f>
        <v>0</v>
      </c>
      <c r="AC1041">
        <f>INDIRECT(ADDRESS(1041,28))+INDIRECT(ADDRESS(1039,29))-INDIRECT(ADDRESS(1040,29))</f>
        <v>0</v>
      </c>
      <c r="AD1041">
        <f>INDIRECT(ADDRESS(1041,29))+INDIRECT(ADDRESS(1039,30))-INDIRECT(ADDRESS(1040,30))</f>
        <v>0</v>
      </c>
      <c r="AE1041">
        <f>INDIRECT(ADDRESS(1041,30))+INDIRECT(ADDRESS(1039,31))-INDIRECT(ADDRESS(1040,31))</f>
        <v>0</v>
      </c>
      <c r="AF1041">
        <f>INDIRECT(ADDRESS(1041,31))+INDIRECT(ADDRESS(1039,32))-INDIRECT(ADDRESS(1040,32))</f>
        <v>0</v>
      </c>
      <c r="AG1041">
        <f>INDIRECT(ADDRESS(1041,32))+INDIRECT(ADDRESS(1039,33))-INDIRECT(ADDRESS(1040,33))</f>
        <v>0</v>
      </c>
      <c r="AH1041">
        <f>INDIRECT(ADDRESS(1041,33))+INDIRECT(ADDRESS(1039,34))-INDIRECT(ADDRESS(1040,34))</f>
        <v>0</v>
      </c>
      <c r="AI1041">
        <f>INDIRECT(ADDRESS(1041,34))+INDIRECT(ADDRESS(1039,35))-INDIRECT(ADDRESS(1040,35))</f>
        <v>0</v>
      </c>
      <c r="AJ1041">
        <f>INDIRECT(ADDRESS(1041,35))+INDIRECT(ADDRESS(1039,36))-INDIRECT(ADDRESS(1040,36))</f>
        <v>0</v>
      </c>
      <c r="AK1041">
        <f>INDIRECT(ADDRESS(1041,36))+INDIRECT(ADDRESS(1039,37))-INDIRECT(ADDRESS(1040,37))</f>
        <v>0</v>
      </c>
      <c r="AL1041">
        <f>INDIRECT(ADDRESS(1041,37))+INDIRECT(ADDRESS(1039,38))-INDIRECT(ADDRESS(1040,38))</f>
        <v>0</v>
      </c>
      <c r="AM1041">
        <f>INDIRECT(ADDRESS(1041,38))+INDIRECT(ADDRESS(1039,39))-INDIRECT(ADDRESS(1040,39))</f>
        <v>0</v>
      </c>
      <c r="AN1041">
        <f>INDIRECT(ADDRESS(1041,39))+INDIRECT(ADDRESS(1039,40))-INDIRECT(ADDRESS(1040,40))</f>
        <v>0</v>
      </c>
      <c r="AO1041">
        <f>SUM(INDIRECT(ADDRESS(1040,8)):INDIRECT(ADDRESS(1040,39)))</f>
        <v>0</v>
      </c>
    </row>
    <row r="1042" spans="1:41">
      <c r="A1042" t="s">
        <v>206</v>
      </c>
      <c r="B1042" t="s">
        <v>536</v>
      </c>
      <c r="C1042" t="s">
        <v>537</v>
      </c>
      <c r="E1042">
        <v>0.05</v>
      </c>
      <c r="I1042" t="s">
        <v>177</v>
      </c>
    </row>
    <row r="1043" spans="1:41">
      <c r="I1043" t="s">
        <v>178</v>
      </c>
      <c r="J1043">
        <f>IFERROR(VLOOKUP("922-096465-500",B:AB,1+8,0),0)</f>
        <v>0</v>
      </c>
      <c r="K1043">
        <f>IFERROR(VLOOKUP("922-096465-500",B:AB,2+8,0),0)</f>
        <v>0</v>
      </c>
      <c r="L1043">
        <f>IFERROR(VLOOKUP("922-096465-500",B:AB,3+8,0),0)</f>
        <v>0</v>
      </c>
      <c r="M1043">
        <f>IFERROR(VLOOKUP("922-096465-500",B:AB,4+8,0),0)</f>
        <v>0</v>
      </c>
      <c r="N1043">
        <f>IFERROR(VLOOKUP("922-096465-500",B:AB,5+8,0),0)</f>
        <v>0</v>
      </c>
      <c r="O1043">
        <f>IFERROR(VLOOKUP("922-096465-500",B:AB,6+8,0),0)</f>
        <v>0</v>
      </c>
      <c r="P1043">
        <f>IFERROR(VLOOKUP("922-096465-500",B:AB,7+8,0),0)</f>
        <v>0</v>
      </c>
      <c r="Q1043">
        <f>IFERROR(VLOOKUP("922-096465-500",B:AB,8+8,0),0)</f>
        <v>0</v>
      </c>
      <c r="R1043">
        <f>IFERROR(VLOOKUP("922-096465-500",B:AB,9+8,0),0)</f>
        <v>0</v>
      </c>
      <c r="S1043">
        <f>IFERROR(VLOOKUP("922-096465-500",B:AB,10+8,0),0)</f>
        <v>0</v>
      </c>
      <c r="T1043">
        <f>IFERROR(VLOOKUP("922-096465-500",B:AB,11+8,0),0)</f>
        <v>0</v>
      </c>
      <c r="U1043">
        <f>IFERROR(VLOOKUP("922-096465-500",B:AB,12+8,0),0)</f>
        <v>0</v>
      </c>
      <c r="V1043">
        <f>IFERROR(VLOOKUP("922-096465-500",B:AB,13+8,0),0)</f>
        <v>0</v>
      </c>
      <c r="W1043">
        <f>IFERROR(VLOOKUP("922-096465-500",B:AB,14+8,0),0)</f>
        <v>0</v>
      </c>
      <c r="X1043">
        <f>IFERROR(VLOOKUP("922-096465-500",B:AB,15+8,0),0)</f>
        <v>0</v>
      </c>
      <c r="Y1043">
        <f>IFERROR(VLOOKUP("922-096465-500",B:AB,16+8,0),0)</f>
        <v>0</v>
      </c>
      <c r="Z1043">
        <f>IFERROR(VLOOKUP("922-096465-500",B:AB,17+8,0),0)</f>
        <v>0</v>
      </c>
      <c r="AA1043">
        <f>IFERROR(VLOOKUP("922-096465-500",B:AB,18+8,0),0)</f>
        <v>0</v>
      </c>
      <c r="AB1043">
        <f>IFERROR(VLOOKUP("922-096465-500",B:AB,19+8,0),0)</f>
        <v>0</v>
      </c>
      <c r="AC1043">
        <f>IFERROR(VLOOKUP("922-096465-500",B:AB,20+8,0),0)</f>
        <v>0</v>
      </c>
      <c r="AD1043">
        <f>IFERROR(VLOOKUP("922-096465-500",B:AB,21+8,0),0)</f>
        <v>0</v>
      </c>
      <c r="AE1043">
        <f>IFERROR(VLOOKUP("922-096465-500",B:AB,22+8,0),0)</f>
        <v>0</v>
      </c>
      <c r="AF1043">
        <f>IFERROR(VLOOKUP("922-096465-500",B:AB,23+8,0),0)</f>
        <v>0</v>
      </c>
      <c r="AG1043">
        <f>IFERROR(VLOOKUP("922-096465-500",B:AB,24+8,0),0)</f>
        <v>0</v>
      </c>
      <c r="AH1043">
        <f>IFERROR(VLOOKUP("922-096465-500",B:AB,25+8,0),0)</f>
        <v>0</v>
      </c>
      <c r="AI1043">
        <f>IFERROR(VLOOKUP("922-096465-500",B:AB,26+8,0),0)</f>
        <v>0</v>
      </c>
      <c r="AJ1043">
        <f>IFERROR(VLOOKUP("922-096465-500",B:AB,27+8,0),0)</f>
        <v>0</v>
      </c>
      <c r="AK1043">
        <f>IFERROR(VLOOKUP("922-096465-500",B:AB,28+8,0),0)</f>
        <v>0</v>
      </c>
      <c r="AL1043">
        <f>IFERROR(VLOOKUP("922-096465-500",B:AB,29+8,0),0)</f>
        <v>0</v>
      </c>
      <c r="AM1043">
        <f>IFERROR(VLOOKUP("922-096465-500",B:AB,30+8,0),0)</f>
        <v>0</v>
      </c>
      <c r="AN1043">
        <f>IFERROR(VLOOKUP("922-096465-500",B:AB,31+8,0),0)</f>
        <v>0</v>
      </c>
      <c r="AO1043">
        <f>SUN(INDIRECT(ADDRESS(1042,8)):INDIRECT(ADDRESS(1042,39)))</f>
        <v>0</v>
      </c>
    </row>
    <row r="1044" spans="1:41">
      <c r="H1044" t="s">
        <v>179</v>
      </c>
      <c r="J1044">
        <f>INDIRECT(ADDRESS(1044,9))+INDIRECT(ADDRESS(1042,10))-INDIRECT(ADDRESS(1043,10))</f>
        <v>0</v>
      </c>
      <c r="K1044">
        <f>INDIRECT(ADDRESS(1044,10))+INDIRECT(ADDRESS(1042,11))-INDIRECT(ADDRESS(1043,11))</f>
        <v>0</v>
      </c>
      <c r="L1044">
        <f>INDIRECT(ADDRESS(1044,11))+INDIRECT(ADDRESS(1042,12))-INDIRECT(ADDRESS(1043,12))</f>
        <v>0</v>
      </c>
      <c r="M1044">
        <f>INDIRECT(ADDRESS(1044,12))+INDIRECT(ADDRESS(1042,13))-INDIRECT(ADDRESS(1043,13))</f>
        <v>0</v>
      </c>
      <c r="N1044">
        <f>INDIRECT(ADDRESS(1044,13))+INDIRECT(ADDRESS(1042,14))-INDIRECT(ADDRESS(1043,14))</f>
        <v>0</v>
      </c>
      <c r="O1044">
        <f>INDIRECT(ADDRESS(1044,14))+INDIRECT(ADDRESS(1042,15))-INDIRECT(ADDRESS(1043,15))</f>
        <v>0</v>
      </c>
      <c r="P1044">
        <f>INDIRECT(ADDRESS(1044,15))+INDIRECT(ADDRESS(1042,16))-INDIRECT(ADDRESS(1043,16))</f>
        <v>0</v>
      </c>
      <c r="Q1044">
        <f>INDIRECT(ADDRESS(1044,16))+INDIRECT(ADDRESS(1042,17))-INDIRECT(ADDRESS(1043,17))</f>
        <v>0</v>
      </c>
      <c r="R1044">
        <f>INDIRECT(ADDRESS(1044,17))+INDIRECT(ADDRESS(1042,18))-INDIRECT(ADDRESS(1043,18))</f>
        <v>0</v>
      </c>
      <c r="S1044">
        <f>INDIRECT(ADDRESS(1044,18))+INDIRECT(ADDRESS(1042,19))-INDIRECT(ADDRESS(1043,19))</f>
        <v>0</v>
      </c>
      <c r="T1044">
        <f>INDIRECT(ADDRESS(1044,19))+INDIRECT(ADDRESS(1042,20))-INDIRECT(ADDRESS(1043,20))</f>
        <v>0</v>
      </c>
      <c r="U1044">
        <f>INDIRECT(ADDRESS(1044,20))+INDIRECT(ADDRESS(1042,21))-INDIRECT(ADDRESS(1043,21))</f>
        <v>0</v>
      </c>
      <c r="V1044">
        <f>INDIRECT(ADDRESS(1044,21))+INDIRECT(ADDRESS(1042,22))-INDIRECT(ADDRESS(1043,22))</f>
        <v>0</v>
      </c>
      <c r="W1044">
        <f>INDIRECT(ADDRESS(1044,22))+INDIRECT(ADDRESS(1042,23))-INDIRECT(ADDRESS(1043,23))</f>
        <v>0</v>
      </c>
      <c r="X1044">
        <f>INDIRECT(ADDRESS(1044,23))+INDIRECT(ADDRESS(1042,24))-INDIRECT(ADDRESS(1043,24))</f>
        <v>0</v>
      </c>
      <c r="Y1044">
        <f>INDIRECT(ADDRESS(1044,24))+INDIRECT(ADDRESS(1042,25))-INDIRECT(ADDRESS(1043,25))</f>
        <v>0</v>
      </c>
      <c r="Z1044">
        <f>INDIRECT(ADDRESS(1044,25))+INDIRECT(ADDRESS(1042,26))-INDIRECT(ADDRESS(1043,26))</f>
        <v>0</v>
      </c>
      <c r="AA1044">
        <f>INDIRECT(ADDRESS(1044,26))+INDIRECT(ADDRESS(1042,27))-INDIRECT(ADDRESS(1043,27))</f>
        <v>0</v>
      </c>
      <c r="AB1044">
        <f>INDIRECT(ADDRESS(1044,27))+INDIRECT(ADDRESS(1042,28))-INDIRECT(ADDRESS(1043,28))</f>
        <v>0</v>
      </c>
      <c r="AC1044">
        <f>INDIRECT(ADDRESS(1044,28))+INDIRECT(ADDRESS(1042,29))-INDIRECT(ADDRESS(1043,29))</f>
        <v>0</v>
      </c>
      <c r="AD1044">
        <f>INDIRECT(ADDRESS(1044,29))+INDIRECT(ADDRESS(1042,30))-INDIRECT(ADDRESS(1043,30))</f>
        <v>0</v>
      </c>
      <c r="AE1044">
        <f>INDIRECT(ADDRESS(1044,30))+INDIRECT(ADDRESS(1042,31))-INDIRECT(ADDRESS(1043,31))</f>
        <v>0</v>
      </c>
      <c r="AF1044">
        <f>INDIRECT(ADDRESS(1044,31))+INDIRECT(ADDRESS(1042,32))-INDIRECT(ADDRESS(1043,32))</f>
        <v>0</v>
      </c>
      <c r="AG1044">
        <f>INDIRECT(ADDRESS(1044,32))+INDIRECT(ADDRESS(1042,33))-INDIRECT(ADDRESS(1043,33))</f>
        <v>0</v>
      </c>
      <c r="AH1044">
        <f>INDIRECT(ADDRESS(1044,33))+INDIRECT(ADDRESS(1042,34))-INDIRECT(ADDRESS(1043,34))</f>
        <v>0</v>
      </c>
      <c r="AI1044">
        <f>INDIRECT(ADDRESS(1044,34))+INDIRECT(ADDRESS(1042,35))-INDIRECT(ADDRESS(1043,35))</f>
        <v>0</v>
      </c>
      <c r="AJ1044">
        <f>INDIRECT(ADDRESS(1044,35))+INDIRECT(ADDRESS(1042,36))-INDIRECT(ADDRESS(1043,36))</f>
        <v>0</v>
      </c>
      <c r="AK1044">
        <f>INDIRECT(ADDRESS(1044,36))+INDIRECT(ADDRESS(1042,37))-INDIRECT(ADDRESS(1043,37))</f>
        <v>0</v>
      </c>
      <c r="AL1044">
        <f>INDIRECT(ADDRESS(1044,37))+INDIRECT(ADDRESS(1042,38))-INDIRECT(ADDRESS(1043,38))</f>
        <v>0</v>
      </c>
      <c r="AM1044">
        <f>INDIRECT(ADDRESS(1044,38))+INDIRECT(ADDRESS(1042,39))-INDIRECT(ADDRESS(1043,39))</f>
        <v>0</v>
      </c>
      <c r="AN1044">
        <f>INDIRECT(ADDRESS(1044,39))+INDIRECT(ADDRESS(1042,40))-INDIRECT(ADDRESS(1043,40))</f>
        <v>0</v>
      </c>
      <c r="AO1044">
        <f>SUM(INDIRECT(ADDRESS(1043,8)):INDIRECT(ADDRESS(1043,39)))</f>
        <v>0</v>
      </c>
    </row>
    <row r="1045" spans="1:41">
      <c r="A1045" t="s">
        <v>8</v>
      </c>
      <c r="B1045" t="s">
        <v>85</v>
      </c>
      <c r="C1045" t="s">
        <v>86</v>
      </c>
      <c r="E1045">
        <v>1</v>
      </c>
      <c r="I1045" t="s">
        <v>177</v>
      </c>
    </row>
    <row r="1046" spans="1:41">
      <c r="I1046" t="s">
        <v>178</v>
      </c>
      <c r="J1046">
        <f>IFERROR(VLOOKUP("922-096465-600",Out!B:AB,1+8,0),0)</f>
        <v>0</v>
      </c>
      <c r="K1046">
        <f>IFERROR(VLOOKUP("922-096465-600",Out!B:AB,2+8,0),0)</f>
        <v>0</v>
      </c>
      <c r="L1046">
        <f>IFERROR(VLOOKUP("922-096465-600",Out!B:AB,3+8,0),0)</f>
        <v>0</v>
      </c>
      <c r="M1046">
        <f>IFERROR(VLOOKUP("922-096465-600",Out!B:AB,4+8,0),0)</f>
        <v>0</v>
      </c>
      <c r="N1046">
        <f>IFERROR(VLOOKUP("922-096465-600",Out!B:AB,5+8,0),0)</f>
        <v>0</v>
      </c>
      <c r="O1046">
        <f>IFERROR(VLOOKUP("922-096465-600",Out!B:AB,6+8,0),0)</f>
        <v>0</v>
      </c>
      <c r="P1046">
        <f>IFERROR(VLOOKUP("922-096465-600",Out!B:AB,7+8,0),0)</f>
        <v>0</v>
      </c>
      <c r="Q1046">
        <f>IFERROR(VLOOKUP("922-096465-600",Out!B:AB,8+8,0),0)</f>
        <v>0</v>
      </c>
      <c r="R1046">
        <f>IFERROR(VLOOKUP("922-096465-600",Out!B:AB,9+8,0),0)</f>
        <v>0</v>
      </c>
      <c r="S1046">
        <f>IFERROR(VLOOKUP("922-096465-600",Out!B:AB,10+8,0),0)</f>
        <v>0</v>
      </c>
      <c r="T1046">
        <f>IFERROR(VLOOKUP("922-096465-600",Out!B:AB,11+8,0),0)</f>
        <v>0</v>
      </c>
      <c r="U1046">
        <f>IFERROR(VLOOKUP("922-096465-600",Out!B:AB,12+8,0),0)</f>
        <v>0</v>
      </c>
      <c r="V1046">
        <f>IFERROR(VLOOKUP("922-096465-600",Out!B:AB,13+8,0),0)</f>
        <v>0</v>
      </c>
      <c r="W1046">
        <f>IFERROR(VLOOKUP("922-096465-600",Out!B:AB,14+8,0),0)</f>
        <v>0</v>
      </c>
      <c r="X1046">
        <f>IFERROR(VLOOKUP("922-096465-600",Out!B:AB,15+8,0),0)</f>
        <v>0</v>
      </c>
      <c r="Y1046">
        <f>IFERROR(VLOOKUP("922-096465-600",Out!B:AB,16+8,0),0)</f>
        <v>0</v>
      </c>
      <c r="Z1046">
        <f>IFERROR(VLOOKUP("922-096465-600",Out!B:AB,17+8,0),0)</f>
        <v>0</v>
      </c>
      <c r="AA1046">
        <f>IFERROR(VLOOKUP("922-096465-600",Out!B:AB,18+8,0),0)</f>
        <v>0</v>
      </c>
      <c r="AB1046">
        <f>IFERROR(VLOOKUP("922-096465-600",Out!B:AB,19+8,0),0)</f>
        <v>0</v>
      </c>
      <c r="AC1046">
        <f>IFERROR(VLOOKUP("922-096465-600",Out!B:AB,20+8,0),0)</f>
        <v>0</v>
      </c>
      <c r="AD1046">
        <f>IFERROR(VLOOKUP("922-096465-600",Out!B:AB,21+8,0),0)</f>
        <v>0</v>
      </c>
      <c r="AE1046">
        <f>IFERROR(VLOOKUP("922-096465-600",Out!B:AB,22+8,0),0)</f>
        <v>0</v>
      </c>
      <c r="AF1046">
        <f>IFERROR(VLOOKUP("922-096465-600",Out!B:AB,23+8,0),0)</f>
        <v>0</v>
      </c>
      <c r="AG1046">
        <f>IFERROR(VLOOKUP("922-096465-600",Out!B:AB,24+8,0),0)</f>
        <v>0</v>
      </c>
      <c r="AH1046">
        <f>IFERROR(VLOOKUP("922-096465-600",Out!B:AB,25+8,0),0)</f>
        <v>0</v>
      </c>
      <c r="AI1046">
        <f>IFERROR(VLOOKUP("922-096465-600",Out!B:AB,26+8,0),0)</f>
        <v>0</v>
      </c>
      <c r="AJ1046">
        <f>IFERROR(VLOOKUP("922-096465-600",Out!B:AB,27+8,0),0)</f>
        <v>0</v>
      </c>
      <c r="AK1046">
        <f>IFERROR(VLOOKUP("922-096465-600",Out!B:AB,28+8,0),0)</f>
        <v>0</v>
      </c>
      <c r="AL1046">
        <f>IFERROR(VLOOKUP("922-096465-600",Out!B:AB,29+8,0),0)</f>
        <v>0</v>
      </c>
      <c r="AM1046">
        <f>IFERROR(VLOOKUP("922-096465-600",Out!B:AB,30+8,0),0)</f>
        <v>0</v>
      </c>
      <c r="AN1046">
        <f>IFERROR(VLOOKUP("922-096465-600",Out!B:AB,31+8,0),0)</f>
        <v>0</v>
      </c>
      <c r="AO1046">
        <f>SUN(INDIRECT(ADDRESS(1045,8)):INDIRECT(ADDRESS(1045,39)))</f>
        <v>0</v>
      </c>
    </row>
    <row r="1047" spans="1:41">
      <c r="H1047" t="s">
        <v>179</v>
      </c>
      <c r="J1047">
        <f>INDIRECT(ADDRESS(1047,9))+INDIRECT(ADDRESS(1045,10))-INDIRECT(ADDRESS(1046,10))</f>
        <v>0</v>
      </c>
      <c r="K1047">
        <f>INDIRECT(ADDRESS(1047,10))+INDIRECT(ADDRESS(1045,11))-INDIRECT(ADDRESS(1046,11))</f>
        <v>0</v>
      </c>
      <c r="L1047">
        <f>INDIRECT(ADDRESS(1047,11))+INDIRECT(ADDRESS(1045,12))-INDIRECT(ADDRESS(1046,12))</f>
        <v>0</v>
      </c>
      <c r="M1047">
        <f>INDIRECT(ADDRESS(1047,12))+INDIRECT(ADDRESS(1045,13))-INDIRECT(ADDRESS(1046,13))</f>
        <v>0</v>
      </c>
      <c r="N1047">
        <f>INDIRECT(ADDRESS(1047,13))+INDIRECT(ADDRESS(1045,14))-INDIRECT(ADDRESS(1046,14))</f>
        <v>0</v>
      </c>
      <c r="O1047">
        <f>INDIRECT(ADDRESS(1047,14))+INDIRECT(ADDRESS(1045,15))-INDIRECT(ADDRESS(1046,15))</f>
        <v>0</v>
      </c>
      <c r="P1047">
        <f>INDIRECT(ADDRESS(1047,15))+INDIRECT(ADDRESS(1045,16))-INDIRECT(ADDRESS(1046,16))</f>
        <v>0</v>
      </c>
      <c r="Q1047">
        <f>INDIRECT(ADDRESS(1047,16))+INDIRECT(ADDRESS(1045,17))-INDIRECT(ADDRESS(1046,17))</f>
        <v>0</v>
      </c>
      <c r="R1047">
        <f>INDIRECT(ADDRESS(1047,17))+INDIRECT(ADDRESS(1045,18))-INDIRECT(ADDRESS(1046,18))</f>
        <v>0</v>
      </c>
      <c r="S1047">
        <f>INDIRECT(ADDRESS(1047,18))+INDIRECT(ADDRESS(1045,19))-INDIRECT(ADDRESS(1046,19))</f>
        <v>0</v>
      </c>
      <c r="T1047">
        <f>INDIRECT(ADDRESS(1047,19))+INDIRECT(ADDRESS(1045,20))-INDIRECT(ADDRESS(1046,20))</f>
        <v>0</v>
      </c>
      <c r="U1047">
        <f>INDIRECT(ADDRESS(1047,20))+INDIRECT(ADDRESS(1045,21))-INDIRECT(ADDRESS(1046,21))</f>
        <v>0</v>
      </c>
      <c r="V1047">
        <f>INDIRECT(ADDRESS(1047,21))+INDIRECT(ADDRESS(1045,22))-INDIRECT(ADDRESS(1046,22))</f>
        <v>0</v>
      </c>
      <c r="W1047">
        <f>INDIRECT(ADDRESS(1047,22))+INDIRECT(ADDRESS(1045,23))-INDIRECT(ADDRESS(1046,23))</f>
        <v>0</v>
      </c>
      <c r="X1047">
        <f>INDIRECT(ADDRESS(1047,23))+INDIRECT(ADDRESS(1045,24))-INDIRECT(ADDRESS(1046,24))</f>
        <v>0</v>
      </c>
      <c r="Y1047">
        <f>INDIRECT(ADDRESS(1047,24))+INDIRECT(ADDRESS(1045,25))-INDIRECT(ADDRESS(1046,25))</f>
        <v>0</v>
      </c>
      <c r="Z1047">
        <f>INDIRECT(ADDRESS(1047,25))+INDIRECT(ADDRESS(1045,26))-INDIRECT(ADDRESS(1046,26))</f>
        <v>0</v>
      </c>
      <c r="AA1047">
        <f>INDIRECT(ADDRESS(1047,26))+INDIRECT(ADDRESS(1045,27))-INDIRECT(ADDRESS(1046,27))</f>
        <v>0</v>
      </c>
      <c r="AB1047">
        <f>INDIRECT(ADDRESS(1047,27))+INDIRECT(ADDRESS(1045,28))-INDIRECT(ADDRESS(1046,28))</f>
        <v>0</v>
      </c>
      <c r="AC1047">
        <f>INDIRECT(ADDRESS(1047,28))+INDIRECT(ADDRESS(1045,29))-INDIRECT(ADDRESS(1046,29))</f>
        <v>0</v>
      </c>
      <c r="AD1047">
        <f>INDIRECT(ADDRESS(1047,29))+INDIRECT(ADDRESS(1045,30))-INDIRECT(ADDRESS(1046,30))</f>
        <v>0</v>
      </c>
      <c r="AE1047">
        <f>INDIRECT(ADDRESS(1047,30))+INDIRECT(ADDRESS(1045,31))-INDIRECT(ADDRESS(1046,31))</f>
        <v>0</v>
      </c>
      <c r="AF1047">
        <f>INDIRECT(ADDRESS(1047,31))+INDIRECT(ADDRESS(1045,32))-INDIRECT(ADDRESS(1046,32))</f>
        <v>0</v>
      </c>
      <c r="AG1047">
        <f>INDIRECT(ADDRESS(1047,32))+INDIRECT(ADDRESS(1045,33))-INDIRECT(ADDRESS(1046,33))</f>
        <v>0</v>
      </c>
      <c r="AH1047">
        <f>INDIRECT(ADDRESS(1047,33))+INDIRECT(ADDRESS(1045,34))-INDIRECT(ADDRESS(1046,34))</f>
        <v>0</v>
      </c>
      <c r="AI1047">
        <f>INDIRECT(ADDRESS(1047,34))+INDIRECT(ADDRESS(1045,35))-INDIRECT(ADDRESS(1046,35))</f>
        <v>0</v>
      </c>
      <c r="AJ1047">
        <f>INDIRECT(ADDRESS(1047,35))+INDIRECT(ADDRESS(1045,36))-INDIRECT(ADDRESS(1046,36))</f>
        <v>0</v>
      </c>
      <c r="AK1047">
        <f>INDIRECT(ADDRESS(1047,36))+INDIRECT(ADDRESS(1045,37))-INDIRECT(ADDRESS(1046,37))</f>
        <v>0</v>
      </c>
      <c r="AL1047">
        <f>INDIRECT(ADDRESS(1047,37))+INDIRECT(ADDRESS(1045,38))-INDIRECT(ADDRESS(1046,38))</f>
        <v>0</v>
      </c>
      <c r="AM1047">
        <f>INDIRECT(ADDRESS(1047,38))+INDIRECT(ADDRESS(1045,39))-INDIRECT(ADDRESS(1046,39))</f>
        <v>0</v>
      </c>
      <c r="AN1047">
        <f>INDIRECT(ADDRESS(1047,39))+INDIRECT(ADDRESS(1045,40))-INDIRECT(ADDRESS(1046,40))</f>
        <v>0</v>
      </c>
      <c r="AO1047">
        <f>SUM(INDIRECT(ADDRESS(1046,8)):INDIRECT(ADDRESS(1046,39)))</f>
        <v>0</v>
      </c>
    </row>
    <row r="1048" spans="1:41">
      <c r="A1048" t="s">
        <v>180</v>
      </c>
      <c r="B1048" t="s">
        <v>520</v>
      </c>
      <c r="C1048" t="s">
        <v>521</v>
      </c>
      <c r="E1048">
        <v>1</v>
      </c>
      <c r="I1048" t="s">
        <v>177</v>
      </c>
    </row>
    <row r="1049" spans="1:41">
      <c r="I1049" t="s">
        <v>178</v>
      </c>
      <c r="J1049">
        <f>IFERROR(VLOOKUP("922-096465-600",B:AB,1+8,0),0)</f>
        <v>0</v>
      </c>
      <c r="K1049">
        <f>IFERROR(VLOOKUP("922-096465-600",B:AB,2+8,0),0)</f>
        <v>0</v>
      </c>
      <c r="L1049">
        <f>IFERROR(VLOOKUP("922-096465-600",B:AB,3+8,0),0)</f>
        <v>0</v>
      </c>
      <c r="M1049">
        <f>IFERROR(VLOOKUP("922-096465-600",B:AB,4+8,0),0)</f>
        <v>0</v>
      </c>
      <c r="N1049">
        <f>IFERROR(VLOOKUP("922-096465-600",B:AB,5+8,0),0)</f>
        <v>0</v>
      </c>
      <c r="O1049">
        <f>IFERROR(VLOOKUP("922-096465-600",B:AB,6+8,0),0)</f>
        <v>0</v>
      </c>
      <c r="P1049">
        <f>IFERROR(VLOOKUP("922-096465-600",B:AB,7+8,0),0)</f>
        <v>0</v>
      </c>
      <c r="Q1049">
        <f>IFERROR(VLOOKUP("922-096465-600",B:AB,8+8,0),0)</f>
        <v>0</v>
      </c>
      <c r="R1049">
        <f>IFERROR(VLOOKUP("922-096465-600",B:AB,9+8,0),0)</f>
        <v>0</v>
      </c>
      <c r="S1049">
        <f>IFERROR(VLOOKUP("922-096465-600",B:AB,10+8,0),0)</f>
        <v>0</v>
      </c>
      <c r="T1049">
        <f>IFERROR(VLOOKUP("922-096465-600",B:AB,11+8,0),0)</f>
        <v>0</v>
      </c>
      <c r="U1049">
        <f>IFERROR(VLOOKUP("922-096465-600",B:AB,12+8,0),0)</f>
        <v>0</v>
      </c>
      <c r="V1049">
        <f>IFERROR(VLOOKUP("922-096465-600",B:AB,13+8,0),0)</f>
        <v>0</v>
      </c>
      <c r="W1049">
        <f>IFERROR(VLOOKUP("922-096465-600",B:AB,14+8,0),0)</f>
        <v>0</v>
      </c>
      <c r="X1049">
        <f>IFERROR(VLOOKUP("922-096465-600",B:AB,15+8,0),0)</f>
        <v>0</v>
      </c>
      <c r="Y1049">
        <f>IFERROR(VLOOKUP("922-096465-600",B:AB,16+8,0),0)</f>
        <v>0</v>
      </c>
      <c r="Z1049">
        <f>IFERROR(VLOOKUP("922-096465-600",B:AB,17+8,0),0)</f>
        <v>0</v>
      </c>
      <c r="AA1049">
        <f>IFERROR(VLOOKUP("922-096465-600",B:AB,18+8,0),0)</f>
        <v>0</v>
      </c>
      <c r="AB1049">
        <f>IFERROR(VLOOKUP("922-096465-600",B:AB,19+8,0),0)</f>
        <v>0</v>
      </c>
      <c r="AC1049">
        <f>IFERROR(VLOOKUP("922-096465-600",B:AB,20+8,0),0)</f>
        <v>0</v>
      </c>
      <c r="AD1049">
        <f>IFERROR(VLOOKUP("922-096465-600",B:AB,21+8,0),0)</f>
        <v>0</v>
      </c>
      <c r="AE1049">
        <f>IFERROR(VLOOKUP("922-096465-600",B:AB,22+8,0),0)</f>
        <v>0</v>
      </c>
      <c r="AF1049">
        <f>IFERROR(VLOOKUP("922-096465-600",B:AB,23+8,0),0)</f>
        <v>0</v>
      </c>
      <c r="AG1049">
        <f>IFERROR(VLOOKUP("922-096465-600",B:AB,24+8,0),0)</f>
        <v>0</v>
      </c>
      <c r="AH1049">
        <f>IFERROR(VLOOKUP("922-096465-600",B:AB,25+8,0),0)</f>
        <v>0</v>
      </c>
      <c r="AI1049">
        <f>IFERROR(VLOOKUP("922-096465-600",B:AB,26+8,0),0)</f>
        <v>0</v>
      </c>
      <c r="AJ1049">
        <f>IFERROR(VLOOKUP("922-096465-600",B:AB,27+8,0),0)</f>
        <v>0</v>
      </c>
      <c r="AK1049">
        <f>IFERROR(VLOOKUP("922-096465-600",B:AB,28+8,0),0)</f>
        <v>0</v>
      </c>
      <c r="AL1049">
        <f>IFERROR(VLOOKUP("922-096465-600",B:AB,29+8,0),0)</f>
        <v>0</v>
      </c>
      <c r="AM1049">
        <f>IFERROR(VLOOKUP("922-096465-600",B:AB,30+8,0),0)</f>
        <v>0</v>
      </c>
      <c r="AN1049">
        <f>IFERROR(VLOOKUP("922-096465-600",B:AB,31+8,0),0)</f>
        <v>0</v>
      </c>
      <c r="AO1049">
        <f>SUN(INDIRECT(ADDRESS(1048,8)):INDIRECT(ADDRESS(1048,39)))</f>
        <v>0</v>
      </c>
    </row>
    <row r="1050" spans="1:41">
      <c r="H1050" t="s">
        <v>179</v>
      </c>
      <c r="J1050">
        <f>INDIRECT(ADDRESS(1050,9))+INDIRECT(ADDRESS(1048,10))-INDIRECT(ADDRESS(1049,10))</f>
        <v>0</v>
      </c>
      <c r="K1050">
        <f>INDIRECT(ADDRESS(1050,10))+INDIRECT(ADDRESS(1048,11))-INDIRECT(ADDRESS(1049,11))</f>
        <v>0</v>
      </c>
      <c r="L1050">
        <f>INDIRECT(ADDRESS(1050,11))+INDIRECT(ADDRESS(1048,12))-INDIRECT(ADDRESS(1049,12))</f>
        <v>0</v>
      </c>
      <c r="M1050">
        <f>INDIRECT(ADDRESS(1050,12))+INDIRECT(ADDRESS(1048,13))-INDIRECT(ADDRESS(1049,13))</f>
        <v>0</v>
      </c>
      <c r="N1050">
        <f>INDIRECT(ADDRESS(1050,13))+INDIRECT(ADDRESS(1048,14))-INDIRECT(ADDRESS(1049,14))</f>
        <v>0</v>
      </c>
      <c r="O1050">
        <f>INDIRECT(ADDRESS(1050,14))+INDIRECT(ADDRESS(1048,15))-INDIRECT(ADDRESS(1049,15))</f>
        <v>0</v>
      </c>
      <c r="P1050">
        <f>INDIRECT(ADDRESS(1050,15))+INDIRECT(ADDRESS(1048,16))-INDIRECT(ADDRESS(1049,16))</f>
        <v>0</v>
      </c>
      <c r="Q1050">
        <f>INDIRECT(ADDRESS(1050,16))+INDIRECT(ADDRESS(1048,17))-INDIRECT(ADDRESS(1049,17))</f>
        <v>0</v>
      </c>
      <c r="R1050">
        <f>INDIRECT(ADDRESS(1050,17))+INDIRECT(ADDRESS(1048,18))-INDIRECT(ADDRESS(1049,18))</f>
        <v>0</v>
      </c>
      <c r="S1050">
        <f>INDIRECT(ADDRESS(1050,18))+INDIRECT(ADDRESS(1048,19))-INDIRECT(ADDRESS(1049,19))</f>
        <v>0</v>
      </c>
      <c r="T1050">
        <f>INDIRECT(ADDRESS(1050,19))+INDIRECT(ADDRESS(1048,20))-INDIRECT(ADDRESS(1049,20))</f>
        <v>0</v>
      </c>
      <c r="U1050">
        <f>INDIRECT(ADDRESS(1050,20))+INDIRECT(ADDRESS(1048,21))-INDIRECT(ADDRESS(1049,21))</f>
        <v>0</v>
      </c>
      <c r="V1050">
        <f>INDIRECT(ADDRESS(1050,21))+INDIRECT(ADDRESS(1048,22))-INDIRECT(ADDRESS(1049,22))</f>
        <v>0</v>
      </c>
      <c r="W1050">
        <f>INDIRECT(ADDRESS(1050,22))+INDIRECT(ADDRESS(1048,23))-INDIRECT(ADDRESS(1049,23))</f>
        <v>0</v>
      </c>
      <c r="X1050">
        <f>INDIRECT(ADDRESS(1050,23))+INDIRECT(ADDRESS(1048,24))-INDIRECT(ADDRESS(1049,24))</f>
        <v>0</v>
      </c>
      <c r="Y1050">
        <f>INDIRECT(ADDRESS(1050,24))+INDIRECT(ADDRESS(1048,25))-INDIRECT(ADDRESS(1049,25))</f>
        <v>0</v>
      </c>
      <c r="Z1050">
        <f>INDIRECT(ADDRESS(1050,25))+INDIRECT(ADDRESS(1048,26))-INDIRECT(ADDRESS(1049,26))</f>
        <v>0</v>
      </c>
      <c r="AA1050">
        <f>INDIRECT(ADDRESS(1050,26))+INDIRECT(ADDRESS(1048,27))-INDIRECT(ADDRESS(1049,27))</f>
        <v>0</v>
      </c>
      <c r="AB1050">
        <f>INDIRECT(ADDRESS(1050,27))+INDIRECT(ADDRESS(1048,28))-INDIRECT(ADDRESS(1049,28))</f>
        <v>0</v>
      </c>
      <c r="AC1050">
        <f>INDIRECT(ADDRESS(1050,28))+INDIRECT(ADDRESS(1048,29))-INDIRECT(ADDRESS(1049,29))</f>
        <v>0</v>
      </c>
      <c r="AD1050">
        <f>INDIRECT(ADDRESS(1050,29))+INDIRECT(ADDRESS(1048,30))-INDIRECT(ADDRESS(1049,30))</f>
        <v>0</v>
      </c>
      <c r="AE1050">
        <f>INDIRECT(ADDRESS(1050,30))+INDIRECT(ADDRESS(1048,31))-INDIRECT(ADDRESS(1049,31))</f>
        <v>0</v>
      </c>
      <c r="AF1050">
        <f>INDIRECT(ADDRESS(1050,31))+INDIRECT(ADDRESS(1048,32))-INDIRECT(ADDRESS(1049,32))</f>
        <v>0</v>
      </c>
      <c r="AG1050">
        <f>INDIRECT(ADDRESS(1050,32))+INDIRECT(ADDRESS(1048,33))-INDIRECT(ADDRESS(1049,33))</f>
        <v>0</v>
      </c>
      <c r="AH1050">
        <f>INDIRECT(ADDRESS(1050,33))+INDIRECT(ADDRESS(1048,34))-INDIRECT(ADDRESS(1049,34))</f>
        <v>0</v>
      </c>
      <c r="AI1050">
        <f>INDIRECT(ADDRESS(1050,34))+INDIRECT(ADDRESS(1048,35))-INDIRECT(ADDRESS(1049,35))</f>
        <v>0</v>
      </c>
      <c r="AJ1050">
        <f>INDIRECT(ADDRESS(1050,35))+INDIRECT(ADDRESS(1048,36))-INDIRECT(ADDRESS(1049,36))</f>
        <v>0</v>
      </c>
      <c r="AK1050">
        <f>INDIRECT(ADDRESS(1050,36))+INDIRECT(ADDRESS(1048,37))-INDIRECT(ADDRESS(1049,37))</f>
        <v>0</v>
      </c>
      <c r="AL1050">
        <f>INDIRECT(ADDRESS(1050,37))+INDIRECT(ADDRESS(1048,38))-INDIRECT(ADDRESS(1049,38))</f>
        <v>0</v>
      </c>
      <c r="AM1050">
        <f>INDIRECT(ADDRESS(1050,38))+INDIRECT(ADDRESS(1048,39))-INDIRECT(ADDRESS(1049,39))</f>
        <v>0</v>
      </c>
      <c r="AN1050">
        <f>INDIRECT(ADDRESS(1050,39))+INDIRECT(ADDRESS(1048,40))-INDIRECT(ADDRESS(1049,40))</f>
        <v>0</v>
      </c>
      <c r="AO1050">
        <f>SUM(INDIRECT(ADDRESS(1049,8)):INDIRECT(ADDRESS(1049,39)))</f>
        <v>0</v>
      </c>
    </row>
    <row r="1051" spans="1:41">
      <c r="A1051" t="s">
        <v>185</v>
      </c>
      <c r="B1051" t="s">
        <v>538</v>
      </c>
      <c r="C1051" t="s">
        <v>539</v>
      </c>
      <c r="E1051">
        <v>1</v>
      </c>
      <c r="I1051" t="s">
        <v>177</v>
      </c>
    </row>
    <row r="1052" spans="1:41">
      <c r="I1052" t="s">
        <v>178</v>
      </c>
      <c r="J1052">
        <f>IFERROR(VLOOKUP("922-096465-600",B:AB,1+8,0),0)</f>
        <v>0</v>
      </c>
      <c r="K1052">
        <f>IFERROR(VLOOKUP("922-096465-600",B:AB,2+8,0),0)</f>
        <v>0</v>
      </c>
      <c r="L1052">
        <f>IFERROR(VLOOKUP("922-096465-600",B:AB,3+8,0),0)</f>
        <v>0</v>
      </c>
      <c r="M1052">
        <f>IFERROR(VLOOKUP("922-096465-600",B:AB,4+8,0),0)</f>
        <v>0</v>
      </c>
      <c r="N1052">
        <f>IFERROR(VLOOKUP("922-096465-600",B:AB,5+8,0),0)</f>
        <v>0</v>
      </c>
      <c r="O1052">
        <f>IFERROR(VLOOKUP("922-096465-600",B:AB,6+8,0),0)</f>
        <v>0</v>
      </c>
      <c r="P1052">
        <f>IFERROR(VLOOKUP("922-096465-600",B:AB,7+8,0),0)</f>
        <v>0</v>
      </c>
      <c r="Q1052">
        <f>IFERROR(VLOOKUP("922-096465-600",B:AB,8+8,0),0)</f>
        <v>0</v>
      </c>
      <c r="R1052">
        <f>IFERROR(VLOOKUP("922-096465-600",B:AB,9+8,0),0)</f>
        <v>0</v>
      </c>
      <c r="S1052">
        <f>IFERROR(VLOOKUP("922-096465-600",B:AB,10+8,0),0)</f>
        <v>0</v>
      </c>
      <c r="T1052">
        <f>IFERROR(VLOOKUP("922-096465-600",B:AB,11+8,0),0)</f>
        <v>0</v>
      </c>
      <c r="U1052">
        <f>IFERROR(VLOOKUP("922-096465-600",B:AB,12+8,0),0)</f>
        <v>0</v>
      </c>
      <c r="V1052">
        <f>IFERROR(VLOOKUP("922-096465-600",B:AB,13+8,0),0)</f>
        <v>0</v>
      </c>
      <c r="W1052">
        <f>IFERROR(VLOOKUP("922-096465-600",B:AB,14+8,0),0)</f>
        <v>0</v>
      </c>
      <c r="X1052">
        <f>IFERROR(VLOOKUP("922-096465-600",B:AB,15+8,0),0)</f>
        <v>0</v>
      </c>
      <c r="Y1052">
        <f>IFERROR(VLOOKUP("922-096465-600",B:AB,16+8,0),0)</f>
        <v>0</v>
      </c>
      <c r="Z1052">
        <f>IFERROR(VLOOKUP("922-096465-600",B:AB,17+8,0),0)</f>
        <v>0</v>
      </c>
      <c r="AA1052">
        <f>IFERROR(VLOOKUP("922-096465-600",B:AB,18+8,0),0)</f>
        <v>0</v>
      </c>
      <c r="AB1052">
        <f>IFERROR(VLOOKUP("922-096465-600",B:AB,19+8,0),0)</f>
        <v>0</v>
      </c>
      <c r="AC1052">
        <f>IFERROR(VLOOKUP("922-096465-600",B:AB,20+8,0),0)</f>
        <v>0</v>
      </c>
      <c r="AD1052">
        <f>IFERROR(VLOOKUP("922-096465-600",B:AB,21+8,0),0)</f>
        <v>0</v>
      </c>
      <c r="AE1052">
        <f>IFERROR(VLOOKUP("922-096465-600",B:AB,22+8,0),0)</f>
        <v>0</v>
      </c>
      <c r="AF1052">
        <f>IFERROR(VLOOKUP("922-096465-600",B:AB,23+8,0),0)</f>
        <v>0</v>
      </c>
      <c r="AG1052">
        <f>IFERROR(VLOOKUP("922-096465-600",B:AB,24+8,0),0)</f>
        <v>0</v>
      </c>
      <c r="AH1052">
        <f>IFERROR(VLOOKUP("922-096465-600",B:AB,25+8,0),0)</f>
        <v>0</v>
      </c>
      <c r="AI1052">
        <f>IFERROR(VLOOKUP("922-096465-600",B:AB,26+8,0),0)</f>
        <v>0</v>
      </c>
      <c r="AJ1052">
        <f>IFERROR(VLOOKUP("922-096465-600",B:AB,27+8,0),0)</f>
        <v>0</v>
      </c>
      <c r="AK1052">
        <f>IFERROR(VLOOKUP("922-096465-600",B:AB,28+8,0),0)</f>
        <v>0</v>
      </c>
      <c r="AL1052">
        <f>IFERROR(VLOOKUP("922-096465-600",B:AB,29+8,0),0)</f>
        <v>0</v>
      </c>
      <c r="AM1052">
        <f>IFERROR(VLOOKUP("922-096465-600",B:AB,30+8,0),0)</f>
        <v>0</v>
      </c>
      <c r="AN1052">
        <f>IFERROR(VLOOKUP("922-096465-600",B:AB,31+8,0),0)</f>
        <v>0</v>
      </c>
      <c r="AO1052">
        <f>SUN(INDIRECT(ADDRESS(1051,8)):INDIRECT(ADDRESS(1051,39)))</f>
        <v>0</v>
      </c>
    </row>
    <row r="1053" spans="1:41">
      <c r="H1053" t="s">
        <v>179</v>
      </c>
      <c r="J1053">
        <f>INDIRECT(ADDRESS(1053,9))+INDIRECT(ADDRESS(1051,10))-INDIRECT(ADDRESS(1052,10))</f>
        <v>0</v>
      </c>
      <c r="K1053">
        <f>INDIRECT(ADDRESS(1053,10))+INDIRECT(ADDRESS(1051,11))-INDIRECT(ADDRESS(1052,11))</f>
        <v>0</v>
      </c>
      <c r="L1053">
        <f>INDIRECT(ADDRESS(1053,11))+INDIRECT(ADDRESS(1051,12))-INDIRECT(ADDRESS(1052,12))</f>
        <v>0</v>
      </c>
      <c r="M1053">
        <f>INDIRECT(ADDRESS(1053,12))+INDIRECT(ADDRESS(1051,13))-INDIRECT(ADDRESS(1052,13))</f>
        <v>0</v>
      </c>
      <c r="N1053">
        <f>INDIRECT(ADDRESS(1053,13))+INDIRECT(ADDRESS(1051,14))-INDIRECT(ADDRESS(1052,14))</f>
        <v>0</v>
      </c>
      <c r="O1053">
        <f>INDIRECT(ADDRESS(1053,14))+INDIRECT(ADDRESS(1051,15))-INDIRECT(ADDRESS(1052,15))</f>
        <v>0</v>
      </c>
      <c r="P1053">
        <f>INDIRECT(ADDRESS(1053,15))+INDIRECT(ADDRESS(1051,16))-INDIRECT(ADDRESS(1052,16))</f>
        <v>0</v>
      </c>
      <c r="Q1053">
        <f>INDIRECT(ADDRESS(1053,16))+INDIRECT(ADDRESS(1051,17))-INDIRECT(ADDRESS(1052,17))</f>
        <v>0</v>
      </c>
      <c r="R1053">
        <f>INDIRECT(ADDRESS(1053,17))+INDIRECT(ADDRESS(1051,18))-INDIRECT(ADDRESS(1052,18))</f>
        <v>0</v>
      </c>
      <c r="S1053">
        <f>INDIRECT(ADDRESS(1053,18))+INDIRECT(ADDRESS(1051,19))-INDIRECT(ADDRESS(1052,19))</f>
        <v>0</v>
      </c>
      <c r="T1053">
        <f>INDIRECT(ADDRESS(1053,19))+INDIRECT(ADDRESS(1051,20))-INDIRECT(ADDRESS(1052,20))</f>
        <v>0</v>
      </c>
      <c r="U1053">
        <f>INDIRECT(ADDRESS(1053,20))+INDIRECT(ADDRESS(1051,21))-INDIRECT(ADDRESS(1052,21))</f>
        <v>0</v>
      </c>
      <c r="V1053">
        <f>INDIRECT(ADDRESS(1053,21))+INDIRECT(ADDRESS(1051,22))-INDIRECT(ADDRESS(1052,22))</f>
        <v>0</v>
      </c>
      <c r="W1053">
        <f>INDIRECT(ADDRESS(1053,22))+INDIRECT(ADDRESS(1051,23))-INDIRECT(ADDRESS(1052,23))</f>
        <v>0</v>
      </c>
      <c r="X1053">
        <f>INDIRECT(ADDRESS(1053,23))+INDIRECT(ADDRESS(1051,24))-INDIRECT(ADDRESS(1052,24))</f>
        <v>0</v>
      </c>
      <c r="Y1053">
        <f>INDIRECT(ADDRESS(1053,24))+INDIRECT(ADDRESS(1051,25))-INDIRECT(ADDRESS(1052,25))</f>
        <v>0</v>
      </c>
      <c r="Z1053">
        <f>INDIRECT(ADDRESS(1053,25))+INDIRECT(ADDRESS(1051,26))-INDIRECT(ADDRESS(1052,26))</f>
        <v>0</v>
      </c>
      <c r="AA1053">
        <f>INDIRECT(ADDRESS(1053,26))+INDIRECT(ADDRESS(1051,27))-INDIRECT(ADDRESS(1052,27))</f>
        <v>0</v>
      </c>
      <c r="AB1053">
        <f>INDIRECT(ADDRESS(1053,27))+INDIRECT(ADDRESS(1051,28))-INDIRECT(ADDRESS(1052,28))</f>
        <v>0</v>
      </c>
      <c r="AC1053">
        <f>INDIRECT(ADDRESS(1053,28))+INDIRECT(ADDRESS(1051,29))-INDIRECT(ADDRESS(1052,29))</f>
        <v>0</v>
      </c>
      <c r="AD1053">
        <f>INDIRECT(ADDRESS(1053,29))+INDIRECT(ADDRESS(1051,30))-INDIRECT(ADDRESS(1052,30))</f>
        <v>0</v>
      </c>
      <c r="AE1053">
        <f>INDIRECT(ADDRESS(1053,30))+INDIRECT(ADDRESS(1051,31))-INDIRECT(ADDRESS(1052,31))</f>
        <v>0</v>
      </c>
      <c r="AF1053">
        <f>INDIRECT(ADDRESS(1053,31))+INDIRECT(ADDRESS(1051,32))-INDIRECT(ADDRESS(1052,32))</f>
        <v>0</v>
      </c>
      <c r="AG1053">
        <f>INDIRECT(ADDRESS(1053,32))+INDIRECT(ADDRESS(1051,33))-INDIRECT(ADDRESS(1052,33))</f>
        <v>0</v>
      </c>
      <c r="AH1053">
        <f>INDIRECT(ADDRESS(1053,33))+INDIRECT(ADDRESS(1051,34))-INDIRECT(ADDRESS(1052,34))</f>
        <v>0</v>
      </c>
      <c r="AI1053">
        <f>INDIRECT(ADDRESS(1053,34))+INDIRECT(ADDRESS(1051,35))-INDIRECT(ADDRESS(1052,35))</f>
        <v>0</v>
      </c>
      <c r="AJ1053">
        <f>INDIRECT(ADDRESS(1053,35))+INDIRECT(ADDRESS(1051,36))-INDIRECT(ADDRESS(1052,36))</f>
        <v>0</v>
      </c>
      <c r="AK1053">
        <f>INDIRECT(ADDRESS(1053,36))+INDIRECT(ADDRESS(1051,37))-INDIRECT(ADDRESS(1052,37))</f>
        <v>0</v>
      </c>
      <c r="AL1053">
        <f>INDIRECT(ADDRESS(1053,37))+INDIRECT(ADDRESS(1051,38))-INDIRECT(ADDRESS(1052,38))</f>
        <v>0</v>
      </c>
      <c r="AM1053">
        <f>INDIRECT(ADDRESS(1053,38))+INDIRECT(ADDRESS(1051,39))-INDIRECT(ADDRESS(1052,39))</f>
        <v>0</v>
      </c>
      <c r="AN1053">
        <f>INDIRECT(ADDRESS(1053,39))+INDIRECT(ADDRESS(1051,40))-INDIRECT(ADDRESS(1052,40))</f>
        <v>0</v>
      </c>
      <c r="AO1053">
        <f>SUM(INDIRECT(ADDRESS(1052,8)):INDIRECT(ADDRESS(1052,39)))</f>
        <v>0</v>
      </c>
    </row>
    <row r="1054" spans="1:41">
      <c r="A1054" t="s">
        <v>206</v>
      </c>
      <c r="B1054" t="s">
        <v>540</v>
      </c>
      <c r="C1054" t="s">
        <v>541</v>
      </c>
      <c r="E1054">
        <v>0.05</v>
      </c>
      <c r="I1054" t="s">
        <v>177</v>
      </c>
    </row>
    <row r="1055" spans="1:41">
      <c r="I1055" t="s">
        <v>178</v>
      </c>
      <c r="J1055">
        <f>IFERROR(VLOOKUP("922-096465-600",B:AB,1+8,0),0)</f>
        <v>0</v>
      </c>
      <c r="K1055">
        <f>IFERROR(VLOOKUP("922-096465-600",B:AB,2+8,0),0)</f>
        <v>0</v>
      </c>
      <c r="L1055">
        <f>IFERROR(VLOOKUP("922-096465-600",B:AB,3+8,0),0)</f>
        <v>0</v>
      </c>
      <c r="M1055">
        <f>IFERROR(VLOOKUP("922-096465-600",B:AB,4+8,0),0)</f>
        <v>0</v>
      </c>
      <c r="N1055">
        <f>IFERROR(VLOOKUP("922-096465-600",B:AB,5+8,0),0)</f>
        <v>0</v>
      </c>
      <c r="O1055">
        <f>IFERROR(VLOOKUP("922-096465-600",B:AB,6+8,0),0)</f>
        <v>0</v>
      </c>
      <c r="P1055">
        <f>IFERROR(VLOOKUP("922-096465-600",B:AB,7+8,0),0)</f>
        <v>0</v>
      </c>
      <c r="Q1055">
        <f>IFERROR(VLOOKUP("922-096465-600",B:AB,8+8,0),0)</f>
        <v>0</v>
      </c>
      <c r="R1055">
        <f>IFERROR(VLOOKUP("922-096465-600",B:AB,9+8,0),0)</f>
        <v>0</v>
      </c>
      <c r="S1055">
        <f>IFERROR(VLOOKUP("922-096465-600",B:AB,10+8,0),0)</f>
        <v>0</v>
      </c>
      <c r="T1055">
        <f>IFERROR(VLOOKUP("922-096465-600",B:AB,11+8,0),0)</f>
        <v>0</v>
      </c>
      <c r="U1055">
        <f>IFERROR(VLOOKUP("922-096465-600",B:AB,12+8,0),0)</f>
        <v>0</v>
      </c>
      <c r="V1055">
        <f>IFERROR(VLOOKUP("922-096465-600",B:AB,13+8,0),0)</f>
        <v>0</v>
      </c>
      <c r="W1055">
        <f>IFERROR(VLOOKUP("922-096465-600",B:AB,14+8,0),0)</f>
        <v>0</v>
      </c>
      <c r="X1055">
        <f>IFERROR(VLOOKUP("922-096465-600",B:AB,15+8,0),0)</f>
        <v>0</v>
      </c>
      <c r="Y1055">
        <f>IFERROR(VLOOKUP("922-096465-600",B:AB,16+8,0),0)</f>
        <v>0</v>
      </c>
      <c r="Z1055">
        <f>IFERROR(VLOOKUP("922-096465-600",B:AB,17+8,0),0)</f>
        <v>0</v>
      </c>
      <c r="AA1055">
        <f>IFERROR(VLOOKUP("922-096465-600",B:AB,18+8,0),0)</f>
        <v>0</v>
      </c>
      <c r="AB1055">
        <f>IFERROR(VLOOKUP("922-096465-600",B:AB,19+8,0),0)</f>
        <v>0</v>
      </c>
      <c r="AC1055">
        <f>IFERROR(VLOOKUP("922-096465-600",B:AB,20+8,0),0)</f>
        <v>0</v>
      </c>
      <c r="AD1055">
        <f>IFERROR(VLOOKUP("922-096465-600",B:AB,21+8,0),0)</f>
        <v>0</v>
      </c>
      <c r="AE1055">
        <f>IFERROR(VLOOKUP("922-096465-600",B:AB,22+8,0),0)</f>
        <v>0</v>
      </c>
      <c r="AF1055">
        <f>IFERROR(VLOOKUP("922-096465-600",B:AB,23+8,0),0)</f>
        <v>0</v>
      </c>
      <c r="AG1055">
        <f>IFERROR(VLOOKUP("922-096465-600",B:AB,24+8,0),0)</f>
        <v>0</v>
      </c>
      <c r="AH1055">
        <f>IFERROR(VLOOKUP("922-096465-600",B:AB,25+8,0),0)</f>
        <v>0</v>
      </c>
      <c r="AI1055">
        <f>IFERROR(VLOOKUP("922-096465-600",B:AB,26+8,0),0)</f>
        <v>0</v>
      </c>
      <c r="AJ1055">
        <f>IFERROR(VLOOKUP("922-096465-600",B:AB,27+8,0),0)</f>
        <v>0</v>
      </c>
      <c r="AK1055">
        <f>IFERROR(VLOOKUP("922-096465-600",B:AB,28+8,0),0)</f>
        <v>0</v>
      </c>
      <c r="AL1055">
        <f>IFERROR(VLOOKUP("922-096465-600",B:AB,29+8,0),0)</f>
        <v>0</v>
      </c>
      <c r="AM1055">
        <f>IFERROR(VLOOKUP("922-096465-600",B:AB,30+8,0),0)</f>
        <v>0</v>
      </c>
      <c r="AN1055">
        <f>IFERROR(VLOOKUP("922-096465-600",B:AB,31+8,0),0)</f>
        <v>0</v>
      </c>
      <c r="AO1055">
        <f>SUN(INDIRECT(ADDRESS(1054,8)):INDIRECT(ADDRESS(1054,39)))</f>
        <v>0</v>
      </c>
    </row>
    <row r="1056" spans="1:41">
      <c r="H1056" t="s">
        <v>179</v>
      </c>
      <c r="J1056">
        <f>INDIRECT(ADDRESS(1056,9))+INDIRECT(ADDRESS(1054,10))-INDIRECT(ADDRESS(1055,10))</f>
        <v>0</v>
      </c>
      <c r="K1056">
        <f>INDIRECT(ADDRESS(1056,10))+INDIRECT(ADDRESS(1054,11))-INDIRECT(ADDRESS(1055,11))</f>
        <v>0</v>
      </c>
      <c r="L1056">
        <f>INDIRECT(ADDRESS(1056,11))+INDIRECT(ADDRESS(1054,12))-INDIRECT(ADDRESS(1055,12))</f>
        <v>0</v>
      </c>
      <c r="M1056">
        <f>INDIRECT(ADDRESS(1056,12))+INDIRECT(ADDRESS(1054,13))-INDIRECT(ADDRESS(1055,13))</f>
        <v>0</v>
      </c>
      <c r="N1056">
        <f>INDIRECT(ADDRESS(1056,13))+INDIRECT(ADDRESS(1054,14))-INDIRECT(ADDRESS(1055,14))</f>
        <v>0</v>
      </c>
      <c r="O1056">
        <f>INDIRECT(ADDRESS(1056,14))+INDIRECT(ADDRESS(1054,15))-INDIRECT(ADDRESS(1055,15))</f>
        <v>0</v>
      </c>
      <c r="P1056">
        <f>INDIRECT(ADDRESS(1056,15))+INDIRECT(ADDRESS(1054,16))-INDIRECT(ADDRESS(1055,16))</f>
        <v>0</v>
      </c>
      <c r="Q1056">
        <f>INDIRECT(ADDRESS(1056,16))+INDIRECT(ADDRESS(1054,17))-INDIRECT(ADDRESS(1055,17))</f>
        <v>0</v>
      </c>
      <c r="R1056">
        <f>INDIRECT(ADDRESS(1056,17))+INDIRECT(ADDRESS(1054,18))-INDIRECT(ADDRESS(1055,18))</f>
        <v>0</v>
      </c>
      <c r="S1056">
        <f>INDIRECT(ADDRESS(1056,18))+INDIRECT(ADDRESS(1054,19))-INDIRECT(ADDRESS(1055,19))</f>
        <v>0</v>
      </c>
      <c r="T1056">
        <f>INDIRECT(ADDRESS(1056,19))+INDIRECT(ADDRESS(1054,20))-INDIRECT(ADDRESS(1055,20))</f>
        <v>0</v>
      </c>
      <c r="U1056">
        <f>INDIRECT(ADDRESS(1056,20))+INDIRECT(ADDRESS(1054,21))-INDIRECT(ADDRESS(1055,21))</f>
        <v>0</v>
      </c>
      <c r="V1056">
        <f>INDIRECT(ADDRESS(1056,21))+INDIRECT(ADDRESS(1054,22))-INDIRECT(ADDRESS(1055,22))</f>
        <v>0</v>
      </c>
      <c r="W1056">
        <f>INDIRECT(ADDRESS(1056,22))+INDIRECT(ADDRESS(1054,23))-INDIRECT(ADDRESS(1055,23))</f>
        <v>0</v>
      </c>
      <c r="X1056">
        <f>INDIRECT(ADDRESS(1056,23))+INDIRECT(ADDRESS(1054,24))-INDIRECT(ADDRESS(1055,24))</f>
        <v>0</v>
      </c>
      <c r="Y1056">
        <f>INDIRECT(ADDRESS(1056,24))+INDIRECT(ADDRESS(1054,25))-INDIRECT(ADDRESS(1055,25))</f>
        <v>0</v>
      </c>
      <c r="Z1056">
        <f>INDIRECT(ADDRESS(1056,25))+INDIRECT(ADDRESS(1054,26))-INDIRECT(ADDRESS(1055,26))</f>
        <v>0</v>
      </c>
      <c r="AA1056">
        <f>INDIRECT(ADDRESS(1056,26))+INDIRECT(ADDRESS(1054,27))-INDIRECT(ADDRESS(1055,27))</f>
        <v>0</v>
      </c>
      <c r="AB1056">
        <f>INDIRECT(ADDRESS(1056,27))+INDIRECT(ADDRESS(1054,28))-INDIRECT(ADDRESS(1055,28))</f>
        <v>0</v>
      </c>
      <c r="AC1056">
        <f>INDIRECT(ADDRESS(1056,28))+INDIRECT(ADDRESS(1054,29))-INDIRECT(ADDRESS(1055,29))</f>
        <v>0</v>
      </c>
      <c r="AD1056">
        <f>INDIRECT(ADDRESS(1056,29))+INDIRECT(ADDRESS(1054,30))-INDIRECT(ADDRESS(1055,30))</f>
        <v>0</v>
      </c>
      <c r="AE1056">
        <f>INDIRECT(ADDRESS(1056,30))+INDIRECT(ADDRESS(1054,31))-INDIRECT(ADDRESS(1055,31))</f>
        <v>0</v>
      </c>
      <c r="AF1056">
        <f>INDIRECT(ADDRESS(1056,31))+INDIRECT(ADDRESS(1054,32))-INDIRECT(ADDRESS(1055,32))</f>
        <v>0</v>
      </c>
      <c r="AG1056">
        <f>INDIRECT(ADDRESS(1056,32))+INDIRECT(ADDRESS(1054,33))-INDIRECT(ADDRESS(1055,33))</f>
        <v>0</v>
      </c>
      <c r="AH1056">
        <f>INDIRECT(ADDRESS(1056,33))+INDIRECT(ADDRESS(1054,34))-INDIRECT(ADDRESS(1055,34))</f>
        <v>0</v>
      </c>
      <c r="AI1056">
        <f>INDIRECT(ADDRESS(1056,34))+INDIRECT(ADDRESS(1054,35))-INDIRECT(ADDRESS(1055,35))</f>
        <v>0</v>
      </c>
      <c r="AJ1056">
        <f>INDIRECT(ADDRESS(1056,35))+INDIRECT(ADDRESS(1054,36))-INDIRECT(ADDRESS(1055,36))</f>
        <v>0</v>
      </c>
      <c r="AK1056">
        <f>INDIRECT(ADDRESS(1056,36))+INDIRECT(ADDRESS(1054,37))-INDIRECT(ADDRESS(1055,37))</f>
        <v>0</v>
      </c>
      <c r="AL1056">
        <f>INDIRECT(ADDRESS(1056,37))+INDIRECT(ADDRESS(1054,38))-INDIRECT(ADDRESS(1055,38))</f>
        <v>0</v>
      </c>
      <c r="AM1056">
        <f>INDIRECT(ADDRESS(1056,38))+INDIRECT(ADDRESS(1054,39))-INDIRECT(ADDRESS(1055,39))</f>
        <v>0</v>
      </c>
      <c r="AN1056">
        <f>INDIRECT(ADDRESS(1056,39))+INDIRECT(ADDRESS(1054,40))-INDIRECT(ADDRESS(1055,40))</f>
        <v>0</v>
      </c>
      <c r="AO1056">
        <f>SUM(INDIRECT(ADDRESS(1055,8)):INDIRECT(ADDRESS(1055,39)))</f>
        <v>0</v>
      </c>
    </row>
    <row r="1057" spans="1:41">
      <c r="A1057" t="s">
        <v>8</v>
      </c>
      <c r="B1057" t="s">
        <v>87</v>
      </c>
      <c r="C1057" t="s">
        <v>76</v>
      </c>
      <c r="E1057">
        <v>1</v>
      </c>
      <c r="I1057" t="s">
        <v>177</v>
      </c>
    </row>
    <row r="1058" spans="1:41">
      <c r="I1058" t="s">
        <v>178</v>
      </c>
      <c r="J1058">
        <f>IFERROR(VLOOKUP("922-096517-100",Out!B:AB,1+8,0),0)</f>
        <v>0</v>
      </c>
      <c r="K1058">
        <f>IFERROR(VLOOKUP("922-096517-100",Out!B:AB,2+8,0),0)</f>
        <v>0</v>
      </c>
      <c r="L1058">
        <f>IFERROR(VLOOKUP("922-096517-100",Out!B:AB,3+8,0),0)</f>
        <v>0</v>
      </c>
      <c r="M1058">
        <f>IFERROR(VLOOKUP("922-096517-100",Out!B:AB,4+8,0),0)</f>
        <v>0</v>
      </c>
      <c r="N1058">
        <f>IFERROR(VLOOKUP("922-096517-100",Out!B:AB,5+8,0),0)</f>
        <v>0</v>
      </c>
      <c r="O1058">
        <f>IFERROR(VLOOKUP("922-096517-100",Out!B:AB,6+8,0),0)</f>
        <v>0</v>
      </c>
      <c r="P1058">
        <f>IFERROR(VLOOKUP("922-096517-100",Out!B:AB,7+8,0),0)</f>
        <v>0</v>
      </c>
      <c r="Q1058">
        <f>IFERROR(VLOOKUP("922-096517-100",Out!B:AB,8+8,0),0)</f>
        <v>0</v>
      </c>
      <c r="R1058">
        <f>IFERROR(VLOOKUP("922-096517-100",Out!B:AB,9+8,0),0)</f>
        <v>0</v>
      </c>
      <c r="S1058">
        <f>IFERROR(VLOOKUP("922-096517-100",Out!B:AB,10+8,0),0)</f>
        <v>0</v>
      </c>
      <c r="T1058">
        <f>IFERROR(VLOOKUP("922-096517-100",Out!B:AB,11+8,0),0)</f>
        <v>0</v>
      </c>
      <c r="U1058">
        <f>IFERROR(VLOOKUP("922-096517-100",Out!B:AB,12+8,0),0)</f>
        <v>0</v>
      </c>
      <c r="V1058">
        <f>IFERROR(VLOOKUP("922-096517-100",Out!B:AB,13+8,0),0)</f>
        <v>0</v>
      </c>
      <c r="W1058">
        <f>IFERROR(VLOOKUP("922-096517-100",Out!B:AB,14+8,0),0)</f>
        <v>0</v>
      </c>
      <c r="X1058">
        <f>IFERROR(VLOOKUP("922-096517-100",Out!B:AB,15+8,0),0)</f>
        <v>0</v>
      </c>
      <c r="Y1058">
        <f>IFERROR(VLOOKUP("922-096517-100",Out!B:AB,16+8,0),0)</f>
        <v>0</v>
      </c>
      <c r="Z1058">
        <f>IFERROR(VLOOKUP("922-096517-100",Out!B:AB,17+8,0),0)</f>
        <v>0</v>
      </c>
      <c r="AA1058">
        <f>IFERROR(VLOOKUP("922-096517-100",Out!B:AB,18+8,0),0)</f>
        <v>0</v>
      </c>
      <c r="AB1058">
        <f>IFERROR(VLOOKUP("922-096517-100",Out!B:AB,19+8,0),0)</f>
        <v>0</v>
      </c>
      <c r="AC1058">
        <f>IFERROR(VLOOKUP("922-096517-100",Out!B:AB,20+8,0),0)</f>
        <v>0</v>
      </c>
      <c r="AD1058">
        <f>IFERROR(VLOOKUP("922-096517-100",Out!B:AB,21+8,0),0)</f>
        <v>0</v>
      </c>
      <c r="AE1058">
        <f>IFERROR(VLOOKUP("922-096517-100",Out!B:AB,22+8,0),0)</f>
        <v>0</v>
      </c>
      <c r="AF1058">
        <f>IFERROR(VLOOKUP("922-096517-100",Out!B:AB,23+8,0),0)</f>
        <v>0</v>
      </c>
      <c r="AG1058">
        <f>IFERROR(VLOOKUP("922-096517-100",Out!B:AB,24+8,0),0)</f>
        <v>0</v>
      </c>
      <c r="AH1058">
        <f>IFERROR(VLOOKUP("922-096517-100",Out!B:AB,25+8,0),0)</f>
        <v>0</v>
      </c>
      <c r="AI1058">
        <f>IFERROR(VLOOKUP("922-096517-100",Out!B:AB,26+8,0),0)</f>
        <v>0</v>
      </c>
      <c r="AJ1058">
        <f>IFERROR(VLOOKUP("922-096517-100",Out!B:AB,27+8,0),0)</f>
        <v>0</v>
      </c>
      <c r="AK1058">
        <f>IFERROR(VLOOKUP("922-096517-100",Out!B:AB,28+8,0),0)</f>
        <v>0</v>
      </c>
      <c r="AL1058">
        <f>IFERROR(VLOOKUP("922-096517-100",Out!B:AB,29+8,0),0)</f>
        <v>0</v>
      </c>
      <c r="AM1058">
        <f>IFERROR(VLOOKUP("922-096517-100",Out!B:AB,30+8,0),0)</f>
        <v>0</v>
      </c>
      <c r="AN1058">
        <f>IFERROR(VLOOKUP("922-096517-100",Out!B:AB,31+8,0),0)</f>
        <v>0</v>
      </c>
      <c r="AO1058">
        <f>SUN(INDIRECT(ADDRESS(1057,8)):INDIRECT(ADDRESS(1057,39)))</f>
        <v>0</v>
      </c>
    </row>
    <row r="1059" spans="1:41">
      <c r="H1059" t="s">
        <v>179</v>
      </c>
      <c r="J1059">
        <f>INDIRECT(ADDRESS(1059,9))+INDIRECT(ADDRESS(1057,10))-INDIRECT(ADDRESS(1058,10))</f>
        <v>0</v>
      </c>
      <c r="K1059">
        <f>INDIRECT(ADDRESS(1059,10))+INDIRECT(ADDRESS(1057,11))-INDIRECT(ADDRESS(1058,11))</f>
        <v>0</v>
      </c>
      <c r="L1059">
        <f>INDIRECT(ADDRESS(1059,11))+INDIRECT(ADDRESS(1057,12))-INDIRECT(ADDRESS(1058,12))</f>
        <v>0</v>
      </c>
      <c r="M1059">
        <f>INDIRECT(ADDRESS(1059,12))+INDIRECT(ADDRESS(1057,13))-INDIRECT(ADDRESS(1058,13))</f>
        <v>0</v>
      </c>
      <c r="N1059">
        <f>INDIRECT(ADDRESS(1059,13))+INDIRECT(ADDRESS(1057,14))-INDIRECT(ADDRESS(1058,14))</f>
        <v>0</v>
      </c>
      <c r="O1059">
        <f>INDIRECT(ADDRESS(1059,14))+INDIRECT(ADDRESS(1057,15))-INDIRECT(ADDRESS(1058,15))</f>
        <v>0</v>
      </c>
      <c r="P1059">
        <f>INDIRECT(ADDRESS(1059,15))+INDIRECT(ADDRESS(1057,16))-INDIRECT(ADDRESS(1058,16))</f>
        <v>0</v>
      </c>
      <c r="Q1059">
        <f>INDIRECT(ADDRESS(1059,16))+INDIRECT(ADDRESS(1057,17))-INDIRECT(ADDRESS(1058,17))</f>
        <v>0</v>
      </c>
      <c r="R1059">
        <f>INDIRECT(ADDRESS(1059,17))+INDIRECT(ADDRESS(1057,18))-INDIRECT(ADDRESS(1058,18))</f>
        <v>0</v>
      </c>
      <c r="S1059">
        <f>INDIRECT(ADDRESS(1059,18))+INDIRECT(ADDRESS(1057,19))-INDIRECT(ADDRESS(1058,19))</f>
        <v>0</v>
      </c>
      <c r="T1059">
        <f>INDIRECT(ADDRESS(1059,19))+INDIRECT(ADDRESS(1057,20))-INDIRECT(ADDRESS(1058,20))</f>
        <v>0</v>
      </c>
      <c r="U1059">
        <f>INDIRECT(ADDRESS(1059,20))+INDIRECT(ADDRESS(1057,21))-INDIRECT(ADDRESS(1058,21))</f>
        <v>0</v>
      </c>
      <c r="V1059">
        <f>INDIRECT(ADDRESS(1059,21))+INDIRECT(ADDRESS(1057,22))-INDIRECT(ADDRESS(1058,22))</f>
        <v>0</v>
      </c>
      <c r="W1059">
        <f>INDIRECT(ADDRESS(1059,22))+INDIRECT(ADDRESS(1057,23))-INDIRECT(ADDRESS(1058,23))</f>
        <v>0</v>
      </c>
      <c r="X1059">
        <f>INDIRECT(ADDRESS(1059,23))+INDIRECT(ADDRESS(1057,24))-INDIRECT(ADDRESS(1058,24))</f>
        <v>0</v>
      </c>
      <c r="Y1059">
        <f>INDIRECT(ADDRESS(1059,24))+INDIRECT(ADDRESS(1057,25))-INDIRECT(ADDRESS(1058,25))</f>
        <v>0</v>
      </c>
      <c r="Z1059">
        <f>INDIRECT(ADDRESS(1059,25))+INDIRECT(ADDRESS(1057,26))-INDIRECT(ADDRESS(1058,26))</f>
        <v>0</v>
      </c>
      <c r="AA1059">
        <f>INDIRECT(ADDRESS(1059,26))+INDIRECT(ADDRESS(1057,27))-INDIRECT(ADDRESS(1058,27))</f>
        <v>0</v>
      </c>
      <c r="AB1059">
        <f>INDIRECT(ADDRESS(1059,27))+INDIRECT(ADDRESS(1057,28))-INDIRECT(ADDRESS(1058,28))</f>
        <v>0</v>
      </c>
      <c r="AC1059">
        <f>INDIRECT(ADDRESS(1059,28))+INDIRECT(ADDRESS(1057,29))-INDIRECT(ADDRESS(1058,29))</f>
        <v>0</v>
      </c>
      <c r="AD1059">
        <f>INDIRECT(ADDRESS(1059,29))+INDIRECT(ADDRESS(1057,30))-INDIRECT(ADDRESS(1058,30))</f>
        <v>0</v>
      </c>
      <c r="AE1059">
        <f>INDIRECT(ADDRESS(1059,30))+INDIRECT(ADDRESS(1057,31))-INDIRECT(ADDRESS(1058,31))</f>
        <v>0</v>
      </c>
      <c r="AF1059">
        <f>INDIRECT(ADDRESS(1059,31))+INDIRECT(ADDRESS(1057,32))-INDIRECT(ADDRESS(1058,32))</f>
        <v>0</v>
      </c>
      <c r="AG1059">
        <f>INDIRECT(ADDRESS(1059,32))+INDIRECT(ADDRESS(1057,33))-INDIRECT(ADDRESS(1058,33))</f>
        <v>0</v>
      </c>
      <c r="AH1059">
        <f>INDIRECT(ADDRESS(1059,33))+INDIRECT(ADDRESS(1057,34))-INDIRECT(ADDRESS(1058,34))</f>
        <v>0</v>
      </c>
      <c r="AI1059">
        <f>INDIRECT(ADDRESS(1059,34))+INDIRECT(ADDRESS(1057,35))-INDIRECT(ADDRESS(1058,35))</f>
        <v>0</v>
      </c>
      <c r="AJ1059">
        <f>INDIRECT(ADDRESS(1059,35))+INDIRECT(ADDRESS(1057,36))-INDIRECT(ADDRESS(1058,36))</f>
        <v>0</v>
      </c>
      <c r="AK1059">
        <f>INDIRECT(ADDRESS(1059,36))+INDIRECT(ADDRESS(1057,37))-INDIRECT(ADDRESS(1058,37))</f>
        <v>0</v>
      </c>
      <c r="AL1059">
        <f>INDIRECT(ADDRESS(1059,37))+INDIRECT(ADDRESS(1057,38))-INDIRECT(ADDRESS(1058,38))</f>
        <v>0</v>
      </c>
      <c r="AM1059">
        <f>INDIRECT(ADDRESS(1059,38))+INDIRECT(ADDRESS(1057,39))-INDIRECT(ADDRESS(1058,39))</f>
        <v>0</v>
      </c>
      <c r="AN1059">
        <f>INDIRECT(ADDRESS(1059,39))+INDIRECT(ADDRESS(1057,40))-INDIRECT(ADDRESS(1058,40))</f>
        <v>0</v>
      </c>
      <c r="AO1059">
        <f>SUM(INDIRECT(ADDRESS(1058,8)):INDIRECT(ADDRESS(1058,39)))</f>
        <v>0</v>
      </c>
    </row>
    <row r="1060" spans="1:41">
      <c r="A1060" t="s">
        <v>180</v>
      </c>
      <c r="B1060" t="s">
        <v>542</v>
      </c>
      <c r="C1060" t="s">
        <v>543</v>
      </c>
      <c r="E1060">
        <v>1</v>
      </c>
      <c r="I1060" t="s">
        <v>177</v>
      </c>
    </row>
    <row r="1061" spans="1:41">
      <c r="I1061" t="s">
        <v>178</v>
      </c>
      <c r="J1061">
        <f>IFERROR(VLOOKUP("922-096517-100",B:AB,1+8,0),0)</f>
        <v>0</v>
      </c>
      <c r="K1061">
        <f>IFERROR(VLOOKUP("922-096517-100",B:AB,2+8,0),0)</f>
        <v>0</v>
      </c>
      <c r="L1061">
        <f>IFERROR(VLOOKUP("922-096517-100",B:AB,3+8,0),0)</f>
        <v>0</v>
      </c>
      <c r="M1061">
        <f>IFERROR(VLOOKUP("922-096517-100",B:AB,4+8,0),0)</f>
        <v>0</v>
      </c>
      <c r="N1061">
        <f>IFERROR(VLOOKUP("922-096517-100",B:AB,5+8,0),0)</f>
        <v>0</v>
      </c>
      <c r="O1061">
        <f>IFERROR(VLOOKUP("922-096517-100",B:AB,6+8,0),0)</f>
        <v>0</v>
      </c>
      <c r="P1061">
        <f>IFERROR(VLOOKUP("922-096517-100",B:AB,7+8,0),0)</f>
        <v>0</v>
      </c>
      <c r="Q1061">
        <f>IFERROR(VLOOKUP("922-096517-100",B:AB,8+8,0),0)</f>
        <v>0</v>
      </c>
      <c r="R1061">
        <f>IFERROR(VLOOKUP("922-096517-100",B:AB,9+8,0),0)</f>
        <v>0</v>
      </c>
      <c r="S1061">
        <f>IFERROR(VLOOKUP("922-096517-100",B:AB,10+8,0),0)</f>
        <v>0</v>
      </c>
      <c r="T1061">
        <f>IFERROR(VLOOKUP("922-096517-100",B:AB,11+8,0),0)</f>
        <v>0</v>
      </c>
      <c r="U1061">
        <f>IFERROR(VLOOKUP("922-096517-100",B:AB,12+8,0),0)</f>
        <v>0</v>
      </c>
      <c r="V1061">
        <f>IFERROR(VLOOKUP("922-096517-100",B:AB,13+8,0),0)</f>
        <v>0</v>
      </c>
      <c r="W1061">
        <f>IFERROR(VLOOKUP("922-096517-100",B:AB,14+8,0),0)</f>
        <v>0</v>
      </c>
      <c r="X1061">
        <f>IFERROR(VLOOKUP("922-096517-100",B:AB,15+8,0),0)</f>
        <v>0</v>
      </c>
      <c r="Y1061">
        <f>IFERROR(VLOOKUP("922-096517-100",B:AB,16+8,0),0)</f>
        <v>0</v>
      </c>
      <c r="Z1061">
        <f>IFERROR(VLOOKUP("922-096517-100",B:AB,17+8,0),0)</f>
        <v>0</v>
      </c>
      <c r="AA1061">
        <f>IFERROR(VLOOKUP("922-096517-100",B:AB,18+8,0),0)</f>
        <v>0</v>
      </c>
      <c r="AB1061">
        <f>IFERROR(VLOOKUP("922-096517-100",B:AB,19+8,0),0)</f>
        <v>0</v>
      </c>
      <c r="AC1061">
        <f>IFERROR(VLOOKUP("922-096517-100",B:AB,20+8,0),0)</f>
        <v>0</v>
      </c>
      <c r="AD1061">
        <f>IFERROR(VLOOKUP("922-096517-100",B:AB,21+8,0),0)</f>
        <v>0</v>
      </c>
      <c r="AE1061">
        <f>IFERROR(VLOOKUP("922-096517-100",B:AB,22+8,0),0)</f>
        <v>0</v>
      </c>
      <c r="AF1061">
        <f>IFERROR(VLOOKUP("922-096517-100",B:AB,23+8,0),0)</f>
        <v>0</v>
      </c>
      <c r="AG1061">
        <f>IFERROR(VLOOKUP("922-096517-100",B:AB,24+8,0),0)</f>
        <v>0</v>
      </c>
      <c r="AH1061">
        <f>IFERROR(VLOOKUP("922-096517-100",B:AB,25+8,0),0)</f>
        <v>0</v>
      </c>
      <c r="AI1061">
        <f>IFERROR(VLOOKUP("922-096517-100",B:AB,26+8,0),0)</f>
        <v>0</v>
      </c>
      <c r="AJ1061">
        <f>IFERROR(VLOOKUP("922-096517-100",B:AB,27+8,0),0)</f>
        <v>0</v>
      </c>
      <c r="AK1061">
        <f>IFERROR(VLOOKUP("922-096517-100",B:AB,28+8,0),0)</f>
        <v>0</v>
      </c>
      <c r="AL1061">
        <f>IFERROR(VLOOKUP("922-096517-100",B:AB,29+8,0),0)</f>
        <v>0</v>
      </c>
      <c r="AM1061">
        <f>IFERROR(VLOOKUP("922-096517-100",B:AB,30+8,0),0)</f>
        <v>0</v>
      </c>
      <c r="AN1061">
        <f>IFERROR(VLOOKUP("922-096517-100",B:AB,31+8,0),0)</f>
        <v>0</v>
      </c>
      <c r="AO1061">
        <f>SUN(INDIRECT(ADDRESS(1060,8)):INDIRECT(ADDRESS(1060,39)))</f>
        <v>0</v>
      </c>
    </row>
    <row r="1062" spans="1:41">
      <c r="H1062" t="s">
        <v>179</v>
      </c>
      <c r="J1062">
        <f>INDIRECT(ADDRESS(1062,9))+INDIRECT(ADDRESS(1060,10))-INDIRECT(ADDRESS(1061,10))</f>
        <v>0</v>
      </c>
      <c r="K1062">
        <f>INDIRECT(ADDRESS(1062,10))+INDIRECT(ADDRESS(1060,11))-INDIRECT(ADDRESS(1061,11))</f>
        <v>0</v>
      </c>
      <c r="L1062">
        <f>INDIRECT(ADDRESS(1062,11))+INDIRECT(ADDRESS(1060,12))-INDIRECT(ADDRESS(1061,12))</f>
        <v>0</v>
      </c>
      <c r="M1062">
        <f>INDIRECT(ADDRESS(1062,12))+INDIRECT(ADDRESS(1060,13))-INDIRECT(ADDRESS(1061,13))</f>
        <v>0</v>
      </c>
      <c r="N1062">
        <f>INDIRECT(ADDRESS(1062,13))+INDIRECT(ADDRESS(1060,14))-INDIRECT(ADDRESS(1061,14))</f>
        <v>0</v>
      </c>
      <c r="O1062">
        <f>INDIRECT(ADDRESS(1062,14))+INDIRECT(ADDRESS(1060,15))-INDIRECT(ADDRESS(1061,15))</f>
        <v>0</v>
      </c>
      <c r="P1062">
        <f>INDIRECT(ADDRESS(1062,15))+INDIRECT(ADDRESS(1060,16))-INDIRECT(ADDRESS(1061,16))</f>
        <v>0</v>
      </c>
      <c r="Q1062">
        <f>INDIRECT(ADDRESS(1062,16))+INDIRECT(ADDRESS(1060,17))-INDIRECT(ADDRESS(1061,17))</f>
        <v>0</v>
      </c>
      <c r="R1062">
        <f>INDIRECT(ADDRESS(1062,17))+INDIRECT(ADDRESS(1060,18))-INDIRECT(ADDRESS(1061,18))</f>
        <v>0</v>
      </c>
      <c r="S1062">
        <f>INDIRECT(ADDRESS(1062,18))+INDIRECT(ADDRESS(1060,19))-INDIRECT(ADDRESS(1061,19))</f>
        <v>0</v>
      </c>
      <c r="T1062">
        <f>INDIRECT(ADDRESS(1062,19))+INDIRECT(ADDRESS(1060,20))-INDIRECT(ADDRESS(1061,20))</f>
        <v>0</v>
      </c>
      <c r="U1062">
        <f>INDIRECT(ADDRESS(1062,20))+INDIRECT(ADDRESS(1060,21))-INDIRECT(ADDRESS(1061,21))</f>
        <v>0</v>
      </c>
      <c r="V1062">
        <f>INDIRECT(ADDRESS(1062,21))+INDIRECT(ADDRESS(1060,22))-INDIRECT(ADDRESS(1061,22))</f>
        <v>0</v>
      </c>
      <c r="W1062">
        <f>INDIRECT(ADDRESS(1062,22))+INDIRECT(ADDRESS(1060,23))-INDIRECT(ADDRESS(1061,23))</f>
        <v>0</v>
      </c>
      <c r="X1062">
        <f>INDIRECT(ADDRESS(1062,23))+INDIRECT(ADDRESS(1060,24))-INDIRECT(ADDRESS(1061,24))</f>
        <v>0</v>
      </c>
      <c r="Y1062">
        <f>INDIRECT(ADDRESS(1062,24))+INDIRECT(ADDRESS(1060,25))-INDIRECT(ADDRESS(1061,25))</f>
        <v>0</v>
      </c>
      <c r="Z1062">
        <f>INDIRECT(ADDRESS(1062,25))+INDIRECT(ADDRESS(1060,26))-INDIRECT(ADDRESS(1061,26))</f>
        <v>0</v>
      </c>
      <c r="AA1062">
        <f>INDIRECT(ADDRESS(1062,26))+INDIRECT(ADDRESS(1060,27))-INDIRECT(ADDRESS(1061,27))</f>
        <v>0</v>
      </c>
      <c r="AB1062">
        <f>INDIRECT(ADDRESS(1062,27))+INDIRECT(ADDRESS(1060,28))-INDIRECT(ADDRESS(1061,28))</f>
        <v>0</v>
      </c>
      <c r="AC1062">
        <f>INDIRECT(ADDRESS(1062,28))+INDIRECT(ADDRESS(1060,29))-INDIRECT(ADDRESS(1061,29))</f>
        <v>0</v>
      </c>
      <c r="AD1062">
        <f>INDIRECT(ADDRESS(1062,29))+INDIRECT(ADDRESS(1060,30))-INDIRECT(ADDRESS(1061,30))</f>
        <v>0</v>
      </c>
      <c r="AE1062">
        <f>INDIRECT(ADDRESS(1062,30))+INDIRECT(ADDRESS(1060,31))-INDIRECT(ADDRESS(1061,31))</f>
        <v>0</v>
      </c>
      <c r="AF1062">
        <f>INDIRECT(ADDRESS(1062,31))+INDIRECT(ADDRESS(1060,32))-INDIRECT(ADDRESS(1061,32))</f>
        <v>0</v>
      </c>
      <c r="AG1062">
        <f>INDIRECT(ADDRESS(1062,32))+INDIRECT(ADDRESS(1060,33))-INDIRECT(ADDRESS(1061,33))</f>
        <v>0</v>
      </c>
      <c r="AH1062">
        <f>INDIRECT(ADDRESS(1062,33))+INDIRECT(ADDRESS(1060,34))-INDIRECT(ADDRESS(1061,34))</f>
        <v>0</v>
      </c>
      <c r="AI1062">
        <f>INDIRECT(ADDRESS(1062,34))+INDIRECT(ADDRESS(1060,35))-INDIRECT(ADDRESS(1061,35))</f>
        <v>0</v>
      </c>
      <c r="AJ1062">
        <f>INDIRECT(ADDRESS(1062,35))+INDIRECT(ADDRESS(1060,36))-INDIRECT(ADDRESS(1061,36))</f>
        <v>0</v>
      </c>
      <c r="AK1062">
        <f>INDIRECT(ADDRESS(1062,36))+INDIRECT(ADDRESS(1060,37))-INDIRECT(ADDRESS(1061,37))</f>
        <v>0</v>
      </c>
      <c r="AL1062">
        <f>INDIRECT(ADDRESS(1062,37))+INDIRECT(ADDRESS(1060,38))-INDIRECT(ADDRESS(1061,38))</f>
        <v>0</v>
      </c>
      <c r="AM1062">
        <f>INDIRECT(ADDRESS(1062,38))+INDIRECT(ADDRESS(1060,39))-INDIRECT(ADDRESS(1061,39))</f>
        <v>0</v>
      </c>
      <c r="AN1062">
        <f>INDIRECT(ADDRESS(1062,39))+INDIRECT(ADDRESS(1060,40))-INDIRECT(ADDRESS(1061,40))</f>
        <v>0</v>
      </c>
      <c r="AO1062">
        <f>SUM(INDIRECT(ADDRESS(1061,8)):INDIRECT(ADDRESS(1061,39)))</f>
        <v>0</v>
      </c>
    </row>
    <row r="1063" spans="1:41">
      <c r="A1063" t="s">
        <v>185</v>
      </c>
      <c r="B1063" t="s">
        <v>544</v>
      </c>
      <c r="C1063" t="s">
        <v>545</v>
      </c>
      <c r="E1063">
        <v>1</v>
      </c>
      <c r="I1063" t="s">
        <v>177</v>
      </c>
    </row>
    <row r="1064" spans="1:41">
      <c r="I1064" t="s">
        <v>178</v>
      </c>
      <c r="J1064">
        <f>IFERROR(VLOOKUP("922-096517-100",B:AB,1+8,0),0)</f>
        <v>0</v>
      </c>
      <c r="K1064">
        <f>IFERROR(VLOOKUP("922-096517-100",B:AB,2+8,0),0)</f>
        <v>0</v>
      </c>
      <c r="L1064">
        <f>IFERROR(VLOOKUP("922-096517-100",B:AB,3+8,0),0)</f>
        <v>0</v>
      </c>
      <c r="M1064">
        <f>IFERROR(VLOOKUP("922-096517-100",B:AB,4+8,0),0)</f>
        <v>0</v>
      </c>
      <c r="N1064">
        <f>IFERROR(VLOOKUP("922-096517-100",B:AB,5+8,0),0)</f>
        <v>0</v>
      </c>
      <c r="O1064">
        <f>IFERROR(VLOOKUP("922-096517-100",B:AB,6+8,0),0)</f>
        <v>0</v>
      </c>
      <c r="P1064">
        <f>IFERROR(VLOOKUP("922-096517-100",B:AB,7+8,0),0)</f>
        <v>0</v>
      </c>
      <c r="Q1064">
        <f>IFERROR(VLOOKUP("922-096517-100",B:AB,8+8,0),0)</f>
        <v>0</v>
      </c>
      <c r="R1064">
        <f>IFERROR(VLOOKUP("922-096517-100",B:AB,9+8,0),0)</f>
        <v>0</v>
      </c>
      <c r="S1064">
        <f>IFERROR(VLOOKUP("922-096517-100",B:AB,10+8,0),0)</f>
        <v>0</v>
      </c>
      <c r="T1064">
        <f>IFERROR(VLOOKUP("922-096517-100",B:AB,11+8,0),0)</f>
        <v>0</v>
      </c>
      <c r="U1064">
        <f>IFERROR(VLOOKUP("922-096517-100",B:AB,12+8,0),0)</f>
        <v>0</v>
      </c>
      <c r="V1064">
        <f>IFERROR(VLOOKUP("922-096517-100",B:AB,13+8,0),0)</f>
        <v>0</v>
      </c>
      <c r="W1064">
        <f>IFERROR(VLOOKUP("922-096517-100",B:AB,14+8,0),0)</f>
        <v>0</v>
      </c>
      <c r="X1064">
        <f>IFERROR(VLOOKUP("922-096517-100",B:AB,15+8,0),0)</f>
        <v>0</v>
      </c>
      <c r="Y1064">
        <f>IFERROR(VLOOKUP("922-096517-100",B:AB,16+8,0),0)</f>
        <v>0</v>
      </c>
      <c r="Z1064">
        <f>IFERROR(VLOOKUP("922-096517-100",B:AB,17+8,0),0)</f>
        <v>0</v>
      </c>
      <c r="AA1064">
        <f>IFERROR(VLOOKUP("922-096517-100",B:AB,18+8,0),0)</f>
        <v>0</v>
      </c>
      <c r="AB1064">
        <f>IFERROR(VLOOKUP("922-096517-100",B:AB,19+8,0),0)</f>
        <v>0</v>
      </c>
      <c r="AC1064">
        <f>IFERROR(VLOOKUP("922-096517-100",B:AB,20+8,0),0)</f>
        <v>0</v>
      </c>
      <c r="AD1064">
        <f>IFERROR(VLOOKUP("922-096517-100",B:AB,21+8,0),0)</f>
        <v>0</v>
      </c>
      <c r="AE1064">
        <f>IFERROR(VLOOKUP("922-096517-100",B:AB,22+8,0),0)</f>
        <v>0</v>
      </c>
      <c r="AF1064">
        <f>IFERROR(VLOOKUP("922-096517-100",B:AB,23+8,0),0)</f>
        <v>0</v>
      </c>
      <c r="AG1064">
        <f>IFERROR(VLOOKUP("922-096517-100",B:AB,24+8,0),0)</f>
        <v>0</v>
      </c>
      <c r="AH1064">
        <f>IFERROR(VLOOKUP("922-096517-100",B:AB,25+8,0),0)</f>
        <v>0</v>
      </c>
      <c r="AI1064">
        <f>IFERROR(VLOOKUP("922-096517-100",B:AB,26+8,0),0)</f>
        <v>0</v>
      </c>
      <c r="AJ1064">
        <f>IFERROR(VLOOKUP("922-096517-100",B:AB,27+8,0),0)</f>
        <v>0</v>
      </c>
      <c r="AK1064">
        <f>IFERROR(VLOOKUP("922-096517-100",B:AB,28+8,0),0)</f>
        <v>0</v>
      </c>
      <c r="AL1064">
        <f>IFERROR(VLOOKUP("922-096517-100",B:AB,29+8,0),0)</f>
        <v>0</v>
      </c>
      <c r="AM1064">
        <f>IFERROR(VLOOKUP("922-096517-100",B:AB,30+8,0),0)</f>
        <v>0</v>
      </c>
      <c r="AN1064">
        <f>IFERROR(VLOOKUP("922-096517-100",B:AB,31+8,0),0)</f>
        <v>0</v>
      </c>
      <c r="AO1064">
        <f>SUN(INDIRECT(ADDRESS(1063,8)):INDIRECT(ADDRESS(1063,39)))</f>
        <v>0</v>
      </c>
    </row>
    <row r="1065" spans="1:41">
      <c r="H1065" t="s">
        <v>179</v>
      </c>
      <c r="J1065">
        <f>INDIRECT(ADDRESS(1065,9))+INDIRECT(ADDRESS(1063,10))-INDIRECT(ADDRESS(1064,10))</f>
        <v>0</v>
      </c>
      <c r="K1065">
        <f>INDIRECT(ADDRESS(1065,10))+INDIRECT(ADDRESS(1063,11))-INDIRECT(ADDRESS(1064,11))</f>
        <v>0</v>
      </c>
      <c r="L1065">
        <f>INDIRECT(ADDRESS(1065,11))+INDIRECT(ADDRESS(1063,12))-INDIRECT(ADDRESS(1064,12))</f>
        <v>0</v>
      </c>
      <c r="M1065">
        <f>INDIRECT(ADDRESS(1065,12))+INDIRECT(ADDRESS(1063,13))-INDIRECT(ADDRESS(1064,13))</f>
        <v>0</v>
      </c>
      <c r="N1065">
        <f>INDIRECT(ADDRESS(1065,13))+INDIRECT(ADDRESS(1063,14))-INDIRECT(ADDRESS(1064,14))</f>
        <v>0</v>
      </c>
      <c r="O1065">
        <f>INDIRECT(ADDRESS(1065,14))+INDIRECT(ADDRESS(1063,15))-INDIRECT(ADDRESS(1064,15))</f>
        <v>0</v>
      </c>
      <c r="P1065">
        <f>INDIRECT(ADDRESS(1065,15))+INDIRECT(ADDRESS(1063,16))-INDIRECT(ADDRESS(1064,16))</f>
        <v>0</v>
      </c>
      <c r="Q1065">
        <f>INDIRECT(ADDRESS(1065,16))+INDIRECT(ADDRESS(1063,17))-INDIRECT(ADDRESS(1064,17))</f>
        <v>0</v>
      </c>
      <c r="R1065">
        <f>INDIRECT(ADDRESS(1065,17))+INDIRECT(ADDRESS(1063,18))-INDIRECT(ADDRESS(1064,18))</f>
        <v>0</v>
      </c>
      <c r="S1065">
        <f>INDIRECT(ADDRESS(1065,18))+INDIRECT(ADDRESS(1063,19))-INDIRECT(ADDRESS(1064,19))</f>
        <v>0</v>
      </c>
      <c r="T1065">
        <f>INDIRECT(ADDRESS(1065,19))+INDIRECT(ADDRESS(1063,20))-INDIRECT(ADDRESS(1064,20))</f>
        <v>0</v>
      </c>
      <c r="U1065">
        <f>INDIRECT(ADDRESS(1065,20))+INDIRECT(ADDRESS(1063,21))-INDIRECT(ADDRESS(1064,21))</f>
        <v>0</v>
      </c>
      <c r="V1065">
        <f>INDIRECT(ADDRESS(1065,21))+INDIRECT(ADDRESS(1063,22))-INDIRECT(ADDRESS(1064,22))</f>
        <v>0</v>
      </c>
      <c r="W1065">
        <f>INDIRECT(ADDRESS(1065,22))+INDIRECT(ADDRESS(1063,23))-INDIRECT(ADDRESS(1064,23))</f>
        <v>0</v>
      </c>
      <c r="X1065">
        <f>INDIRECT(ADDRESS(1065,23))+INDIRECT(ADDRESS(1063,24))-INDIRECT(ADDRESS(1064,24))</f>
        <v>0</v>
      </c>
      <c r="Y1065">
        <f>INDIRECT(ADDRESS(1065,24))+INDIRECT(ADDRESS(1063,25))-INDIRECT(ADDRESS(1064,25))</f>
        <v>0</v>
      </c>
      <c r="Z1065">
        <f>INDIRECT(ADDRESS(1065,25))+INDIRECT(ADDRESS(1063,26))-INDIRECT(ADDRESS(1064,26))</f>
        <v>0</v>
      </c>
      <c r="AA1065">
        <f>INDIRECT(ADDRESS(1065,26))+INDIRECT(ADDRESS(1063,27))-INDIRECT(ADDRESS(1064,27))</f>
        <v>0</v>
      </c>
      <c r="AB1065">
        <f>INDIRECT(ADDRESS(1065,27))+INDIRECT(ADDRESS(1063,28))-INDIRECT(ADDRESS(1064,28))</f>
        <v>0</v>
      </c>
      <c r="AC1065">
        <f>INDIRECT(ADDRESS(1065,28))+INDIRECT(ADDRESS(1063,29))-INDIRECT(ADDRESS(1064,29))</f>
        <v>0</v>
      </c>
      <c r="AD1065">
        <f>INDIRECT(ADDRESS(1065,29))+INDIRECT(ADDRESS(1063,30))-INDIRECT(ADDRESS(1064,30))</f>
        <v>0</v>
      </c>
      <c r="AE1065">
        <f>INDIRECT(ADDRESS(1065,30))+INDIRECT(ADDRESS(1063,31))-INDIRECT(ADDRESS(1064,31))</f>
        <v>0</v>
      </c>
      <c r="AF1065">
        <f>INDIRECT(ADDRESS(1065,31))+INDIRECT(ADDRESS(1063,32))-INDIRECT(ADDRESS(1064,32))</f>
        <v>0</v>
      </c>
      <c r="AG1065">
        <f>INDIRECT(ADDRESS(1065,32))+INDIRECT(ADDRESS(1063,33))-INDIRECT(ADDRESS(1064,33))</f>
        <v>0</v>
      </c>
      <c r="AH1065">
        <f>INDIRECT(ADDRESS(1065,33))+INDIRECT(ADDRESS(1063,34))-INDIRECT(ADDRESS(1064,34))</f>
        <v>0</v>
      </c>
      <c r="AI1065">
        <f>INDIRECT(ADDRESS(1065,34))+INDIRECT(ADDRESS(1063,35))-INDIRECT(ADDRESS(1064,35))</f>
        <v>0</v>
      </c>
      <c r="AJ1065">
        <f>INDIRECT(ADDRESS(1065,35))+INDIRECT(ADDRESS(1063,36))-INDIRECT(ADDRESS(1064,36))</f>
        <v>0</v>
      </c>
      <c r="AK1065">
        <f>INDIRECT(ADDRESS(1065,36))+INDIRECT(ADDRESS(1063,37))-INDIRECT(ADDRESS(1064,37))</f>
        <v>0</v>
      </c>
      <c r="AL1065">
        <f>INDIRECT(ADDRESS(1065,37))+INDIRECT(ADDRESS(1063,38))-INDIRECT(ADDRESS(1064,38))</f>
        <v>0</v>
      </c>
      <c r="AM1065">
        <f>INDIRECT(ADDRESS(1065,38))+INDIRECT(ADDRESS(1063,39))-INDIRECT(ADDRESS(1064,39))</f>
        <v>0</v>
      </c>
      <c r="AN1065">
        <f>INDIRECT(ADDRESS(1065,39))+INDIRECT(ADDRESS(1063,40))-INDIRECT(ADDRESS(1064,40))</f>
        <v>0</v>
      </c>
      <c r="AO1065">
        <f>SUM(INDIRECT(ADDRESS(1064,8)):INDIRECT(ADDRESS(1064,39)))</f>
        <v>0</v>
      </c>
    </row>
    <row r="1066" spans="1:41">
      <c r="A1066" t="s">
        <v>238</v>
      </c>
      <c r="B1066" t="s">
        <v>546</v>
      </c>
      <c r="C1066" t="s">
        <v>547</v>
      </c>
      <c r="E1066">
        <v>0.005</v>
      </c>
      <c r="I1066" t="s">
        <v>177</v>
      </c>
    </row>
    <row r="1067" spans="1:41">
      <c r="I1067" t="s">
        <v>178</v>
      </c>
      <c r="J1067">
        <f>IFERROR(VLOOKUP("922-096517-100",B:AB,1+8,0),0)</f>
        <v>0</v>
      </c>
      <c r="K1067">
        <f>IFERROR(VLOOKUP("922-096517-100",B:AB,2+8,0),0)</f>
        <v>0</v>
      </c>
      <c r="L1067">
        <f>IFERROR(VLOOKUP("922-096517-100",B:AB,3+8,0),0)</f>
        <v>0</v>
      </c>
      <c r="M1067">
        <f>IFERROR(VLOOKUP("922-096517-100",B:AB,4+8,0),0)</f>
        <v>0</v>
      </c>
      <c r="N1067">
        <f>IFERROR(VLOOKUP("922-096517-100",B:AB,5+8,0),0)</f>
        <v>0</v>
      </c>
      <c r="O1067">
        <f>IFERROR(VLOOKUP("922-096517-100",B:AB,6+8,0),0)</f>
        <v>0</v>
      </c>
      <c r="P1067">
        <f>IFERROR(VLOOKUP("922-096517-100",B:AB,7+8,0),0)</f>
        <v>0</v>
      </c>
      <c r="Q1067">
        <f>IFERROR(VLOOKUP("922-096517-100",B:AB,8+8,0),0)</f>
        <v>0</v>
      </c>
      <c r="R1067">
        <f>IFERROR(VLOOKUP("922-096517-100",B:AB,9+8,0),0)</f>
        <v>0</v>
      </c>
      <c r="S1067">
        <f>IFERROR(VLOOKUP("922-096517-100",B:AB,10+8,0),0)</f>
        <v>0</v>
      </c>
      <c r="T1067">
        <f>IFERROR(VLOOKUP("922-096517-100",B:AB,11+8,0),0)</f>
        <v>0</v>
      </c>
      <c r="U1067">
        <f>IFERROR(VLOOKUP("922-096517-100",B:AB,12+8,0),0)</f>
        <v>0</v>
      </c>
      <c r="V1067">
        <f>IFERROR(VLOOKUP("922-096517-100",B:AB,13+8,0),0)</f>
        <v>0</v>
      </c>
      <c r="W1067">
        <f>IFERROR(VLOOKUP("922-096517-100",B:AB,14+8,0),0)</f>
        <v>0</v>
      </c>
      <c r="X1067">
        <f>IFERROR(VLOOKUP("922-096517-100",B:AB,15+8,0),0)</f>
        <v>0</v>
      </c>
      <c r="Y1067">
        <f>IFERROR(VLOOKUP("922-096517-100",B:AB,16+8,0),0)</f>
        <v>0</v>
      </c>
      <c r="Z1067">
        <f>IFERROR(VLOOKUP("922-096517-100",B:AB,17+8,0),0)</f>
        <v>0</v>
      </c>
      <c r="AA1067">
        <f>IFERROR(VLOOKUP("922-096517-100",B:AB,18+8,0),0)</f>
        <v>0</v>
      </c>
      <c r="AB1067">
        <f>IFERROR(VLOOKUP("922-096517-100",B:AB,19+8,0),0)</f>
        <v>0</v>
      </c>
      <c r="AC1067">
        <f>IFERROR(VLOOKUP("922-096517-100",B:AB,20+8,0),0)</f>
        <v>0</v>
      </c>
      <c r="AD1067">
        <f>IFERROR(VLOOKUP("922-096517-100",B:AB,21+8,0),0)</f>
        <v>0</v>
      </c>
      <c r="AE1067">
        <f>IFERROR(VLOOKUP("922-096517-100",B:AB,22+8,0),0)</f>
        <v>0</v>
      </c>
      <c r="AF1067">
        <f>IFERROR(VLOOKUP("922-096517-100",B:AB,23+8,0),0)</f>
        <v>0</v>
      </c>
      <c r="AG1067">
        <f>IFERROR(VLOOKUP("922-096517-100",B:AB,24+8,0),0)</f>
        <v>0</v>
      </c>
      <c r="AH1067">
        <f>IFERROR(VLOOKUP("922-096517-100",B:AB,25+8,0),0)</f>
        <v>0</v>
      </c>
      <c r="AI1067">
        <f>IFERROR(VLOOKUP("922-096517-100",B:AB,26+8,0),0)</f>
        <v>0</v>
      </c>
      <c r="AJ1067">
        <f>IFERROR(VLOOKUP("922-096517-100",B:AB,27+8,0),0)</f>
        <v>0</v>
      </c>
      <c r="AK1067">
        <f>IFERROR(VLOOKUP("922-096517-100",B:AB,28+8,0),0)</f>
        <v>0</v>
      </c>
      <c r="AL1067">
        <f>IFERROR(VLOOKUP("922-096517-100",B:AB,29+8,0),0)</f>
        <v>0</v>
      </c>
      <c r="AM1067">
        <f>IFERROR(VLOOKUP("922-096517-100",B:AB,30+8,0),0)</f>
        <v>0</v>
      </c>
      <c r="AN1067">
        <f>IFERROR(VLOOKUP("922-096517-100",B:AB,31+8,0),0)</f>
        <v>0</v>
      </c>
      <c r="AO1067">
        <f>SUN(INDIRECT(ADDRESS(1066,8)):INDIRECT(ADDRESS(1066,39)))</f>
        <v>0</v>
      </c>
    </row>
    <row r="1068" spans="1:41">
      <c r="H1068" t="s">
        <v>179</v>
      </c>
      <c r="J1068">
        <f>INDIRECT(ADDRESS(1068,9))+INDIRECT(ADDRESS(1066,10))-INDIRECT(ADDRESS(1067,10))</f>
        <v>0</v>
      </c>
      <c r="K1068">
        <f>INDIRECT(ADDRESS(1068,10))+INDIRECT(ADDRESS(1066,11))-INDIRECT(ADDRESS(1067,11))</f>
        <v>0</v>
      </c>
      <c r="L1068">
        <f>INDIRECT(ADDRESS(1068,11))+INDIRECT(ADDRESS(1066,12))-INDIRECT(ADDRESS(1067,12))</f>
        <v>0</v>
      </c>
      <c r="M1068">
        <f>INDIRECT(ADDRESS(1068,12))+INDIRECT(ADDRESS(1066,13))-INDIRECT(ADDRESS(1067,13))</f>
        <v>0</v>
      </c>
      <c r="N1068">
        <f>INDIRECT(ADDRESS(1068,13))+INDIRECT(ADDRESS(1066,14))-INDIRECT(ADDRESS(1067,14))</f>
        <v>0</v>
      </c>
      <c r="O1068">
        <f>INDIRECT(ADDRESS(1068,14))+INDIRECT(ADDRESS(1066,15))-INDIRECT(ADDRESS(1067,15))</f>
        <v>0</v>
      </c>
      <c r="P1068">
        <f>INDIRECT(ADDRESS(1068,15))+INDIRECT(ADDRESS(1066,16))-INDIRECT(ADDRESS(1067,16))</f>
        <v>0</v>
      </c>
      <c r="Q1068">
        <f>INDIRECT(ADDRESS(1068,16))+INDIRECT(ADDRESS(1066,17))-INDIRECT(ADDRESS(1067,17))</f>
        <v>0</v>
      </c>
      <c r="R1068">
        <f>INDIRECT(ADDRESS(1068,17))+INDIRECT(ADDRESS(1066,18))-INDIRECT(ADDRESS(1067,18))</f>
        <v>0</v>
      </c>
      <c r="S1068">
        <f>INDIRECT(ADDRESS(1068,18))+INDIRECT(ADDRESS(1066,19))-INDIRECT(ADDRESS(1067,19))</f>
        <v>0</v>
      </c>
      <c r="T1068">
        <f>INDIRECT(ADDRESS(1068,19))+INDIRECT(ADDRESS(1066,20))-INDIRECT(ADDRESS(1067,20))</f>
        <v>0</v>
      </c>
      <c r="U1068">
        <f>INDIRECT(ADDRESS(1068,20))+INDIRECT(ADDRESS(1066,21))-INDIRECT(ADDRESS(1067,21))</f>
        <v>0</v>
      </c>
      <c r="V1068">
        <f>INDIRECT(ADDRESS(1068,21))+INDIRECT(ADDRESS(1066,22))-INDIRECT(ADDRESS(1067,22))</f>
        <v>0</v>
      </c>
      <c r="W1068">
        <f>INDIRECT(ADDRESS(1068,22))+INDIRECT(ADDRESS(1066,23))-INDIRECT(ADDRESS(1067,23))</f>
        <v>0</v>
      </c>
      <c r="X1068">
        <f>INDIRECT(ADDRESS(1068,23))+INDIRECT(ADDRESS(1066,24))-INDIRECT(ADDRESS(1067,24))</f>
        <v>0</v>
      </c>
      <c r="Y1068">
        <f>INDIRECT(ADDRESS(1068,24))+INDIRECT(ADDRESS(1066,25))-INDIRECT(ADDRESS(1067,25))</f>
        <v>0</v>
      </c>
      <c r="Z1068">
        <f>INDIRECT(ADDRESS(1068,25))+INDIRECT(ADDRESS(1066,26))-INDIRECT(ADDRESS(1067,26))</f>
        <v>0</v>
      </c>
      <c r="AA1068">
        <f>INDIRECT(ADDRESS(1068,26))+INDIRECT(ADDRESS(1066,27))-INDIRECT(ADDRESS(1067,27))</f>
        <v>0</v>
      </c>
      <c r="AB1068">
        <f>INDIRECT(ADDRESS(1068,27))+INDIRECT(ADDRESS(1066,28))-INDIRECT(ADDRESS(1067,28))</f>
        <v>0</v>
      </c>
      <c r="AC1068">
        <f>INDIRECT(ADDRESS(1068,28))+INDIRECT(ADDRESS(1066,29))-INDIRECT(ADDRESS(1067,29))</f>
        <v>0</v>
      </c>
      <c r="AD1068">
        <f>INDIRECT(ADDRESS(1068,29))+INDIRECT(ADDRESS(1066,30))-INDIRECT(ADDRESS(1067,30))</f>
        <v>0</v>
      </c>
      <c r="AE1068">
        <f>INDIRECT(ADDRESS(1068,30))+INDIRECT(ADDRESS(1066,31))-INDIRECT(ADDRESS(1067,31))</f>
        <v>0</v>
      </c>
      <c r="AF1068">
        <f>INDIRECT(ADDRESS(1068,31))+INDIRECT(ADDRESS(1066,32))-INDIRECT(ADDRESS(1067,32))</f>
        <v>0</v>
      </c>
      <c r="AG1068">
        <f>INDIRECT(ADDRESS(1068,32))+INDIRECT(ADDRESS(1066,33))-INDIRECT(ADDRESS(1067,33))</f>
        <v>0</v>
      </c>
      <c r="AH1068">
        <f>INDIRECT(ADDRESS(1068,33))+INDIRECT(ADDRESS(1066,34))-INDIRECT(ADDRESS(1067,34))</f>
        <v>0</v>
      </c>
      <c r="AI1068">
        <f>INDIRECT(ADDRESS(1068,34))+INDIRECT(ADDRESS(1066,35))-INDIRECT(ADDRESS(1067,35))</f>
        <v>0</v>
      </c>
      <c r="AJ1068">
        <f>INDIRECT(ADDRESS(1068,35))+INDIRECT(ADDRESS(1066,36))-INDIRECT(ADDRESS(1067,36))</f>
        <v>0</v>
      </c>
      <c r="AK1068">
        <f>INDIRECT(ADDRESS(1068,36))+INDIRECT(ADDRESS(1066,37))-INDIRECT(ADDRESS(1067,37))</f>
        <v>0</v>
      </c>
      <c r="AL1068">
        <f>INDIRECT(ADDRESS(1068,37))+INDIRECT(ADDRESS(1066,38))-INDIRECT(ADDRESS(1067,38))</f>
        <v>0</v>
      </c>
      <c r="AM1068">
        <f>INDIRECT(ADDRESS(1068,38))+INDIRECT(ADDRESS(1066,39))-INDIRECT(ADDRESS(1067,39))</f>
        <v>0</v>
      </c>
      <c r="AN1068">
        <f>INDIRECT(ADDRESS(1068,39))+INDIRECT(ADDRESS(1066,40))-INDIRECT(ADDRESS(1067,40))</f>
        <v>0</v>
      </c>
      <c r="AO1068">
        <f>SUM(INDIRECT(ADDRESS(1067,8)):INDIRECT(ADDRESS(1067,39)))</f>
        <v>0</v>
      </c>
    </row>
    <row r="1069" spans="1:41">
      <c r="A1069" t="s">
        <v>206</v>
      </c>
      <c r="B1069" t="s">
        <v>548</v>
      </c>
      <c r="C1069" t="s">
        <v>549</v>
      </c>
      <c r="E1069">
        <v>0.05</v>
      </c>
      <c r="I1069" t="s">
        <v>177</v>
      </c>
    </row>
    <row r="1070" spans="1:41">
      <c r="I1070" t="s">
        <v>178</v>
      </c>
      <c r="J1070">
        <f>IFERROR(VLOOKUP("922-096517-100",B:AB,1+8,0),0)</f>
        <v>0</v>
      </c>
      <c r="K1070">
        <f>IFERROR(VLOOKUP("922-096517-100",B:AB,2+8,0),0)</f>
        <v>0</v>
      </c>
      <c r="L1070">
        <f>IFERROR(VLOOKUP("922-096517-100",B:AB,3+8,0),0)</f>
        <v>0</v>
      </c>
      <c r="M1070">
        <f>IFERROR(VLOOKUP("922-096517-100",B:AB,4+8,0),0)</f>
        <v>0</v>
      </c>
      <c r="N1070">
        <f>IFERROR(VLOOKUP("922-096517-100",B:AB,5+8,0),0)</f>
        <v>0</v>
      </c>
      <c r="O1070">
        <f>IFERROR(VLOOKUP("922-096517-100",B:AB,6+8,0),0)</f>
        <v>0</v>
      </c>
      <c r="P1070">
        <f>IFERROR(VLOOKUP("922-096517-100",B:AB,7+8,0),0)</f>
        <v>0</v>
      </c>
      <c r="Q1070">
        <f>IFERROR(VLOOKUP("922-096517-100",B:AB,8+8,0),0)</f>
        <v>0</v>
      </c>
      <c r="R1070">
        <f>IFERROR(VLOOKUP("922-096517-100",B:AB,9+8,0),0)</f>
        <v>0</v>
      </c>
      <c r="S1070">
        <f>IFERROR(VLOOKUP("922-096517-100",B:AB,10+8,0),0)</f>
        <v>0</v>
      </c>
      <c r="T1070">
        <f>IFERROR(VLOOKUP("922-096517-100",B:AB,11+8,0),0)</f>
        <v>0</v>
      </c>
      <c r="U1070">
        <f>IFERROR(VLOOKUP("922-096517-100",B:AB,12+8,0),0)</f>
        <v>0</v>
      </c>
      <c r="V1070">
        <f>IFERROR(VLOOKUP("922-096517-100",B:AB,13+8,0),0)</f>
        <v>0</v>
      </c>
      <c r="W1070">
        <f>IFERROR(VLOOKUP("922-096517-100",B:AB,14+8,0),0)</f>
        <v>0</v>
      </c>
      <c r="X1070">
        <f>IFERROR(VLOOKUP("922-096517-100",B:AB,15+8,0),0)</f>
        <v>0</v>
      </c>
      <c r="Y1070">
        <f>IFERROR(VLOOKUP("922-096517-100",B:AB,16+8,0),0)</f>
        <v>0</v>
      </c>
      <c r="Z1070">
        <f>IFERROR(VLOOKUP("922-096517-100",B:AB,17+8,0),0)</f>
        <v>0</v>
      </c>
      <c r="AA1070">
        <f>IFERROR(VLOOKUP("922-096517-100",B:AB,18+8,0),0)</f>
        <v>0</v>
      </c>
      <c r="AB1070">
        <f>IFERROR(VLOOKUP("922-096517-100",B:AB,19+8,0),0)</f>
        <v>0</v>
      </c>
      <c r="AC1070">
        <f>IFERROR(VLOOKUP("922-096517-100",B:AB,20+8,0),0)</f>
        <v>0</v>
      </c>
      <c r="AD1070">
        <f>IFERROR(VLOOKUP("922-096517-100",B:AB,21+8,0),0)</f>
        <v>0</v>
      </c>
      <c r="AE1070">
        <f>IFERROR(VLOOKUP("922-096517-100",B:AB,22+8,0),0)</f>
        <v>0</v>
      </c>
      <c r="AF1070">
        <f>IFERROR(VLOOKUP("922-096517-100",B:AB,23+8,0),0)</f>
        <v>0</v>
      </c>
      <c r="AG1070">
        <f>IFERROR(VLOOKUP("922-096517-100",B:AB,24+8,0),0)</f>
        <v>0</v>
      </c>
      <c r="AH1070">
        <f>IFERROR(VLOOKUP("922-096517-100",B:AB,25+8,0),0)</f>
        <v>0</v>
      </c>
      <c r="AI1070">
        <f>IFERROR(VLOOKUP("922-096517-100",B:AB,26+8,0),0)</f>
        <v>0</v>
      </c>
      <c r="AJ1070">
        <f>IFERROR(VLOOKUP("922-096517-100",B:AB,27+8,0),0)</f>
        <v>0</v>
      </c>
      <c r="AK1070">
        <f>IFERROR(VLOOKUP("922-096517-100",B:AB,28+8,0),0)</f>
        <v>0</v>
      </c>
      <c r="AL1070">
        <f>IFERROR(VLOOKUP("922-096517-100",B:AB,29+8,0),0)</f>
        <v>0</v>
      </c>
      <c r="AM1070">
        <f>IFERROR(VLOOKUP("922-096517-100",B:AB,30+8,0),0)</f>
        <v>0</v>
      </c>
      <c r="AN1070">
        <f>IFERROR(VLOOKUP("922-096517-100",B:AB,31+8,0),0)</f>
        <v>0</v>
      </c>
      <c r="AO1070">
        <f>SUN(INDIRECT(ADDRESS(1069,8)):INDIRECT(ADDRESS(1069,39)))</f>
        <v>0</v>
      </c>
    </row>
    <row r="1071" spans="1:41">
      <c r="H1071" t="s">
        <v>179</v>
      </c>
      <c r="J1071">
        <f>INDIRECT(ADDRESS(1071,9))+INDIRECT(ADDRESS(1069,10))-INDIRECT(ADDRESS(1070,10))</f>
        <v>0</v>
      </c>
      <c r="K1071">
        <f>INDIRECT(ADDRESS(1071,10))+INDIRECT(ADDRESS(1069,11))-INDIRECT(ADDRESS(1070,11))</f>
        <v>0</v>
      </c>
      <c r="L1071">
        <f>INDIRECT(ADDRESS(1071,11))+INDIRECT(ADDRESS(1069,12))-INDIRECT(ADDRESS(1070,12))</f>
        <v>0</v>
      </c>
      <c r="M1071">
        <f>INDIRECT(ADDRESS(1071,12))+INDIRECT(ADDRESS(1069,13))-INDIRECT(ADDRESS(1070,13))</f>
        <v>0</v>
      </c>
      <c r="N1071">
        <f>INDIRECT(ADDRESS(1071,13))+INDIRECT(ADDRESS(1069,14))-INDIRECT(ADDRESS(1070,14))</f>
        <v>0</v>
      </c>
      <c r="O1071">
        <f>INDIRECT(ADDRESS(1071,14))+INDIRECT(ADDRESS(1069,15))-INDIRECT(ADDRESS(1070,15))</f>
        <v>0</v>
      </c>
      <c r="P1071">
        <f>INDIRECT(ADDRESS(1071,15))+INDIRECT(ADDRESS(1069,16))-INDIRECT(ADDRESS(1070,16))</f>
        <v>0</v>
      </c>
      <c r="Q1071">
        <f>INDIRECT(ADDRESS(1071,16))+INDIRECT(ADDRESS(1069,17))-INDIRECT(ADDRESS(1070,17))</f>
        <v>0</v>
      </c>
      <c r="R1071">
        <f>INDIRECT(ADDRESS(1071,17))+INDIRECT(ADDRESS(1069,18))-INDIRECT(ADDRESS(1070,18))</f>
        <v>0</v>
      </c>
      <c r="S1071">
        <f>INDIRECT(ADDRESS(1071,18))+INDIRECT(ADDRESS(1069,19))-INDIRECT(ADDRESS(1070,19))</f>
        <v>0</v>
      </c>
      <c r="T1071">
        <f>INDIRECT(ADDRESS(1071,19))+INDIRECT(ADDRESS(1069,20))-INDIRECT(ADDRESS(1070,20))</f>
        <v>0</v>
      </c>
      <c r="U1071">
        <f>INDIRECT(ADDRESS(1071,20))+INDIRECT(ADDRESS(1069,21))-INDIRECT(ADDRESS(1070,21))</f>
        <v>0</v>
      </c>
      <c r="V1071">
        <f>INDIRECT(ADDRESS(1071,21))+INDIRECT(ADDRESS(1069,22))-INDIRECT(ADDRESS(1070,22))</f>
        <v>0</v>
      </c>
      <c r="W1071">
        <f>INDIRECT(ADDRESS(1071,22))+INDIRECT(ADDRESS(1069,23))-INDIRECT(ADDRESS(1070,23))</f>
        <v>0</v>
      </c>
      <c r="X1071">
        <f>INDIRECT(ADDRESS(1071,23))+INDIRECT(ADDRESS(1069,24))-INDIRECT(ADDRESS(1070,24))</f>
        <v>0</v>
      </c>
      <c r="Y1071">
        <f>INDIRECT(ADDRESS(1071,24))+INDIRECT(ADDRESS(1069,25))-INDIRECT(ADDRESS(1070,25))</f>
        <v>0</v>
      </c>
      <c r="Z1071">
        <f>INDIRECT(ADDRESS(1071,25))+INDIRECT(ADDRESS(1069,26))-INDIRECT(ADDRESS(1070,26))</f>
        <v>0</v>
      </c>
      <c r="AA1071">
        <f>INDIRECT(ADDRESS(1071,26))+INDIRECT(ADDRESS(1069,27))-INDIRECT(ADDRESS(1070,27))</f>
        <v>0</v>
      </c>
      <c r="AB1071">
        <f>INDIRECT(ADDRESS(1071,27))+INDIRECT(ADDRESS(1069,28))-INDIRECT(ADDRESS(1070,28))</f>
        <v>0</v>
      </c>
      <c r="AC1071">
        <f>INDIRECT(ADDRESS(1071,28))+INDIRECT(ADDRESS(1069,29))-INDIRECT(ADDRESS(1070,29))</f>
        <v>0</v>
      </c>
      <c r="AD1071">
        <f>INDIRECT(ADDRESS(1071,29))+INDIRECT(ADDRESS(1069,30))-INDIRECT(ADDRESS(1070,30))</f>
        <v>0</v>
      </c>
      <c r="AE1071">
        <f>INDIRECT(ADDRESS(1071,30))+INDIRECT(ADDRESS(1069,31))-INDIRECT(ADDRESS(1070,31))</f>
        <v>0</v>
      </c>
      <c r="AF1071">
        <f>INDIRECT(ADDRESS(1071,31))+INDIRECT(ADDRESS(1069,32))-INDIRECT(ADDRESS(1070,32))</f>
        <v>0</v>
      </c>
      <c r="AG1071">
        <f>INDIRECT(ADDRESS(1071,32))+INDIRECT(ADDRESS(1069,33))-INDIRECT(ADDRESS(1070,33))</f>
        <v>0</v>
      </c>
      <c r="AH1071">
        <f>INDIRECT(ADDRESS(1071,33))+INDIRECT(ADDRESS(1069,34))-INDIRECT(ADDRESS(1070,34))</f>
        <v>0</v>
      </c>
      <c r="AI1071">
        <f>INDIRECT(ADDRESS(1071,34))+INDIRECT(ADDRESS(1069,35))-INDIRECT(ADDRESS(1070,35))</f>
        <v>0</v>
      </c>
      <c r="AJ1071">
        <f>INDIRECT(ADDRESS(1071,35))+INDIRECT(ADDRESS(1069,36))-INDIRECT(ADDRESS(1070,36))</f>
        <v>0</v>
      </c>
      <c r="AK1071">
        <f>INDIRECT(ADDRESS(1071,36))+INDIRECT(ADDRESS(1069,37))-INDIRECT(ADDRESS(1070,37))</f>
        <v>0</v>
      </c>
      <c r="AL1071">
        <f>INDIRECT(ADDRESS(1071,37))+INDIRECT(ADDRESS(1069,38))-INDIRECT(ADDRESS(1070,38))</f>
        <v>0</v>
      </c>
      <c r="AM1071">
        <f>INDIRECT(ADDRESS(1071,38))+INDIRECT(ADDRESS(1069,39))-INDIRECT(ADDRESS(1070,39))</f>
        <v>0</v>
      </c>
      <c r="AN1071">
        <f>INDIRECT(ADDRESS(1071,39))+INDIRECT(ADDRESS(1069,40))-INDIRECT(ADDRESS(1070,40))</f>
        <v>0</v>
      </c>
      <c r="AO1071">
        <f>SUM(INDIRECT(ADDRESS(1070,8)):INDIRECT(ADDRESS(1070,39)))</f>
        <v>0</v>
      </c>
    </row>
    <row r="1072" spans="1:41">
      <c r="A1072" t="s">
        <v>8</v>
      </c>
      <c r="B1072" t="s">
        <v>88</v>
      </c>
      <c r="C1072" t="s">
        <v>78</v>
      </c>
      <c r="E1072">
        <v>1</v>
      </c>
      <c r="I1072" t="s">
        <v>177</v>
      </c>
    </row>
    <row r="1073" spans="1:41">
      <c r="I1073" t="s">
        <v>178</v>
      </c>
      <c r="J1073">
        <f>IFERROR(VLOOKUP("922-096517-200",Out!B:AB,1+8,0),0)</f>
        <v>0</v>
      </c>
      <c r="K1073">
        <f>IFERROR(VLOOKUP("922-096517-200",Out!B:AB,2+8,0),0)</f>
        <v>0</v>
      </c>
      <c r="L1073">
        <f>IFERROR(VLOOKUP("922-096517-200",Out!B:AB,3+8,0),0)</f>
        <v>0</v>
      </c>
      <c r="M1073">
        <f>IFERROR(VLOOKUP("922-096517-200",Out!B:AB,4+8,0),0)</f>
        <v>0</v>
      </c>
      <c r="N1073">
        <f>IFERROR(VLOOKUP("922-096517-200",Out!B:AB,5+8,0),0)</f>
        <v>0</v>
      </c>
      <c r="O1073">
        <f>IFERROR(VLOOKUP("922-096517-200",Out!B:AB,6+8,0),0)</f>
        <v>0</v>
      </c>
      <c r="P1073">
        <f>IFERROR(VLOOKUP("922-096517-200",Out!B:AB,7+8,0),0)</f>
        <v>0</v>
      </c>
      <c r="Q1073">
        <f>IFERROR(VLOOKUP("922-096517-200",Out!B:AB,8+8,0),0)</f>
        <v>0</v>
      </c>
      <c r="R1073">
        <f>IFERROR(VLOOKUP("922-096517-200",Out!B:AB,9+8,0),0)</f>
        <v>0</v>
      </c>
      <c r="S1073">
        <f>IFERROR(VLOOKUP("922-096517-200",Out!B:AB,10+8,0),0)</f>
        <v>0</v>
      </c>
      <c r="T1073">
        <f>IFERROR(VLOOKUP("922-096517-200",Out!B:AB,11+8,0),0)</f>
        <v>0</v>
      </c>
      <c r="U1073">
        <f>IFERROR(VLOOKUP("922-096517-200",Out!B:AB,12+8,0),0)</f>
        <v>0</v>
      </c>
      <c r="V1073">
        <f>IFERROR(VLOOKUP("922-096517-200",Out!B:AB,13+8,0),0)</f>
        <v>0</v>
      </c>
      <c r="W1073">
        <f>IFERROR(VLOOKUP("922-096517-200",Out!B:AB,14+8,0),0)</f>
        <v>0</v>
      </c>
      <c r="X1073">
        <f>IFERROR(VLOOKUP("922-096517-200",Out!B:AB,15+8,0),0)</f>
        <v>0</v>
      </c>
      <c r="Y1073">
        <f>IFERROR(VLOOKUP("922-096517-200",Out!B:AB,16+8,0),0)</f>
        <v>0</v>
      </c>
      <c r="Z1073">
        <f>IFERROR(VLOOKUP("922-096517-200",Out!B:AB,17+8,0),0)</f>
        <v>0</v>
      </c>
      <c r="AA1073">
        <f>IFERROR(VLOOKUP("922-096517-200",Out!B:AB,18+8,0),0)</f>
        <v>0</v>
      </c>
      <c r="AB1073">
        <f>IFERROR(VLOOKUP("922-096517-200",Out!B:AB,19+8,0),0)</f>
        <v>0</v>
      </c>
      <c r="AC1073">
        <f>IFERROR(VLOOKUP("922-096517-200",Out!B:AB,20+8,0),0)</f>
        <v>0</v>
      </c>
      <c r="AD1073">
        <f>IFERROR(VLOOKUP("922-096517-200",Out!B:AB,21+8,0),0)</f>
        <v>0</v>
      </c>
      <c r="AE1073">
        <f>IFERROR(VLOOKUP("922-096517-200",Out!B:AB,22+8,0),0)</f>
        <v>0</v>
      </c>
      <c r="AF1073">
        <f>IFERROR(VLOOKUP("922-096517-200",Out!B:AB,23+8,0),0)</f>
        <v>0</v>
      </c>
      <c r="AG1073">
        <f>IFERROR(VLOOKUP("922-096517-200",Out!B:AB,24+8,0),0)</f>
        <v>0</v>
      </c>
      <c r="AH1073">
        <f>IFERROR(VLOOKUP("922-096517-200",Out!B:AB,25+8,0),0)</f>
        <v>0</v>
      </c>
      <c r="AI1073">
        <f>IFERROR(VLOOKUP("922-096517-200",Out!B:AB,26+8,0),0)</f>
        <v>0</v>
      </c>
      <c r="AJ1073">
        <f>IFERROR(VLOOKUP("922-096517-200",Out!B:AB,27+8,0),0)</f>
        <v>0</v>
      </c>
      <c r="AK1073">
        <f>IFERROR(VLOOKUP("922-096517-200",Out!B:AB,28+8,0),0)</f>
        <v>0</v>
      </c>
      <c r="AL1073">
        <f>IFERROR(VLOOKUP("922-096517-200",Out!B:AB,29+8,0),0)</f>
        <v>0</v>
      </c>
      <c r="AM1073">
        <f>IFERROR(VLOOKUP("922-096517-200",Out!B:AB,30+8,0),0)</f>
        <v>0</v>
      </c>
      <c r="AN1073">
        <f>IFERROR(VLOOKUP("922-096517-200",Out!B:AB,31+8,0),0)</f>
        <v>0</v>
      </c>
      <c r="AO1073">
        <f>SUN(INDIRECT(ADDRESS(1072,8)):INDIRECT(ADDRESS(1072,39)))</f>
        <v>0</v>
      </c>
    </row>
    <row r="1074" spans="1:41">
      <c r="H1074" t="s">
        <v>179</v>
      </c>
      <c r="J1074">
        <f>INDIRECT(ADDRESS(1074,9))+INDIRECT(ADDRESS(1072,10))-INDIRECT(ADDRESS(1073,10))</f>
        <v>0</v>
      </c>
      <c r="K1074">
        <f>INDIRECT(ADDRESS(1074,10))+INDIRECT(ADDRESS(1072,11))-INDIRECT(ADDRESS(1073,11))</f>
        <v>0</v>
      </c>
      <c r="L1074">
        <f>INDIRECT(ADDRESS(1074,11))+INDIRECT(ADDRESS(1072,12))-INDIRECT(ADDRESS(1073,12))</f>
        <v>0</v>
      </c>
      <c r="M1074">
        <f>INDIRECT(ADDRESS(1074,12))+INDIRECT(ADDRESS(1072,13))-INDIRECT(ADDRESS(1073,13))</f>
        <v>0</v>
      </c>
      <c r="N1074">
        <f>INDIRECT(ADDRESS(1074,13))+INDIRECT(ADDRESS(1072,14))-INDIRECT(ADDRESS(1073,14))</f>
        <v>0</v>
      </c>
      <c r="O1074">
        <f>INDIRECT(ADDRESS(1074,14))+INDIRECT(ADDRESS(1072,15))-INDIRECT(ADDRESS(1073,15))</f>
        <v>0</v>
      </c>
      <c r="P1074">
        <f>INDIRECT(ADDRESS(1074,15))+INDIRECT(ADDRESS(1072,16))-INDIRECT(ADDRESS(1073,16))</f>
        <v>0</v>
      </c>
      <c r="Q1074">
        <f>INDIRECT(ADDRESS(1074,16))+INDIRECT(ADDRESS(1072,17))-INDIRECT(ADDRESS(1073,17))</f>
        <v>0</v>
      </c>
      <c r="R1074">
        <f>INDIRECT(ADDRESS(1074,17))+INDIRECT(ADDRESS(1072,18))-INDIRECT(ADDRESS(1073,18))</f>
        <v>0</v>
      </c>
      <c r="S1074">
        <f>INDIRECT(ADDRESS(1074,18))+INDIRECT(ADDRESS(1072,19))-INDIRECT(ADDRESS(1073,19))</f>
        <v>0</v>
      </c>
      <c r="T1074">
        <f>INDIRECT(ADDRESS(1074,19))+INDIRECT(ADDRESS(1072,20))-INDIRECT(ADDRESS(1073,20))</f>
        <v>0</v>
      </c>
      <c r="U1074">
        <f>INDIRECT(ADDRESS(1074,20))+INDIRECT(ADDRESS(1072,21))-INDIRECT(ADDRESS(1073,21))</f>
        <v>0</v>
      </c>
      <c r="V1074">
        <f>INDIRECT(ADDRESS(1074,21))+INDIRECT(ADDRESS(1072,22))-INDIRECT(ADDRESS(1073,22))</f>
        <v>0</v>
      </c>
      <c r="W1074">
        <f>INDIRECT(ADDRESS(1074,22))+INDIRECT(ADDRESS(1072,23))-INDIRECT(ADDRESS(1073,23))</f>
        <v>0</v>
      </c>
      <c r="X1074">
        <f>INDIRECT(ADDRESS(1074,23))+INDIRECT(ADDRESS(1072,24))-INDIRECT(ADDRESS(1073,24))</f>
        <v>0</v>
      </c>
      <c r="Y1074">
        <f>INDIRECT(ADDRESS(1074,24))+INDIRECT(ADDRESS(1072,25))-INDIRECT(ADDRESS(1073,25))</f>
        <v>0</v>
      </c>
      <c r="Z1074">
        <f>INDIRECT(ADDRESS(1074,25))+INDIRECT(ADDRESS(1072,26))-INDIRECT(ADDRESS(1073,26))</f>
        <v>0</v>
      </c>
      <c r="AA1074">
        <f>INDIRECT(ADDRESS(1074,26))+INDIRECT(ADDRESS(1072,27))-INDIRECT(ADDRESS(1073,27))</f>
        <v>0</v>
      </c>
      <c r="AB1074">
        <f>INDIRECT(ADDRESS(1074,27))+INDIRECT(ADDRESS(1072,28))-INDIRECT(ADDRESS(1073,28))</f>
        <v>0</v>
      </c>
      <c r="AC1074">
        <f>INDIRECT(ADDRESS(1074,28))+INDIRECT(ADDRESS(1072,29))-INDIRECT(ADDRESS(1073,29))</f>
        <v>0</v>
      </c>
      <c r="AD1074">
        <f>INDIRECT(ADDRESS(1074,29))+INDIRECT(ADDRESS(1072,30))-INDIRECT(ADDRESS(1073,30))</f>
        <v>0</v>
      </c>
      <c r="AE1074">
        <f>INDIRECT(ADDRESS(1074,30))+INDIRECT(ADDRESS(1072,31))-INDIRECT(ADDRESS(1073,31))</f>
        <v>0</v>
      </c>
      <c r="AF1074">
        <f>INDIRECT(ADDRESS(1074,31))+INDIRECT(ADDRESS(1072,32))-INDIRECT(ADDRESS(1073,32))</f>
        <v>0</v>
      </c>
      <c r="AG1074">
        <f>INDIRECT(ADDRESS(1074,32))+INDIRECT(ADDRESS(1072,33))-INDIRECT(ADDRESS(1073,33))</f>
        <v>0</v>
      </c>
      <c r="AH1074">
        <f>INDIRECT(ADDRESS(1074,33))+INDIRECT(ADDRESS(1072,34))-INDIRECT(ADDRESS(1073,34))</f>
        <v>0</v>
      </c>
      <c r="AI1074">
        <f>INDIRECT(ADDRESS(1074,34))+INDIRECT(ADDRESS(1072,35))-INDIRECT(ADDRESS(1073,35))</f>
        <v>0</v>
      </c>
      <c r="AJ1074">
        <f>INDIRECT(ADDRESS(1074,35))+INDIRECT(ADDRESS(1072,36))-INDIRECT(ADDRESS(1073,36))</f>
        <v>0</v>
      </c>
      <c r="AK1074">
        <f>INDIRECT(ADDRESS(1074,36))+INDIRECT(ADDRESS(1072,37))-INDIRECT(ADDRESS(1073,37))</f>
        <v>0</v>
      </c>
      <c r="AL1074">
        <f>INDIRECT(ADDRESS(1074,37))+INDIRECT(ADDRESS(1072,38))-INDIRECT(ADDRESS(1073,38))</f>
        <v>0</v>
      </c>
      <c r="AM1074">
        <f>INDIRECT(ADDRESS(1074,38))+INDIRECT(ADDRESS(1072,39))-INDIRECT(ADDRESS(1073,39))</f>
        <v>0</v>
      </c>
      <c r="AN1074">
        <f>INDIRECT(ADDRESS(1074,39))+INDIRECT(ADDRESS(1072,40))-INDIRECT(ADDRESS(1073,40))</f>
        <v>0</v>
      </c>
      <c r="AO1074">
        <f>SUM(INDIRECT(ADDRESS(1073,8)):INDIRECT(ADDRESS(1073,39)))</f>
        <v>0</v>
      </c>
    </row>
    <row r="1075" spans="1:41">
      <c r="A1075" t="s">
        <v>180</v>
      </c>
      <c r="B1075" t="s">
        <v>550</v>
      </c>
      <c r="C1075" t="s">
        <v>551</v>
      </c>
      <c r="E1075">
        <v>1</v>
      </c>
      <c r="I1075" t="s">
        <v>177</v>
      </c>
    </row>
    <row r="1076" spans="1:41">
      <c r="I1076" t="s">
        <v>178</v>
      </c>
      <c r="J1076">
        <f>IFERROR(VLOOKUP("922-096517-200",B:AB,1+8,0),0)</f>
        <v>0</v>
      </c>
      <c r="K1076">
        <f>IFERROR(VLOOKUP("922-096517-200",B:AB,2+8,0),0)</f>
        <v>0</v>
      </c>
      <c r="L1076">
        <f>IFERROR(VLOOKUP("922-096517-200",B:AB,3+8,0),0)</f>
        <v>0</v>
      </c>
      <c r="M1076">
        <f>IFERROR(VLOOKUP("922-096517-200",B:AB,4+8,0),0)</f>
        <v>0</v>
      </c>
      <c r="N1076">
        <f>IFERROR(VLOOKUP("922-096517-200",B:AB,5+8,0),0)</f>
        <v>0</v>
      </c>
      <c r="O1076">
        <f>IFERROR(VLOOKUP("922-096517-200",B:AB,6+8,0),0)</f>
        <v>0</v>
      </c>
      <c r="P1076">
        <f>IFERROR(VLOOKUP("922-096517-200",B:AB,7+8,0),0)</f>
        <v>0</v>
      </c>
      <c r="Q1076">
        <f>IFERROR(VLOOKUP("922-096517-200",B:AB,8+8,0),0)</f>
        <v>0</v>
      </c>
      <c r="R1076">
        <f>IFERROR(VLOOKUP("922-096517-200",B:AB,9+8,0),0)</f>
        <v>0</v>
      </c>
      <c r="S1076">
        <f>IFERROR(VLOOKUP("922-096517-200",B:AB,10+8,0),0)</f>
        <v>0</v>
      </c>
      <c r="T1076">
        <f>IFERROR(VLOOKUP("922-096517-200",B:AB,11+8,0),0)</f>
        <v>0</v>
      </c>
      <c r="U1076">
        <f>IFERROR(VLOOKUP("922-096517-200",B:AB,12+8,0),0)</f>
        <v>0</v>
      </c>
      <c r="V1076">
        <f>IFERROR(VLOOKUP("922-096517-200",B:AB,13+8,0),0)</f>
        <v>0</v>
      </c>
      <c r="W1076">
        <f>IFERROR(VLOOKUP("922-096517-200",B:AB,14+8,0),0)</f>
        <v>0</v>
      </c>
      <c r="X1076">
        <f>IFERROR(VLOOKUP("922-096517-200",B:AB,15+8,0),0)</f>
        <v>0</v>
      </c>
      <c r="Y1076">
        <f>IFERROR(VLOOKUP("922-096517-200",B:AB,16+8,0),0)</f>
        <v>0</v>
      </c>
      <c r="Z1076">
        <f>IFERROR(VLOOKUP("922-096517-200",B:AB,17+8,0),0)</f>
        <v>0</v>
      </c>
      <c r="AA1076">
        <f>IFERROR(VLOOKUP("922-096517-200",B:AB,18+8,0),0)</f>
        <v>0</v>
      </c>
      <c r="AB1076">
        <f>IFERROR(VLOOKUP("922-096517-200",B:AB,19+8,0),0)</f>
        <v>0</v>
      </c>
      <c r="AC1076">
        <f>IFERROR(VLOOKUP("922-096517-200",B:AB,20+8,0),0)</f>
        <v>0</v>
      </c>
      <c r="AD1076">
        <f>IFERROR(VLOOKUP("922-096517-200",B:AB,21+8,0),0)</f>
        <v>0</v>
      </c>
      <c r="AE1076">
        <f>IFERROR(VLOOKUP("922-096517-200",B:AB,22+8,0),0)</f>
        <v>0</v>
      </c>
      <c r="AF1076">
        <f>IFERROR(VLOOKUP("922-096517-200",B:AB,23+8,0),0)</f>
        <v>0</v>
      </c>
      <c r="AG1076">
        <f>IFERROR(VLOOKUP("922-096517-200",B:AB,24+8,0),0)</f>
        <v>0</v>
      </c>
      <c r="AH1076">
        <f>IFERROR(VLOOKUP("922-096517-200",B:AB,25+8,0),0)</f>
        <v>0</v>
      </c>
      <c r="AI1076">
        <f>IFERROR(VLOOKUP("922-096517-200",B:AB,26+8,0),0)</f>
        <v>0</v>
      </c>
      <c r="AJ1076">
        <f>IFERROR(VLOOKUP("922-096517-200",B:AB,27+8,0),0)</f>
        <v>0</v>
      </c>
      <c r="AK1076">
        <f>IFERROR(VLOOKUP("922-096517-200",B:AB,28+8,0),0)</f>
        <v>0</v>
      </c>
      <c r="AL1076">
        <f>IFERROR(VLOOKUP("922-096517-200",B:AB,29+8,0),0)</f>
        <v>0</v>
      </c>
      <c r="AM1076">
        <f>IFERROR(VLOOKUP("922-096517-200",B:AB,30+8,0),0)</f>
        <v>0</v>
      </c>
      <c r="AN1076">
        <f>IFERROR(VLOOKUP("922-096517-200",B:AB,31+8,0),0)</f>
        <v>0</v>
      </c>
      <c r="AO1076">
        <f>SUN(INDIRECT(ADDRESS(1075,8)):INDIRECT(ADDRESS(1075,39)))</f>
        <v>0</v>
      </c>
    </row>
    <row r="1077" spans="1:41">
      <c r="H1077" t="s">
        <v>179</v>
      </c>
      <c r="J1077">
        <f>INDIRECT(ADDRESS(1077,9))+INDIRECT(ADDRESS(1075,10))-INDIRECT(ADDRESS(1076,10))</f>
        <v>0</v>
      </c>
      <c r="K1077">
        <f>INDIRECT(ADDRESS(1077,10))+INDIRECT(ADDRESS(1075,11))-INDIRECT(ADDRESS(1076,11))</f>
        <v>0</v>
      </c>
      <c r="L1077">
        <f>INDIRECT(ADDRESS(1077,11))+INDIRECT(ADDRESS(1075,12))-INDIRECT(ADDRESS(1076,12))</f>
        <v>0</v>
      </c>
      <c r="M1077">
        <f>INDIRECT(ADDRESS(1077,12))+INDIRECT(ADDRESS(1075,13))-INDIRECT(ADDRESS(1076,13))</f>
        <v>0</v>
      </c>
      <c r="N1077">
        <f>INDIRECT(ADDRESS(1077,13))+INDIRECT(ADDRESS(1075,14))-INDIRECT(ADDRESS(1076,14))</f>
        <v>0</v>
      </c>
      <c r="O1077">
        <f>INDIRECT(ADDRESS(1077,14))+INDIRECT(ADDRESS(1075,15))-INDIRECT(ADDRESS(1076,15))</f>
        <v>0</v>
      </c>
      <c r="P1077">
        <f>INDIRECT(ADDRESS(1077,15))+INDIRECT(ADDRESS(1075,16))-INDIRECT(ADDRESS(1076,16))</f>
        <v>0</v>
      </c>
      <c r="Q1077">
        <f>INDIRECT(ADDRESS(1077,16))+INDIRECT(ADDRESS(1075,17))-INDIRECT(ADDRESS(1076,17))</f>
        <v>0</v>
      </c>
      <c r="R1077">
        <f>INDIRECT(ADDRESS(1077,17))+INDIRECT(ADDRESS(1075,18))-INDIRECT(ADDRESS(1076,18))</f>
        <v>0</v>
      </c>
      <c r="S1077">
        <f>INDIRECT(ADDRESS(1077,18))+INDIRECT(ADDRESS(1075,19))-INDIRECT(ADDRESS(1076,19))</f>
        <v>0</v>
      </c>
      <c r="T1077">
        <f>INDIRECT(ADDRESS(1077,19))+INDIRECT(ADDRESS(1075,20))-INDIRECT(ADDRESS(1076,20))</f>
        <v>0</v>
      </c>
      <c r="U1077">
        <f>INDIRECT(ADDRESS(1077,20))+INDIRECT(ADDRESS(1075,21))-INDIRECT(ADDRESS(1076,21))</f>
        <v>0</v>
      </c>
      <c r="V1077">
        <f>INDIRECT(ADDRESS(1077,21))+INDIRECT(ADDRESS(1075,22))-INDIRECT(ADDRESS(1076,22))</f>
        <v>0</v>
      </c>
      <c r="W1077">
        <f>INDIRECT(ADDRESS(1077,22))+INDIRECT(ADDRESS(1075,23))-INDIRECT(ADDRESS(1076,23))</f>
        <v>0</v>
      </c>
      <c r="X1077">
        <f>INDIRECT(ADDRESS(1077,23))+INDIRECT(ADDRESS(1075,24))-INDIRECT(ADDRESS(1076,24))</f>
        <v>0</v>
      </c>
      <c r="Y1077">
        <f>INDIRECT(ADDRESS(1077,24))+INDIRECT(ADDRESS(1075,25))-INDIRECT(ADDRESS(1076,25))</f>
        <v>0</v>
      </c>
      <c r="Z1077">
        <f>INDIRECT(ADDRESS(1077,25))+INDIRECT(ADDRESS(1075,26))-INDIRECT(ADDRESS(1076,26))</f>
        <v>0</v>
      </c>
      <c r="AA1077">
        <f>INDIRECT(ADDRESS(1077,26))+INDIRECT(ADDRESS(1075,27))-INDIRECT(ADDRESS(1076,27))</f>
        <v>0</v>
      </c>
      <c r="AB1077">
        <f>INDIRECT(ADDRESS(1077,27))+INDIRECT(ADDRESS(1075,28))-INDIRECT(ADDRESS(1076,28))</f>
        <v>0</v>
      </c>
      <c r="AC1077">
        <f>INDIRECT(ADDRESS(1077,28))+INDIRECT(ADDRESS(1075,29))-INDIRECT(ADDRESS(1076,29))</f>
        <v>0</v>
      </c>
      <c r="AD1077">
        <f>INDIRECT(ADDRESS(1077,29))+INDIRECT(ADDRESS(1075,30))-INDIRECT(ADDRESS(1076,30))</f>
        <v>0</v>
      </c>
      <c r="AE1077">
        <f>INDIRECT(ADDRESS(1077,30))+INDIRECT(ADDRESS(1075,31))-INDIRECT(ADDRESS(1076,31))</f>
        <v>0</v>
      </c>
      <c r="AF1077">
        <f>INDIRECT(ADDRESS(1077,31))+INDIRECT(ADDRESS(1075,32))-INDIRECT(ADDRESS(1076,32))</f>
        <v>0</v>
      </c>
      <c r="AG1077">
        <f>INDIRECT(ADDRESS(1077,32))+INDIRECT(ADDRESS(1075,33))-INDIRECT(ADDRESS(1076,33))</f>
        <v>0</v>
      </c>
      <c r="AH1077">
        <f>INDIRECT(ADDRESS(1077,33))+INDIRECT(ADDRESS(1075,34))-INDIRECT(ADDRESS(1076,34))</f>
        <v>0</v>
      </c>
      <c r="AI1077">
        <f>INDIRECT(ADDRESS(1077,34))+INDIRECT(ADDRESS(1075,35))-INDIRECT(ADDRESS(1076,35))</f>
        <v>0</v>
      </c>
      <c r="AJ1077">
        <f>INDIRECT(ADDRESS(1077,35))+INDIRECT(ADDRESS(1075,36))-INDIRECT(ADDRESS(1076,36))</f>
        <v>0</v>
      </c>
      <c r="AK1077">
        <f>INDIRECT(ADDRESS(1077,36))+INDIRECT(ADDRESS(1075,37))-INDIRECT(ADDRESS(1076,37))</f>
        <v>0</v>
      </c>
      <c r="AL1077">
        <f>INDIRECT(ADDRESS(1077,37))+INDIRECT(ADDRESS(1075,38))-INDIRECT(ADDRESS(1076,38))</f>
        <v>0</v>
      </c>
      <c r="AM1077">
        <f>INDIRECT(ADDRESS(1077,38))+INDIRECT(ADDRESS(1075,39))-INDIRECT(ADDRESS(1076,39))</f>
        <v>0</v>
      </c>
      <c r="AN1077">
        <f>INDIRECT(ADDRESS(1077,39))+INDIRECT(ADDRESS(1075,40))-INDIRECT(ADDRESS(1076,40))</f>
        <v>0</v>
      </c>
      <c r="AO1077">
        <f>SUM(INDIRECT(ADDRESS(1076,8)):INDIRECT(ADDRESS(1076,39)))</f>
        <v>0</v>
      </c>
    </row>
    <row r="1078" spans="1:41">
      <c r="A1078" t="s">
        <v>185</v>
      </c>
      <c r="B1078" t="s">
        <v>552</v>
      </c>
      <c r="C1078" t="s">
        <v>553</v>
      </c>
      <c r="E1078">
        <v>1</v>
      </c>
      <c r="I1078" t="s">
        <v>177</v>
      </c>
    </row>
    <row r="1079" spans="1:41">
      <c r="I1079" t="s">
        <v>178</v>
      </c>
      <c r="J1079">
        <f>IFERROR(VLOOKUP("922-096517-200",B:AB,1+8,0),0)</f>
        <v>0</v>
      </c>
      <c r="K1079">
        <f>IFERROR(VLOOKUP("922-096517-200",B:AB,2+8,0),0)</f>
        <v>0</v>
      </c>
      <c r="L1079">
        <f>IFERROR(VLOOKUP("922-096517-200",B:AB,3+8,0),0)</f>
        <v>0</v>
      </c>
      <c r="M1079">
        <f>IFERROR(VLOOKUP("922-096517-200",B:AB,4+8,0),0)</f>
        <v>0</v>
      </c>
      <c r="N1079">
        <f>IFERROR(VLOOKUP("922-096517-200",B:AB,5+8,0),0)</f>
        <v>0</v>
      </c>
      <c r="O1079">
        <f>IFERROR(VLOOKUP("922-096517-200",B:AB,6+8,0),0)</f>
        <v>0</v>
      </c>
      <c r="P1079">
        <f>IFERROR(VLOOKUP("922-096517-200",B:AB,7+8,0),0)</f>
        <v>0</v>
      </c>
      <c r="Q1079">
        <f>IFERROR(VLOOKUP("922-096517-200",B:AB,8+8,0),0)</f>
        <v>0</v>
      </c>
      <c r="R1079">
        <f>IFERROR(VLOOKUP("922-096517-200",B:AB,9+8,0),0)</f>
        <v>0</v>
      </c>
      <c r="S1079">
        <f>IFERROR(VLOOKUP("922-096517-200",B:AB,10+8,0),0)</f>
        <v>0</v>
      </c>
      <c r="T1079">
        <f>IFERROR(VLOOKUP("922-096517-200",B:AB,11+8,0),0)</f>
        <v>0</v>
      </c>
      <c r="U1079">
        <f>IFERROR(VLOOKUP("922-096517-200",B:AB,12+8,0),0)</f>
        <v>0</v>
      </c>
      <c r="V1079">
        <f>IFERROR(VLOOKUP("922-096517-200",B:AB,13+8,0),0)</f>
        <v>0</v>
      </c>
      <c r="W1079">
        <f>IFERROR(VLOOKUP("922-096517-200",B:AB,14+8,0),0)</f>
        <v>0</v>
      </c>
      <c r="X1079">
        <f>IFERROR(VLOOKUP("922-096517-200",B:AB,15+8,0),0)</f>
        <v>0</v>
      </c>
      <c r="Y1079">
        <f>IFERROR(VLOOKUP("922-096517-200",B:AB,16+8,0),0)</f>
        <v>0</v>
      </c>
      <c r="Z1079">
        <f>IFERROR(VLOOKUP("922-096517-200",B:AB,17+8,0),0)</f>
        <v>0</v>
      </c>
      <c r="AA1079">
        <f>IFERROR(VLOOKUP("922-096517-200",B:AB,18+8,0),0)</f>
        <v>0</v>
      </c>
      <c r="AB1079">
        <f>IFERROR(VLOOKUP("922-096517-200",B:AB,19+8,0),0)</f>
        <v>0</v>
      </c>
      <c r="AC1079">
        <f>IFERROR(VLOOKUP("922-096517-200",B:AB,20+8,0),0)</f>
        <v>0</v>
      </c>
      <c r="AD1079">
        <f>IFERROR(VLOOKUP("922-096517-200",B:AB,21+8,0),0)</f>
        <v>0</v>
      </c>
      <c r="AE1079">
        <f>IFERROR(VLOOKUP("922-096517-200",B:AB,22+8,0),0)</f>
        <v>0</v>
      </c>
      <c r="AF1079">
        <f>IFERROR(VLOOKUP("922-096517-200",B:AB,23+8,0),0)</f>
        <v>0</v>
      </c>
      <c r="AG1079">
        <f>IFERROR(VLOOKUP("922-096517-200",B:AB,24+8,0),0)</f>
        <v>0</v>
      </c>
      <c r="AH1079">
        <f>IFERROR(VLOOKUP("922-096517-200",B:AB,25+8,0),0)</f>
        <v>0</v>
      </c>
      <c r="AI1079">
        <f>IFERROR(VLOOKUP("922-096517-200",B:AB,26+8,0),0)</f>
        <v>0</v>
      </c>
      <c r="AJ1079">
        <f>IFERROR(VLOOKUP("922-096517-200",B:AB,27+8,0),0)</f>
        <v>0</v>
      </c>
      <c r="AK1079">
        <f>IFERROR(VLOOKUP("922-096517-200",B:AB,28+8,0),0)</f>
        <v>0</v>
      </c>
      <c r="AL1079">
        <f>IFERROR(VLOOKUP("922-096517-200",B:AB,29+8,0),0)</f>
        <v>0</v>
      </c>
      <c r="AM1079">
        <f>IFERROR(VLOOKUP("922-096517-200",B:AB,30+8,0),0)</f>
        <v>0</v>
      </c>
      <c r="AN1079">
        <f>IFERROR(VLOOKUP("922-096517-200",B:AB,31+8,0),0)</f>
        <v>0</v>
      </c>
      <c r="AO1079">
        <f>SUN(INDIRECT(ADDRESS(1078,8)):INDIRECT(ADDRESS(1078,39)))</f>
        <v>0</v>
      </c>
    </row>
    <row r="1080" spans="1:41">
      <c r="H1080" t="s">
        <v>179</v>
      </c>
      <c r="J1080">
        <f>INDIRECT(ADDRESS(1080,9))+INDIRECT(ADDRESS(1078,10))-INDIRECT(ADDRESS(1079,10))</f>
        <v>0</v>
      </c>
      <c r="K1080">
        <f>INDIRECT(ADDRESS(1080,10))+INDIRECT(ADDRESS(1078,11))-INDIRECT(ADDRESS(1079,11))</f>
        <v>0</v>
      </c>
      <c r="L1080">
        <f>INDIRECT(ADDRESS(1080,11))+INDIRECT(ADDRESS(1078,12))-INDIRECT(ADDRESS(1079,12))</f>
        <v>0</v>
      </c>
      <c r="M1080">
        <f>INDIRECT(ADDRESS(1080,12))+INDIRECT(ADDRESS(1078,13))-INDIRECT(ADDRESS(1079,13))</f>
        <v>0</v>
      </c>
      <c r="N1080">
        <f>INDIRECT(ADDRESS(1080,13))+INDIRECT(ADDRESS(1078,14))-INDIRECT(ADDRESS(1079,14))</f>
        <v>0</v>
      </c>
      <c r="O1080">
        <f>INDIRECT(ADDRESS(1080,14))+INDIRECT(ADDRESS(1078,15))-INDIRECT(ADDRESS(1079,15))</f>
        <v>0</v>
      </c>
      <c r="P1080">
        <f>INDIRECT(ADDRESS(1080,15))+INDIRECT(ADDRESS(1078,16))-INDIRECT(ADDRESS(1079,16))</f>
        <v>0</v>
      </c>
      <c r="Q1080">
        <f>INDIRECT(ADDRESS(1080,16))+INDIRECT(ADDRESS(1078,17))-INDIRECT(ADDRESS(1079,17))</f>
        <v>0</v>
      </c>
      <c r="R1080">
        <f>INDIRECT(ADDRESS(1080,17))+INDIRECT(ADDRESS(1078,18))-INDIRECT(ADDRESS(1079,18))</f>
        <v>0</v>
      </c>
      <c r="S1080">
        <f>INDIRECT(ADDRESS(1080,18))+INDIRECT(ADDRESS(1078,19))-INDIRECT(ADDRESS(1079,19))</f>
        <v>0</v>
      </c>
      <c r="T1080">
        <f>INDIRECT(ADDRESS(1080,19))+INDIRECT(ADDRESS(1078,20))-INDIRECT(ADDRESS(1079,20))</f>
        <v>0</v>
      </c>
      <c r="U1080">
        <f>INDIRECT(ADDRESS(1080,20))+INDIRECT(ADDRESS(1078,21))-INDIRECT(ADDRESS(1079,21))</f>
        <v>0</v>
      </c>
      <c r="V1080">
        <f>INDIRECT(ADDRESS(1080,21))+INDIRECT(ADDRESS(1078,22))-INDIRECT(ADDRESS(1079,22))</f>
        <v>0</v>
      </c>
      <c r="W1080">
        <f>INDIRECT(ADDRESS(1080,22))+INDIRECT(ADDRESS(1078,23))-INDIRECT(ADDRESS(1079,23))</f>
        <v>0</v>
      </c>
      <c r="X1080">
        <f>INDIRECT(ADDRESS(1080,23))+INDIRECT(ADDRESS(1078,24))-INDIRECT(ADDRESS(1079,24))</f>
        <v>0</v>
      </c>
      <c r="Y1080">
        <f>INDIRECT(ADDRESS(1080,24))+INDIRECT(ADDRESS(1078,25))-INDIRECT(ADDRESS(1079,25))</f>
        <v>0</v>
      </c>
      <c r="Z1080">
        <f>INDIRECT(ADDRESS(1080,25))+INDIRECT(ADDRESS(1078,26))-INDIRECT(ADDRESS(1079,26))</f>
        <v>0</v>
      </c>
      <c r="AA1080">
        <f>INDIRECT(ADDRESS(1080,26))+INDIRECT(ADDRESS(1078,27))-INDIRECT(ADDRESS(1079,27))</f>
        <v>0</v>
      </c>
      <c r="AB1080">
        <f>INDIRECT(ADDRESS(1080,27))+INDIRECT(ADDRESS(1078,28))-INDIRECT(ADDRESS(1079,28))</f>
        <v>0</v>
      </c>
      <c r="AC1080">
        <f>INDIRECT(ADDRESS(1080,28))+INDIRECT(ADDRESS(1078,29))-INDIRECT(ADDRESS(1079,29))</f>
        <v>0</v>
      </c>
      <c r="AD1080">
        <f>INDIRECT(ADDRESS(1080,29))+INDIRECT(ADDRESS(1078,30))-INDIRECT(ADDRESS(1079,30))</f>
        <v>0</v>
      </c>
      <c r="AE1080">
        <f>INDIRECT(ADDRESS(1080,30))+INDIRECT(ADDRESS(1078,31))-INDIRECT(ADDRESS(1079,31))</f>
        <v>0</v>
      </c>
      <c r="AF1080">
        <f>INDIRECT(ADDRESS(1080,31))+INDIRECT(ADDRESS(1078,32))-INDIRECT(ADDRESS(1079,32))</f>
        <v>0</v>
      </c>
      <c r="AG1080">
        <f>INDIRECT(ADDRESS(1080,32))+INDIRECT(ADDRESS(1078,33))-INDIRECT(ADDRESS(1079,33))</f>
        <v>0</v>
      </c>
      <c r="AH1080">
        <f>INDIRECT(ADDRESS(1080,33))+INDIRECT(ADDRESS(1078,34))-INDIRECT(ADDRESS(1079,34))</f>
        <v>0</v>
      </c>
      <c r="AI1080">
        <f>INDIRECT(ADDRESS(1080,34))+INDIRECT(ADDRESS(1078,35))-INDIRECT(ADDRESS(1079,35))</f>
        <v>0</v>
      </c>
      <c r="AJ1080">
        <f>INDIRECT(ADDRESS(1080,35))+INDIRECT(ADDRESS(1078,36))-INDIRECT(ADDRESS(1079,36))</f>
        <v>0</v>
      </c>
      <c r="AK1080">
        <f>INDIRECT(ADDRESS(1080,36))+INDIRECT(ADDRESS(1078,37))-INDIRECT(ADDRESS(1079,37))</f>
        <v>0</v>
      </c>
      <c r="AL1080">
        <f>INDIRECT(ADDRESS(1080,37))+INDIRECT(ADDRESS(1078,38))-INDIRECT(ADDRESS(1079,38))</f>
        <v>0</v>
      </c>
      <c r="AM1080">
        <f>INDIRECT(ADDRESS(1080,38))+INDIRECT(ADDRESS(1078,39))-INDIRECT(ADDRESS(1079,39))</f>
        <v>0</v>
      </c>
      <c r="AN1080">
        <f>INDIRECT(ADDRESS(1080,39))+INDIRECT(ADDRESS(1078,40))-INDIRECT(ADDRESS(1079,40))</f>
        <v>0</v>
      </c>
      <c r="AO1080">
        <f>SUM(INDIRECT(ADDRESS(1079,8)):INDIRECT(ADDRESS(1079,39)))</f>
        <v>0</v>
      </c>
    </row>
    <row r="1081" spans="1:41">
      <c r="A1081" t="s">
        <v>206</v>
      </c>
      <c r="B1081" t="s">
        <v>554</v>
      </c>
      <c r="C1081" t="s">
        <v>555</v>
      </c>
      <c r="E1081">
        <v>0.05</v>
      </c>
      <c r="I1081" t="s">
        <v>177</v>
      </c>
    </row>
    <row r="1082" spans="1:41">
      <c r="I1082" t="s">
        <v>178</v>
      </c>
      <c r="J1082">
        <f>IFERROR(VLOOKUP("922-096517-200",B:AB,1+8,0),0)</f>
        <v>0</v>
      </c>
      <c r="K1082">
        <f>IFERROR(VLOOKUP("922-096517-200",B:AB,2+8,0),0)</f>
        <v>0</v>
      </c>
      <c r="L1082">
        <f>IFERROR(VLOOKUP("922-096517-200",B:AB,3+8,0),0)</f>
        <v>0</v>
      </c>
      <c r="M1082">
        <f>IFERROR(VLOOKUP("922-096517-200",B:AB,4+8,0),0)</f>
        <v>0</v>
      </c>
      <c r="N1082">
        <f>IFERROR(VLOOKUP("922-096517-200",B:AB,5+8,0),0)</f>
        <v>0</v>
      </c>
      <c r="O1082">
        <f>IFERROR(VLOOKUP("922-096517-200",B:AB,6+8,0),0)</f>
        <v>0</v>
      </c>
      <c r="P1082">
        <f>IFERROR(VLOOKUP("922-096517-200",B:AB,7+8,0),0)</f>
        <v>0</v>
      </c>
      <c r="Q1082">
        <f>IFERROR(VLOOKUP("922-096517-200",B:AB,8+8,0),0)</f>
        <v>0</v>
      </c>
      <c r="R1082">
        <f>IFERROR(VLOOKUP("922-096517-200",B:AB,9+8,0),0)</f>
        <v>0</v>
      </c>
      <c r="S1082">
        <f>IFERROR(VLOOKUP("922-096517-200",B:AB,10+8,0),0)</f>
        <v>0</v>
      </c>
      <c r="T1082">
        <f>IFERROR(VLOOKUP("922-096517-200",B:AB,11+8,0),0)</f>
        <v>0</v>
      </c>
      <c r="U1082">
        <f>IFERROR(VLOOKUP("922-096517-200",B:AB,12+8,0),0)</f>
        <v>0</v>
      </c>
      <c r="V1082">
        <f>IFERROR(VLOOKUP("922-096517-200",B:AB,13+8,0),0)</f>
        <v>0</v>
      </c>
      <c r="W1082">
        <f>IFERROR(VLOOKUP("922-096517-200",B:AB,14+8,0),0)</f>
        <v>0</v>
      </c>
      <c r="X1082">
        <f>IFERROR(VLOOKUP("922-096517-200",B:AB,15+8,0),0)</f>
        <v>0</v>
      </c>
      <c r="Y1082">
        <f>IFERROR(VLOOKUP("922-096517-200",B:AB,16+8,0),0)</f>
        <v>0</v>
      </c>
      <c r="Z1082">
        <f>IFERROR(VLOOKUP("922-096517-200",B:AB,17+8,0),0)</f>
        <v>0</v>
      </c>
      <c r="AA1082">
        <f>IFERROR(VLOOKUP("922-096517-200",B:AB,18+8,0),0)</f>
        <v>0</v>
      </c>
      <c r="AB1082">
        <f>IFERROR(VLOOKUP("922-096517-200",B:AB,19+8,0),0)</f>
        <v>0</v>
      </c>
      <c r="AC1082">
        <f>IFERROR(VLOOKUP("922-096517-200",B:AB,20+8,0),0)</f>
        <v>0</v>
      </c>
      <c r="AD1082">
        <f>IFERROR(VLOOKUP("922-096517-200",B:AB,21+8,0),0)</f>
        <v>0</v>
      </c>
      <c r="AE1082">
        <f>IFERROR(VLOOKUP("922-096517-200",B:AB,22+8,0),0)</f>
        <v>0</v>
      </c>
      <c r="AF1082">
        <f>IFERROR(VLOOKUP("922-096517-200",B:AB,23+8,0),0)</f>
        <v>0</v>
      </c>
      <c r="AG1082">
        <f>IFERROR(VLOOKUP("922-096517-200",B:AB,24+8,0),0)</f>
        <v>0</v>
      </c>
      <c r="AH1082">
        <f>IFERROR(VLOOKUP("922-096517-200",B:AB,25+8,0),0)</f>
        <v>0</v>
      </c>
      <c r="AI1082">
        <f>IFERROR(VLOOKUP("922-096517-200",B:AB,26+8,0),0)</f>
        <v>0</v>
      </c>
      <c r="AJ1082">
        <f>IFERROR(VLOOKUP("922-096517-200",B:AB,27+8,0),0)</f>
        <v>0</v>
      </c>
      <c r="AK1082">
        <f>IFERROR(VLOOKUP("922-096517-200",B:AB,28+8,0),0)</f>
        <v>0</v>
      </c>
      <c r="AL1082">
        <f>IFERROR(VLOOKUP("922-096517-200",B:AB,29+8,0),0)</f>
        <v>0</v>
      </c>
      <c r="AM1082">
        <f>IFERROR(VLOOKUP("922-096517-200",B:AB,30+8,0),0)</f>
        <v>0</v>
      </c>
      <c r="AN1082">
        <f>IFERROR(VLOOKUP("922-096517-200",B:AB,31+8,0),0)</f>
        <v>0</v>
      </c>
      <c r="AO1082">
        <f>SUN(INDIRECT(ADDRESS(1081,8)):INDIRECT(ADDRESS(1081,39)))</f>
        <v>0</v>
      </c>
    </row>
    <row r="1083" spans="1:41">
      <c r="H1083" t="s">
        <v>179</v>
      </c>
      <c r="J1083">
        <f>INDIRECT(ADDRESS(1083,9))+INDIRECT(ADDRESS(1081,10))-INDIRECT(ADDRESS(1082,10))</f>
        <v>0</v>
      </c>
      <c r="K1083">
        <f>INDIRECT(ADDRESS(1083,10))+INDIRECT(ADDRESS(1081,11))-INDIRECT(ADDRESS(1082,11))</f>
        <v>0</v>
      </c>
      <c r="L1083">
        <f>INDIRECT(ADDRESS(1083,11))+INDIRECT(ADDRESS(1081,12))-INDIRECT(ADDRESS(1082,12))</f>
        <v>0</v>
      </c>
      <c r="M1083">
        <f>INDIRECT(ADDRESS(1083,12))+INDIRECT(ADDRESS(1081,13))-INDIRECT(ADDRESS(1082,13))</f>
        <v>0</v>
      </c>
      <c r="N1083">
        <f>INDIRECT(ADDRESS(1083,13))+INDIRECT(ADDRESS(1081,14))-INDIRECT(ADDRESS(1082,14))</f>
        <v>0</v>
      </c>
      <c r="O1083">
        <f>INDIRECT(ADDRESS(1083,14))+INDIRECT(ADDRESS(1081,15))-INDIRECT(ADDRESS(1082,15))</f>
        <v>0</v>
      </c>
      <c r="P1083">
        <f>INDIRECT(ADDRESS(1083,15))+INDIRECT(ADDRESS(1081,16))-INDIRECT(ADDRESS(1082,16))</f>
        <v>0</v>
      </c>
      <c r="Q1083">
        <f>INDIRECT(ADDRESS(1083,16))+INDIRECT(ADDRESS(1081,17))-INDIRECT(ADDRESS(1082,17))</f>
        <v>0</v>
      </c>
      <c r="R1083">
        <f>INDIRECT(ADDRESS(1083,17))+INDIRECT(ADDRESS(1081,18))-INDIRECT(ADDRESS(1082,18))</f>
        <v>0</v>
      </c>
      <c r="S1083">
        <f>INDIRECT(ADDRESS(1083,18))+INDIRECT(ADDRESS(1081,19))-INDIRECT(ADDRESS(1082,19))</f>
        <v>0</v>
      </c>
      <c r="T1083">
        <f>INDIRECT(ADDRESS(1083,19))+INDIRECT(ADDRESS(1081,20))-INDIRECT(ADDRESS(1082,20))</f>
        <v>0</v>
      </c>
      <c r="U1083">
        <f>INDIRECT(ADDRESS(1083,20))+INDIRECT(ADDRESS(1081,21))-INDIRECT(ADDRESS(1082,21))</f>
        <v>0</v>
      </c>
      <c r="V1083">
        <f>INDIRECT(ADDRESS(1083,21))+INDIRECT(ADDRESS(1081,22))-INDIRECT(ADDRESS(1082,22))</f>
        <v>0</v>
      </c>
      <c r="W1083">
        <f>INDIRECT(ADDRESS(1083,22))+INDIRECT(ADDRESS(1081,23))-INDIRECT(ADDRESS(1082,23))</f>
        <v>0</v>
      </c>
      <c r="X1083">
        <f>INDIRECT(ADDRESS(1083,23))+INDIRECT(ADDRESS(1081,24))-INDIRECT(ADDRESS(1082,24))</f>
        <v>0</v>
      </c>
      <c r="Y1083">
        <f>INDIRECT(ADDRESS(1083,24))+INDIRECT(ADDRESS(1081,25))-INDIRECT(ADDRESS(1082,25))</f>
        <v>0</v>
      </c>
      <c r="Z1083">
        <f>INDIRECT(ADDRESS(1083,25))+INDIRECT(ADDRESS(1081,26))-INDIRECT(ADDRESS(1082,26))</f>
        <v>0</v>
      </c>
      <c r="AA1083">
        <f>INDIRECT(ADDRESS(1083,26))+INDIRECT(ADDRESS(1081,27))-INDIRECT(ADDRESS(1082,27))</f>
        <v>0</v>
      </c>
      <c r="AB1083">
        <f>INDIRECT(ADDRESS(1083,27))+INDIRECT(ADDRESS(1081,28))-INDIRECT(ADDRESS(1082,28))</f>
        <v>0</v>
      </c>
      <c r="AC1083">
        <f>INDIRECT(ADDRESS(1083,28))+INDIRECT(ADDRESS(1081,29))-INDIRECT(ADDRESS(1082,29))</f>
        <v>0</v>
      </c>
      <c r="AD1083">
        <f>INDIRECT(ADDRESS(1083,29))+INDIRECT(ADDRESS(1081,30))-INDIRECT(ADDRESS(1082,30))</f>
        <v>0</v>
      </c>
      <c r="AE1083">
        <f>INDIRECT(ADDRESS(1083,30))+INDIRECT(ADDRESS(1081,31))-INDIRECT(ADDRESS(1082,31))</f>
        <v>0</v>
      </c>
      <c r="AF1083">
        <f>INDIRECT(ADDRESS(1083,31))+INDIRECT(ADDRESS(1081,32))-INDIRECT(ADDRESS(1082,32))</f>
        <v>0</v>
      </c>
      <c r="AG1083">
        <f>INDIRECT(ADDRESS(1083,32))+INDIRECT(ADDRESS(1081,33))-INDIRECT(ADDRESS(1082,33))</f>
        <v>0</v>
      </c>
      <c r="AH1083">
        <f>INDIRECT(ADDRESS(1083,33))+INDIRECT(ADDRESS(1081,34))-INDIRECT(ADDRESS(1082,34))</f>
        <v>0</v>
      </c>
      <c r="AI1083">
        <f>INDIRECT(ADDRESS(1083,34))+INDIRECT(ADDRESS(1081,35))-INDIRECT(ADDRESS(1082,35))</f>
        <v>0</v>
      </c>
      <c r="AJ1083">
        <f>INDIRECT(ADDRESS(1083,35))+INDIRECT(ADDRESS(1081,36))-INDIRECT(ADDRESS(1082,36))</f>
        <v>0</v>
      </c>
      <c r="AK1083">
        <f>INDIRECT(ADDRESS(1083,36))+INDIRECT(ADDRESS(1081,37))-INDIRECT(ADDRESS(1082,37))</f>
        <v>0</v>
      </c>
      <c r="AL1083">
        <f>INDIRECT(ADDRESS(1083,37))+INDIRECT(ADDRESS(1081,38))-INDIRECT(ADDRESS(1082,38))</f>
        <v>0</v>
      </c>
      <c r="AM1083">
        <f>INDIRECT(ADDRESS(1083,38))+INDIRECT(ADDRESS(1081,39))-INDIRECT(ADDRESS(1082,39))</f>
        <v>0</v>
      </c>
      <c r="AN1083">
        <f>INDIRECT(ADDRESS(1083,39))+INDIRECT(ADDRESS(1081,40))-INDIRECT(ADDRESS(1082,40))</f>
        <v>0</v>
      </c>
      <c r="AO1083">
        <f>SUM(INDIRECT(ADDRESS(1082,8)):INDIRECT(ADDRESS(1082,39)))</f>
        <v>0</v>
      </c>
    </row>
    <row r="1084" spans="1:41">
      <c r="A1084" t="s">
        <v>8</v>
      </c>
      <c r="B1084" t="s">
        <v>89</v>
      </c>
      <c r="C1084" t="s">
        <v>80</v>
      </c>
      <c r="E1084">
        <v>1</v>
      </c>
      <c r="I1084" t="s">
        <v>177</v>
      </c>
    </row>
    <row r="1085" spans="1:41">
      <c r="I1085" t="s">
        <v>178</v>
      </c>
      <c r="J1085">
        <f>IFERROR(VLOOKUP("922-096517-300",Out!B:AB,1+8,0),0)</f>
        <v>0</v>
      </c>
      <c r="K1085">
        <f>IFERROR(VLOOKUP("922-096517-300",Out!B:AB,2+8,0),0)</f>
        <v>0</v>
      </c>
      <c r="L1085">
        <f>IFERROR(VLOOKUP("922-096517-300",Out!B:AB,3+8,0),0)</f>
        <v>0</v>
      </c>
      <c r="M1085">
        <f>IFERROR(VLOOKUP("922-096517-300",Out!B:AB,4+8,0),0)</f>
        <v>0</v>
      </c>
      <c r="N1085">
        <f>IFERROR(VLOOKUP("922-096517-300",Out!B:AB,5+8,0),0)</f>
        <v>0</v>
      </c>
      <c r="O1085">
        <f>IFERROR(VLOOKUP("922-096517-300",Out!B:AB,6+8,0),0)</f>
        <v>0</v>
      </c>
      <c r="P1085">
        <f>IFERROR(VLOOKUP("922-096517-300",Out!B:AB,7+8,0),0)</f>
        <v>0</v>
      </c>
      <c r="Q1085">
        <f>IFERROR(VLOOKUP("922-096517-300",Out!B:AB,8+8,0),0)</f>
        <v>0</v>
      </c>
      <c r="R1085">
        <f>IFERROR(VLOOKUP("922-096517-300",Out!B:AB,9+8,0),0)</f>
        <v>0</v>
      </c>
      <c r="S1085">
        <f>IFERROR(VLOOKUP("922-096517-300",Out!B:AB,10+8,0),0)</f>
        <v>0</v>
      </c>
      <c r="T1085">
        <f>IFERROR(VLOOKUP("922-096517-300",Out!B:AB,11+8,0),0)</f>
        <v>0</v>
      </c>
      <c r="U1085">
        <f>IFERROR(VLOOKUP("922-096517-300",Out!B:AB,12+8,0),0)</f>
        <v>0</v>
      </c>
      <c r="V1085">
        <f>IFERROR(VLOOKUP("922-096517-300",Out!B:AB,13+8,0),0)</f>
        <v>0</v>
      </c>
      <c r="W1085">
        <f>IFERROR(VLOOKUP("922-096517-300",Out!B:AB,14+8,0),0)</f>
        <v>0</v>
      </c>
      <c r="X1085">
        <f>IFERROR(VLOOKUP("922-096517-300",Out!B:AB,15+8,0),0)</f>
        <v>0</v>
      </c>
      <c r="Y1085">
        <f>IFERROR(VLOOKUP("922-096517-300",Out!B:AB,16+8,0),0)</f>
        <v>0</v>
      </c>
      <c r="Z1085">
        <f>IFERROR(VLOOKUP("922-096517-300",Out!B:AB,17+8,0),0)</f>
        <v>0</v>
      </c>
      <c r="AA1085">
        <f>IFERROR(VLOOKUP("922-096517-300",Out!B:AB,18+8,0),0)</f>
        <v>0</v>
      </c>
      <c r="AB1085">
        <f>IFERROR(VLOOKUP("922-096517-300",Out!B:AB,19+8,0),0)</f>
        <v>0</v>
      </c>
      <c r="AC1085">
        <f>IFERROR(VLOOKUP("922-096517-300",Out!B:AB,20+8,0),0)</f>
        <v>0</v>
      </c>
      <c r="AD1085">
        <f>IFERROR(VLOOKUP("922-096517-300",Out!B:AB,21+8,0),0)</f>
        <v>0</v>
      </c>
      <c r="AE1085">
        <f>IFERROR(VLOOKUP("922-096517-300",Out!B:AB,22+8,0),0)</f>
        <v>0</v>
      </c>
      <c r="AF1085">
        <f>IFERROR(VLOOKUP("922-096517-300",Out!B:AB,23+8,0),0)</f>
        <v>0</v>
      </c>
      <c r="AG1085">
        <f>IFERROR(VLOOKUP("922-096517-300",Out!B:AB,24+8,0),0)</f>
        <v>0</v>
      </c>
      <c r="AH1085">
        <f>IFERROR(VLOOKUP("922-096517-300",Out!B:AB,25+8,0),0)</f>
        <v>0</v>
      </c>
      <c r="AI1085">
        <f>IFERROR(VLOOKUP("922-096517-300",Out!B:AB,26+8,0),0)</f>
        <v>0</v>
      </c>
      <c r="AJ1085">
        <f>IFERROR(VLOOKUP("922-096517-300",Out!B:AB,27+8,0),0)</f>
        <v>0</v>
      </c>
      <c r="AK1085">
        <f>IFERROR(VLOOKUP("922-096517-300",Out!B:AB,28+8,0),0)</f>
        <v>0</v>
      </c>
      <c r="AL1085">
        <f>IFERROR(VLOOKUP("922-096517-300",Out!B:AB,29+8,0),0)</f>
        <v>0</v>
      </c>
      <c r="AM1085">
        <f>IFERROR(VLOOKUP("922-096517-300",Out!B:AB,30+8,0),0)</f>
        <v>0</v>
      </c>
      <c r="AN1085">
        <f>IFERROR(VLOOKUP("922-096517-300",Out!B:AB,31+8,0),0)</f>
        <v>0</v>
      </c>
      <c r="AO1085">
        <f>SUN(INDIRECT(ADDRESS(1084,8)):INDIRECT(ADDRESS(1084,39)))</f>
        <v>0</v>
      </c>
    </row>
    <row r="1086" spans="1:41">
      <c r="H1086" t="s">
        <v>179</v>
      </c>
      <c r="J1086">
        <f>INDIRECT(ADDRESS(1086,9))+INDIRECT(ADDRESS(1084,10))-INDIRECT(ADDRESS(1085,10))</f>
        <v>0</v>
      </c>
      <c r="K1086">
        <f>INDIRECT(ADDRESS(1086,10))+INDIRECT(ADDRESS(1084,11))-INDIRECT(ADDRESS(1085,11))</f>
        <v>0</v>
      </c>
      <c r="L1086">
        <f>INDIRECT(ADDRESS(1086,11))+INDIRECT(ADDRESS(1084,12))-INDIRECT(ADDRESS(1085,12))</f>
        <v>0</v>
      </c>
      <c r="M1086">
        <f>INDIRECT(ADDRESS(1086,12))+INDIRECT(ADDRESS(1084,13))-INDIRECT(ADDRESS(1085,13))</f>
        <v>0</v>
      </c>
      <c r="N1086">
        <f>INDIRECT(ADDRESS(1086,13))+INDIRECT(ADDRESS(1084,14))-INDIRECT(ADDRESS(1085,14))</f>
        <v>0</v>
      </c>
      <c r="O1086">
        <f>INDIRECT(ADDRESS(1086,14))+INDIRECT(ADDRESS(1084,15))-INDIRECT(ADDRESS(1085,15))</f>
        <v>0</v>
      </c>
      <c r="P1086">
        <f>INDIRECT(ADDRESS(1086,15))+INDIRECT(ADDRESS(1084,16))-INDIRECT(ADDRESS(1085,16))</f>
        <v>0</v>
      </c>
      <c r="Q1086">
        <f>INDIRECT(ADDRESS(1086,16))+INDIRECT(ADDRESS(1084,17))-INDIRECT(ADDRESS(1085,17))</f>
        <v>0</v>
      </c>
      <c r="R1086">
        <f>INDIRECT(ADDRESS(1086,17))+INDIRECT(ADDRESS(1084,18))-INDIRECT(ADDRESS(1085,18))</f>
        <v>0</v>
      </c>
      <c r="S1086">
        <f>INDIRECT(ADDRESS(1086,18))+INDIRECT(ADDRESS(1084,19))-INDIRECT(ADDRESS(1085,19))</f>
        <v>0</v>
      </c>
      <c r="T1086">
        <f>INDIRECT(ADDRESS(1086,19))+INDIRECT(ADDRESS(1084,20))-INDIRECT(ADDRESS(1085,20))</f>
        <v>0</v>
      </c>
      <c r="U1086">
        <f>INDIRECT(ADDRESS(1086,20))+INDIRECT(ADDRESS(1084,21))-INDIRECT(ADDRESS(1085,21))</f>
        <v>0</v>
      </c>
      <c r="V1086">
        <f>INDIRECT(ADDRESS(1086,21))+INDIRECT(ADDRESS(1084,22))-INDIRECT(ADDRESS(1085,22))</f>
        <v>0</v>
      </c>
      <c r="W1086">
        <f>INDIRECT(ADDRESS(1086,22))+INDIRECT(ADDRESS(1084,23))-INDIRECT(ADDRESS(1085,23))</f>
        <v>0</v>
      </c>
      <c r="X1086">
        <f>INDIRECT(ADDRESS(1086,23))+INDIRECT(ADDRESS(1084,24))-INDIRECT(ADDRESS(1085,24))</f>
        <v>0</v>
      </c>
      <c r="Y1086">
        <f>INDIRECT(ADDRESS(1086,24))+INDIRECT(ADDRESS(1084,25))-INDIRECT(ADDRESS(1085,25))</f>
        <v>0</v>
      </c>
      <c r="Z1086">
        <f>INDIRECT(ADDRESS(1086,25))+INDIRECT(ADDRESS(1084,26))-INDIRECT(ADDRESS(1085,26))</f>
        <v>0</v>
      </c>
      <c r="AA1086">
        <f>INDIRECT(ADDRESS(1086,26))+INDIRECT(ADDRESS(1084,27))-INDIRECT(ADDRESS(1085,27))</f>
        <v>0</v>
      </c>
      <c r="AB1086">
        <f>INDIRECT(ADDRESS(1086,27))+INDIRECT(ADDRESS(1084,28))-INDIRECT(ADDRESS(1085,28))</f>
        <v>0</v>
      </c>
      <c r="AC1086">
        <f>INDIRECT(ADDRESS(1086,28))+INDIRECT(ADDRESS(1084,29))-INDIRECT(ADDRESS(1085,29))</f>
        <v>0</v>
      </c>
      <c r="AD1086">
        <f>INDIRECT(ADDRESS(1086,29))+INDIRECT(ADDRESS(1084,30))-INDIRECT(ADDRESS(1085,30))</f>
        <v>0</v>
      </c>
      <c r="AE1086">
        <f>INDIRECT(ADDRESS(1086,30))+INDIRECT(ADDRESS(1084,31))-INDIRECT(ADDRESS(1085,31))</f>
        <v>0</v>
      </c>
      <c r="AF1086">
        <f>INDIRECT(ADDRESS(1086,31))+INDIRECT(ADDRESS(1084,32))-INDIRECT(ADDRESS(1085,32))</f>
        <v>0</v>
      </c>
      <c r="AG1086">
        <f>INDIRECT(ADDRESS(1086,32))+INDIRECT(ADDRESS(1084,33))-INDIRECT(ADDRESS(1085,33))</f>
        <v>0</v>
      </c>
      <c r="AH1086">
        <f>INDIRECT(ADDRESS(1086,33))+INDIRECT(ADDRESS(1084,34))-INDIRECT(ADDRESS(1085,34))</f>
        <v>0</v>
      </c>
      <c r="AI1086">
        <f>INDIRECT(ADDRESS(1086,34))+INDIRECT(ADDRESS(1084,35))-INDIRECT(ADDRESS(1085,35))</f>
        <v>0</v>
      </c>
      <c r="AJ1086">
        <f>INDIRECT(ADDRESS(1086,35))+INDIRECT(ADDRESS(1084,36))-INDIRECT(ADDRESS(1085,36))</f>
        <v>0</v>
      </c>
      <c r="AK1086">
        <f>INDIRECT(ADDRESS(1086,36))+INDIRECT(ADDRESS(1084,37))-INDIRECT(ADDRESS(1085,37))</f>
        <v>0</v>
      </c>
      <c r="AL1086">
        <f>INDIRECT(ADDRESS(1086,37))+INDIRECT(ADDRESS(1084,38))-INDIRECT(ADDRESS(1085,38))</f>
        <v>0</v>
      </c>
      <c r="AM1086">
        <f>INDIRECT(ADDRESS(1086,38))+INDIRECT(ADDRESS(1084,39))-INDIRECT(ADDRESS(1085,39))</f>
        <v>0</v>
      </c>
      <c r="AN1086">
        <f>INDIRECT(ADDRESS(1086,39))+INDIRECT(ADDRESS(1084,40))-INDIRECT(ADDRESS(1085,40))</f>
        <v>0</v>
      </c>
      <c r="AO1086">
        <f>SUM(INDIRECT(ADDRESS(1085,8)):INDIRECT(ADDRESS(1085,39)))</f>
        <v>0</v>
      </c>
    </row>
    <row r="1087" spans="1:41">
      <c r="A1087" t="s">
        <v>180</v>
      </c>
      <c r="B1087" t="s">
        <v>542</v>
      </c>
      <c r="C1087" t="s">
        <v>543</v>
      </c>
      <c r="E1087">
        <v>1</v>
      </c>
      <c r="I1087" t="s">
        <v>177</v>
      </c>
    </row>
    <row r="1088" spans="1:41">
      <c r="I1088" t="s">
        <v>178</v>
      </c>
      <c r="J1088">
        <f>IFERROR(VLOOKUP("922-096517-300",B:AB,1+8,0),0)</f>
        <v>0</v>
      </c>
      <c r="K1088">
        <f>IFERROR(VLOOKUP("922-096517-300",B:AB,2+8,0),0)</f>
        <v>0</v>
      </c>
      <c r="L1088">
        <f>IFERROR(VLOOKUP("922-096517-300",B:AB,3+8,0),0)</f>
        <v>0</v>
      </c>
      <c r="M1088">
        <f>IFERROR(VLOOKUP("922-096517-300",B:AB,4+8,0),0)</f>
        <v>0</v>
      </c>
      <c r="N1088">
        <f>IFERROR(VLOOKUP("922-096517-300",B:AB,5+8,0),0)</f>
        <v>0</v>
      </c>
      <c r="O1088">
        <f>IFERROR(VLOOKUP("922-096517-300",B:AB,6+8,0),0)</f>
        <v>0</v>
      </c>
      <c r="P1088">
        <f>IFERROR(VLOOKUP("922-096517-300",B:AB,7+8,0),0)</f>
        <v>0</v>
      </c>
      <c r="Q1088">
        <f>IFERROR(VLOOKUP("922-096517-300",B:AB,8+8,0),0)</f>
        <v>0</v>
      </c>
      <c r="R1088">
        <f>IFERROR(VLOOKUP("922-096517-300",B:AB,9+8,0),0)</f>
        <v>0</v>
      </c>
      <c r="S1088">
        <f>IFERROR(VLOOKUP("922-096517-300",B:AB,10+8,0),0)</f>
        <v>0</v>
      </c>
      <c r="T1088">
        <f>IFERROR(VLOOKUP("922-096517-300",B:AB,11+8,0),0)</f>
        <v>0</v>
      </c>
      <c r="U1088">
        <f>IFERROR(VLOOKUP("922-096517-300",B:AB,12+8,0),0)</f>
        <v>0</v>
      </c>
      <c r="V1088">
        <f>IFERROR(VLOOKUP("922-096517-300",B:AB,13+8,0),0)</f>
        <v>0</v>
      </c>
      <c r="W1088">
        <f>IFERROR(VLOOKUP("922-096517-300",B:AB,14+8,0),0)</f>
        <v>0</v>
      </c>
      <c r="X1088">
        <f>IFERROR(VLOOKUP("922-096517-300",B:AB,15+8,0),0)</f>
        <v>0</v>
      </c>
      <c r="Y1088">
        <f>IFERROR(VLOOKUP("922-096517-300",B:AB,16+8,0),0)</f>
        <v>0</v>
      </c>
      <c r="Z1088">
        <f>IFERROR(VLOOKUP("922-096517-300",B:AB,17+8,0),0)</f>
        <v>0</v>
      </c>
      <c r="AA1088">
        <f>IFERROR(VLOOKUP("922-096517-300",B:AB,18+8,0),0)</f>
        <v>0</v>
      </c>
      <c r="AB1088">
        <f>IFERROR(VLOOKUP("922-096517-300",B:AB,19+8,0),0)</f>
        <v>0</v>
      </c>
      <c r="AC1088">
        <f>IFERROR(VLOOKUP("922-096517-300",B:AB,20+8,0),0)</f>
        <v>0</v>
      </c>
      <c r="AD1088">
        <f>IFERROR(VLOOKUP("922-096517-300",B:AB,21+8,0),0)</f>
        <v>0</v>
      </c>
      <c r="AE1088">
        <f>IFERROR(VLOOKUP("922-096517-300",B:AB,22+8,0),0)</f>
        <v>0</v>
      </c>
      <c r="AF1088">
        <f>IFERROR(VLOOKUP("922-096517-300",B:AB,23+8,0),0)</f>
        <v>0</v>
      </c>
      <c r="AG1088">
        <f>IFERROR(VLOOKUP("922-096517-300",B:AB,24+8,0),0)</f>
        <v>0</v>
      </c>
      <c r="AH1088">
        <f>IFERROR(VLOOKUP("922-096517-300",B:AB,25+8,0),0)</f>
        <v>0</v>
      </c>
      <c r="AI1088">
        <f>IFERROR(VLOOKUP("922-096517-300",B:AB,26+8,0),0)</f>
        <v>0</v>
      </c>
      <c r="AJ1088">
        <f>IFERROR(VLOOKUP("922-096517-300",B:AB,27+8,0),0)</f>
        <v>0</v>
      </c>
      <c r="AK1088">
        <f>IFERROR(VLOOKUP("922-096517-300",B:AB,28+8,0),0)</f>
        <v>0</v>
      </c>
      <c r="AL1088">
        <f>IFERROR(VLOOKUP("922-096517-300",B:AB,29+8,0),0)</f>
        <v>0</v>
      </c>
      <c r="AM1088">
        <f>IFERROR(VLOOKUP("922-096517-300",B:AB,30+8,0),0)</f>
        <v>0</v>
      </c>
      <c r="AN1088">
        <f>IFERROR(VLOOKUP("922-096517-300",B:AB,31+8,0),0)</f>
        <v>0</v>
      </c>
      <c r="AO1088">
        <f>SUN(INDIRECT(ADDRESS(1087,8)):INDIRECT(ADDRESS(1087,39)))</f>
        <v>0</v>
      </c>
    </row>
    <row r="1089" spans="1:41">
      <c r="H1089" t="s">
        <v>179</v>
      </c>
      <c r="J1089">
        <f>INDIRECT(ADDRESS(1089,9))+INDIRECT(ADDRESS(1087,10))-INDIRECT(ADDRESS(1088,10))</f>
        <v>0</v>
      </c>
      <c r="K1089">
        <f>INDIRECT(ADDRESS(1089,10))+INDIRECT(ADDRESS(1087,11))-INDIRECT(ADDRESS(1088,11))</f>
        <v>0</v>
      </c>
      <c r="L1089">
        <f>INDIRECT(ADDRESS(1089,11))+INDIRECT(ADDRESS(1087,12))-INDIRECT(ADDRESS(1088,12))</f>
        <v>0</v>
      </c>
      <c r="M1089">
        <f>INDIRECT(ADDRESS(1089,12))+INDIRECT(ADDRESS(1087,13))-INDIRECT(ADDRESS(1088,13))</f>
        <v>0</v>
      </c>
      <c r="N1089">
        <f>INDIRECT(ADDRESS(1089,13))+INDIRECT(ADDRESS(1087,14))-INDIRECT(ADDRESS(1088,14))</f>
        <v>0</v>
      </c>
      <c r="O1089">
        <f>INDIRECT(ADDRESS(1089,14))+INDIRECT(ADDRESS(1087,15))-INDIRECT(ADDRESS(1088,15))</f>
        <v>0</v>
      </c>
      <c r="P1089">
        <f>INDIRECT(ADDRESS(1089,15))+INDIRECT(ADDRESS(1087,16))-INDIRECT(ADDRESS(1088,16))</f>
        <v>0</v>
      </c>
      <c r="Q1089">
        <f>INDIRECT(ADDRESS(1089,16))+INDIRECT(ADDRESS(1087,17))-INDIRECT(ADDRESS(1088,17))</f>
        <v>0</v>
      </c>
      <c r="R1089">
        <f>INDIRECT(ADDRESS(1089,17))+INDIRECT(ADDRESS(1087,18))-INDIRECT(ADDRESS(1088,18))</f>
        <v>0</v>
      </c>
      <c r="S1089">
        <f>INDIRECT(ADDRESS(1089,18))+INDIRECT(ADDRESS(1087,19))-INDIRECT(ADDRESS(1088,19))</f>
        <v>0</v>
      </c>
      <c r="T1089">
        <f>INDIRECT(ADDRESS(1089,19))+INDIRECT(ADDRESS(1087,20))-INDIRECT(ADDRESS(1088,20))</f>
        <v>0</v>
      </c>
      <c r="U1089">
        <f>INDIRECT(ADDRESS(1089,20))+INDIRECT(ADDRESS(1087,21))-INDIRECT(ADDRESS(1088,21))</f>
        <v>0</v>
      </c>
      <c r="V1089">
        <f>INDIRECT(ADDRESS(1089,21))+INDIRECT(ADDRESS(1087,22))-INDIRECT(ADDRESS(1088,22))</f>
        <v>0</v>
      </c>
      <c r="W1089">
        <f>INDIRECT(ADDRESS(1089,22))+INDIRECT(ADDRESS(1087,23))-INDIRECT(ADDRESS(1088,23))</f>
        <v>0</v>
      </c>
      <c r="X1089">
        <f>INDIRECT(ADDRESS(1089,23))+INDIRECT(ADDRESS(1087,24))-INDIRECT(ADDRESS(1088,24))</f>
        <v>0</v>
      </c>
      <c r="Y1089">
        <f>INDIRECT(ADDRESS(1089,24))+INDIRECT(ADDRESS(1087,25))-INDIRECT(ADDRESS(1088,25))</f>
        <v>0</v>
      </c>
      <c r="Z1089">
        <f>INDIRECT(ADDRESS(1089,25))+INDIRECT(ADDRESS(1087,26))-INDIRECT(ADDRESS(1088,26))</f>
        <v>0</v>
      </c>
      <c r="AA1089">
        <f>INDIRECT(ADDRESS(1089,26))+INDIRECT(ADDRESS(1087,27))-INDIRECT(ADDRESS(1088,27))</f>
        <v>0</v>
      </c>
      <c r="AB1089">
        <f>INDIRECT(ADDRESS(1089,27))+INDIRECT(ADDRESS(1087,28))-INDIRECT(ADDRESS(1088,28))</f>
        <v>0</v>
      </c>
      <c r="AC1089">
        <f>INDIRECT(ADDRESS(1089,28))+INDIRECT(ADDRESS(1087,29))-INDIRECT(ADDRESS(1088,29))</f>
        <v>0</v>
      </c>
      <c r="AD1089">
        <f>INDIRECT(ADDRESS(1089,29))+INDIRECT(ADDRESS(1087,30))-INDIRECT(ADDRESS(1088,30))</f>
        <v>0</v>
      </c>
      <c r="AE1089">
        <f>INDIRECT(ADDRESS(1089,30))+INDIRECT(ADDRESS(1087,31))-INDIRECT(ADDRESS(1088,31))</f>
        <v>0</v>
      </c>
      <c r="AF1089">
        <f>INDIRECT(ADDRESS(1089,31))+INDIRECT(ADDRESS(1087,32))-INDIRECT(ADDRESS(1088,32))</f>
        <v>0</v>
      </c>
      <c r="AG1089">
        <f>INDIRECT(ADDRESS(1089,32))+INDIRECT(ADDRESS(1087,33))-INDIRECT(ADDRESS(1088,33))</f>
        <v>0</v>
      </c>
      <c r="AH1089">
        <f>INDIRECT(ADDRESS(1089,33))+INDIRECT(ADDRESS(1087,34))-INDIRECT(ADDRESS(1088,34))</f>
        <v>0</v>
      </c>
      <c r="AI1089">
        <f>INDIRECT(ADDRESS(1089,34))+INDIRECT(ADDRESS(1087,35))-INDIRECT(ADDRESS(1088,35))</f>
        <v>0</v>
      </c>
      <c r="AJ1089">
        <f>INDIRECT(ADDRESS(1089,35))+INDIRECT(ADDRESS(1087,36))-INDIRECT(ADDRESS(1088,36))</f>
        <v>0</v>
      </c>
      <c r="AK1089">
        <f>INDIRECT(ADDRESS(1089,36))+INDIRECT(ADDRESS(1087,37))-INDIRECT(ADDRESS(1088,37))</f>
        <v>0</v>
      </c>
      <c r="AL1089">
        <f>INDIRECT(ADDRESS(1089,37))+INDIRECT(ADDRESS(1087,38))-INDIRECT(ADDRESS(1088,38))</f>
        <v>0</v>
      </c>
      <c r="AM1089">
        <f>INDIRECT(ADDRESS(1089,38))+INDIRECT(ADDRESS(1087,39))-INDIRECT(ADDRESS(1088,39))</f>
        <v>0</v>
      </c>
      <c r="AN1089">
        <f>INDIRECT(ADDRESS(1089,39))+INDIRECT(ADDRESS(1087,40))-INDIRECT(ADDRESS(1088,40))</f>
        <v>0</v>
      </c>
      <c r="AO1089">
        <f>SUM(INDIRECT(ADDRESS(1088,8)):INDIRECT(ADDRESS(1088,39)))</f>
        <v>0</v>
      </c>
    </row>
    <row r="1090" spans="1:41">
      <c r="A1090" t="s">
        <v>185</v>
      </c>
      <c r="B1090" t="s">
        <v>556</v>
      </c>
      <c r="C1090" t="s">
        <v>557</v>
      </c>
      <c r="E1090">
        <v>1</v>
      </c>
      <c r="I1090" t="s">
        <v>177</v>
      </c>
    </row>
    <row r="1091" spans="1:41">
      <c r="I1091" t="s">
        <v>178</v>
      </c>
      <c r="J1091">
        <f>IFERROR(VLOOKUP("922-096517-300",B:AB,1+8,0),0)</f>
        <v>0</v>
      </c>
      <c r="K1091">
        <f>IFERROR(VLOOKUP("922-096517-300",B:AB,2+8,0),0)</f>
        <v>0</v>
      </c>
      <c r="L1091">
        <f>IFERROR(VLOOKUP("922-096517-300",B:AB,3+8,0),0)</f>
        <v>0</v>
      </c>
      <c r="M1091">
        <f>IFERROR(VLOOKUP("922-096517-300",B:AB,4+8,0),0)</f>
        <v>0</v>
      </c>
      <c r="N1091">
        <f>IFERROR(VLOOKUP("922-096517-300",B:AB,5+8,0),0)</f>
        <v>0</v>
      </c>
      <c r="O1091">
        <f>IFERROR(VLOOKUP("922-096517-300",B:AB,6+8,0),0)</f>
        <v>0</v>
      </c>
      <c r="P1091">
        <f>IFERROR(VLOOKUP("922-096517-300",B:AB,7+8,0),0)</f>
        <v>0</v>
      </c>
      <c r="Q1091">
        <f>IFERROR(VLOOKUP("922-096517-300",B:AB,8+8,0),0)</f>
        <v>0</v>
      </c>
      <c r="R1091">
        <f>IFERROR(VLOOKUP("922-096517-300",B:AB,9+8,0),0)</f>
        <v>0</v>
      </c>
      <c r="S1091">
        <f>IFERROR(VLOOKUP("922-096517-300",B:AB,10+8,0),0)</f>
        <v>0</v>
      </c>
      <c r="T1091">
        <f>IFERROR(VLOOKUP("922-096517-300",B:AB,11+8,0),0)</f>
        <v>0</v>
      </c>
      <c r="U1091">
        <f>IFERROR(VLOOKUP("922-096517-300",B:AB,12+8,0),0)</f>
        <v>0</v>
      </c>
      <c r="V1091">
        <f>IFERROR(VLOOKUP("922-096517-300",B:AB,13+8,0),0)</f>
        <v>0</v>
      </c>
      <c r="W1091">
        <f>IFERROR(VLOOKUP("922-096517-300",B:AB,14+8,0),0)</f>
        <v>0</v>
      </c>
      <c r="X1091">
        <f>IFERROR(VLOOKUP("922-096517-300",B:AB,15+8,0),0)</f>
        <v>0</v>
      </c>
      <c r="Y1091">
        <f>IFERROR(VLOOKUP("922-096517-300",B:AB,16+8,0),0)</f>
        <v>0</v>
      </c>
      <c r="Z1091">
        <f>IFERROR(VLOOKUP("922-096517-300",B:AB,17+8,0),0)</f>
        <v>0</v>
      </c>
      <c r="AA1091">
        <f>IFERROR(VLOOKUP("922-096517-300",B:AB,18+8,0),0)</f>
        <v>0</v>
      </c>
      <c r="AB1091">
        <f>IFERROR(VLOOKUP("922-096517-300",B:AB,19+8,0),0)</f>
        <v>0</v>
      </c>
      <c r="AC1091">
        <f>IFERROR(VLOOKUP("922-096517-300",B:AB,20+8,0),0)</f>
        <v>0</v>
      </c>
      <c r="AD1091">
        <f>IFERROR(VLOOKUP("922-096517-300",B:AB,21+8,0),0)</f>
        <v>0</v>
      </c>
      <c r="AE1091">
        <f>IFERROR(VLOOKUP("922-096517-300",B:AB,22+8,0),0)</f>
        <v>0</v>
      </c>
      <c r="AF1091">
        <f>IFERROR(VLOOKUP("922-096517-300",B:AB,23+8,0),0)</f>
        <v>0</v>
      </c>
      <c r="AG1091">
        <f>IFERROR(VLOOKUP("922-096517-300",B:AB,24+8,0),0)</f>
        <v>0</v>
      </c>
      <c r="AH1091">
        <f>IFERROR(VLOOKUP("922-096517-300",B:AB,25+8,0),0)</f>
        <v>0</v>
      </c>
      <c r="AI1091">
        <f>IFERROR(VLOOKUP("922-096517-300",B:AB,26+8,0),0)</f>
        <v>0</v>
      </c>
      <c r="AJ1091">
        <f>IFERROR(VLOOKUP("922-096517-300",B:AB,27+8,0),0)</f>
        <v>0</v>
      </c>
      <c r="AK1091">
        <f>IFERROR(VLOOKUP("922-096517-300",B:AB,28+8,0),0)</f>
        <v>0</v>
      </c>
      <c r="AL1091">
        <f>IFERROR(VLOOKUP("922-096517-300",B:AB,29+8,0),0)</f>
        <v>0</v>
      </c>
      <c r="AM1091">
        <f>IFERROR(VLOOKUP("922-096517-300",B:AB,30+8,0),0)</f>
        <v>0</v>
      </c>
      <c r="AN1091">
        <f>IFERROR(VLOOKUP("922-096517-300",B:AB,31+8,0),0)</f>
        <v>0</v>
      </c>
      <c r="AO1091">
        <f>SUN(INDIRECT(ADDRESS(1090,8)):INDIRECT(ADDRESS(1090,39)))</f>
        <v>0</v>
      </c>
    </row>
    <row r="1092" spans="1:41">
      <c r="H1092" t="s">
        <v>179</v>
      </c>
      <c r="J1092">
        <f>INDIRECT(ADDRESS(1092,9))+INDIRECT(ADDRESS(1090,10))-INDIRECT(ADDRESS(1091,10))</f>
        <v>0</v>
      </c>
      <c r="K1092">
        <f>INDIRECT(ADDRESS(1092,10))+INDIRECT(ADDRESS(1090,11))-INDIRECT(ADDRESS(1091,11))</f>
        <v>0</v>
      </c>
      <c r="L1092">
        <f>INDIRECT(ADDRESS(1092,11))+INDIRECT(ADDRESS(1090,12))-INDIRECT(ADDRESS(1091,12))</f>
        <v>0</v>
      </c>
      <c r="M1092">
        <f>INDIRECT(ADDRESS(1092,12))+INDIRECT(ADDRESS(1090,13))-INDIRECT(ADDRESS(1091,13))</f>
        <v>0</v>
      </c>
      <c r="N1092">
        <f>INDIRECT(ADDRESS(1092,13))+INDIRECT(ADDRESS(1090,14))-INDIRECT(ADDRESS(1091,14))</f>
        <v>0</v>
      </c>
      <c r="O1092">
        <f>INDIRECT(ADDRESS(1092,14))+INDIRECT(ADDRESS(1090,15))-INDIRECT(ADDRESS(1091,15))</f>
        <v>0</v>
      </c>
      <c r="P1092">
        <f>INDIRECT(ADDRESS(1092,15))+INDIRECT(ADDRESS(1090,16))-INDIRECT(ADDRESS(1091,16))</f>
        <v>0</v>
      </c>
      <c r="Q1092">
        <f>INDIRECT(ADDRESS(1092,16))+INDIRECT(ADDRESS(1090,17))-INDIRECT(ADDRESS(1091,17))</f>
        <v>0</v>
      </c>
      <c r="R1092">
        <f>INDIRECT(ADDRESS(1092,17))+INDIRECT(ADDRESS(1090,18))-INDIRECT(ADDRESS(1091,18))</f>
        <v>0</v>
      </c>
      <c r="S1092">
        <f>INDIRECT(ADDRESS(1092,18))+INDIRECT(ADDRESS(1090,19))-INDIRECT(ADDRESS(1091,19))</f>
        <v>0</v>
      </c>
      <c r="T1092">
        <f>INDIRECT(ADDRESS(1092,19))+INDIRECT(ADDRESS(1090,20))-INDIRECT(ADDRESS(1091,20))</f>
        <v>0</v>
      </c>
      <c r="U1092">
        <f>INDIRECT(ADDRESS(1092,20))+INDIRECT(ADDRESS(1090,21))-INDIRECT(ADDRESS(1091,21))</f>
        <v>0</v>
      </c>
      <c r="V1092">
        <f>INDIRECT(ADDRESS(1092,21))+INDIRECT(ADDRESS(1090,22))-INDIRECT(ADDRESS(1091,22))</f>
        <v>0</v>
      </c>
      <c r="W1092">
        <f>INDIRECT(ADDRESS(1092,22))+INDIRECT(ADDRESS(1090,23))-INDIRECT(ADDRESS(1091,23))</f>
        <v>0</v>
      </c>
      <c r="X1092">
        <f>INDIRECT(ADDRESS(1092,23))+INDIRECT(ADDRESS(1090,24))-INDIRECT(ADDRESS(1091,24))</f>
        <v>0</v>
      </c>
      <c r="Y1092">
        <f>INDIRECT(ADDRESS(1092,24))+INDIRECT(ADDRESS(1090,25))-INDIRECT(ADDRESS(1091,25))</f>
        <v>0</v>
      </c>
      <c r="Z1092">
        <f>INDIRECT(ADDRESS(1092,25))+INDIRECT(ADDRESS(1090,26))-INDIRECT(ADDRESS(1091,26))</f>
        <v>0</v>
      </c>
      <c r="AA1092">
        <f>INDIRECT(ADDRESS(1092,26))+INDIRECT(ADDRESS(1090,27))-INDIRECT(ADDRESS(1091,27))</f>
        <v>0</v>
      </c>
      <c r="AB1092">
        <f>INDIRECT(ADDRESS(1092,27))+INDIRECT(ADDRESS(1090,28))-INDIRECT(ADDRESS(1091,28))</f>
        <v>0</v>
      </c>
      <c r="AC1092">
        <f>INDIRECT(ADDRESS(1092,28))+INDIRECT(ADDRESS(1090,29))-INDIRECT(ADDRESS(1091,29))</f>
        <v>0</v>
      </c>
      <c r="AD1092">
        <f>INDIRECT(ADDRESS(1092,29))+INDIRECT(ADDRESS(1090,30))-INDIRECT(ADDRESS(1091,30))</f>
        <v>0</v>
      </c>
      <c r="AE1092">
        <f>INDIRECT(ADDRESS(1092,30))+INDIRECT(ADDRESS(1090,31))-INDIRECT(ADDRESS(1091,31))</f>
        <v>0</v>
      </c>
      <c r="AF1092">
        <f>INDIRECT(ADDRESS(1092,31))+INDIRECT(ADDRESS(1090,32))-INDIRECT(ADDRESS(1091,32))</f>
        <v>0</v>
      </c>
      <c r="AG1092">
        <f>INDIRECT(ADDRESS(1092,32))+INDIRECT(ADDRESS(1090,33))-INDIRECT(ADDRESS(1091,33))</f>
        <v>0</v>
      </c>
      <c r="AH1092">
        <f>INDIRECT(ADDRESS(1092,33))+INDIRECT(ADDRESS(1090,34))-INDIRECT(ADDRESS(1091,34))</f>
        <v>0</v>
      </c>
      <c r="AI1092">
        <f>INDIRECT(ADDRESS(1092,34))+INDIRECT(ADDRESS(1090,35))-INDIRECT(ADDRESS(1091,35))</f>
        <v>0</v>
      </c>
      <c r="AJ1092">
        <f>INDIRECT(ADDRESS(1092,35))+INDIRECT(ADDRESS(1090,36))-INDIRECT(ADDRESS(1091,36))</f>
        <v>0</v>
      </c>
      <c r="AK1092">
        <f>INDIRECT(ADDRESS(1092,36))+INDIRECT(ADDRESS(1090,37))-INDIRECT(ADDRESS(1091,37))</f>
        <v>0</v>
      </c>
      <c r="AL1092">
        <f>INDIRECT(ADDRESS(1092,37))+INDIRECT(ADDRESS(1090,38))-INDIRECT(ADDRESS(1091,38))</f>
        <v>0</v>
      </c>
      <c r="AM1092">
        <f>INDIRECT(ADDRESS(1092,38))+INDIRECT(ADDRESS(1090,39))-INDIRECT(ADDRESS(1091,39))</f>
        <v>0</v>
      </c>
      <c r="AN1092">
        <f>INDIRECT(ADDRESS(1092,39))+INDIRECT(ADDRESS(1090,40))-INDIRECT(ADDRESS(1091,40))</f>
        <v>0</v>
      </c>
      <c r="AO1092">
        <f>SUM(INDIRECT(ADDRESS(1091,8)):INDIRECT(ADDRESS(1091,39)))</f>
        <v>0</v>
      </c>
    </row>
    <row r="1093" spans="1:41">
      <c r="A1093" t="s">
        <v>206</v>
      </c>
      <c r="B1093" t="s">
        <v>558</v>
      </c>
      <c r="C1093" t="s">
        <v>559</v>
      </c>
      <c r="E1093">
        <v>0.05</v>
      </c>
      <c r="I1093" t="s">
        <v>177</v>
      </c>
    </row>
    <row r="1094" spans="1:41">
      <c r="I1094" t="s">
        <v>178</v>
      </c>
      <c r="J1094">
        <f>IFERROR(VLOOKUP("922-096517-300",B:AB,1+8,0),0)</f>
        <v>0</v>
      </c>
      <c r="K1094">
        <f>IFERROR(VLOOKUP("922-096517-300",B:AB,2+8,0),0)</f>
        <v>0</v>
      </c>
      <c r="L1094">
        <f>IFERROR(VLOOKUP("922-096517-300",B:AB,3+8,0),0)</f>
        <v>0</v>
      </c>
      <c r="M1094">
        <f>IFERROR(VLOOKUP("922-096517-300",B:AB,4+8,0),0)</f>
        <v>0</v>
      </c>
      <c r="N1094">
        <f>IFERROR(VLOOKUP("922-096517-300",B:AB,5+8,0),0)</f>
        <v>0</v>
      </c>
      <c r="O1094">
        <f>IFERROR(VLOOKUP("922-096517-300",B:AB,6+8,0),0)</f>
        <v>0</v>
      </c>
      <c r="P1094">
        <f>IFERROR(VLOOKUP("922-096517-300",B:AB,7+8,0),0)</f>
        <v>0</v>
      </c>
      <c r="Q1094">
        <f>IFERROR(VLOOKUP("922-096517-300",B:AB,8+8,0),0)</f>
        <v>0</v>
      </c>
      <c r="R1094">
        <f>IFERROR(VLOOKUP("922-096517-300",B:AB,9+8,0),0)</f>
        <v>0</v>
      </c>
      <c r="S1094">
        <f>IFERROR(VLOOKUP("922-096517-300",B:AB,10+8,0),0)</f>
        <v>0</v>
      </c>
      <c r="T1094">
        <f>IFERROR(VLOOKUP("922-096517-300",B:AB,11+8,0),0)</f>
        <v>0</v>
      </c>
      <c r="U1094">
        <f>IFERROR(VLOOKUP("922-096517-300",B:AB,12+8,0),0)</f>
        <v>0</v>
      </c>
      <c r="V1094">
        <f>IFERROR(VLOOKUP("922-096517-300",B:AB,13+8,0),0)</f>
        <v>0</v>
      </c>
      <c r="W1094">
        <f>IFERROR(VLOOKUP("922-096517-300",B:AB,14+8,0),0)</f>
        <v>0</v>
      </c>
      <c r="X1094">
        <f>IFERROR(VLOOKUP("922-096517-300",B:AB,15+8,0),0)</f>
        <v>0</v>
      </c>
      <c r="Y1094">
        <f>IFERROR(VLOOKUP("922-096517-300",B:AB,16+8,0),0)</f>
        <v>0</v>
      </c>
      <c r="Z1094">
        <f>IFERROR(VLOOKUP("922-096517-300",B:AB,17+8,0),0)</f>
        <v>0</v>
      </c>
      <c r="AA1094">
        <f>IFERROR(VLOOKUP("922-096517-300",B:AB,18+8,0),0)</f>
        <v>0</v>
      </c>
      <c r="AB1094">
        <f>IFERROR(VLOOKUP("922-096517-300",B:AB,19+8,0),0)</f>
        <v>0</v>
      </c>
      <c r="AC1094">
        <f>IFERROR(VLOOKUP("922-096517-300",B:AB,20+8,0),0)</f>
        <v>0</v>
      </c>
      <c r="AD1094">
        <f>IFERROR(VLOOKUP("922-096517-300",B:AB,21+8,0),0)</f>
        <v>0</v>
      </c>
      <c r="AE1094">
        <f>IFERROR(VLOOKUP("922-096517-300",B:AB,22+8,0),0)</f>
        <v>0</v>
      </c>
      <c r="AF1094">
        <f>IFERROR(VLOOKUP("922-096517-300",B:AB,23+8,0),0)</f>
        <v>0</v>
      </c>
      <c r="AG1094">
        <f>IFERROR(VLOOKUP("922-096517-300",B:AB,24+8,0),0)</f>
        <v>0</v>
      </c>
      <c r="AH1094">
        <f>IFERROR(VLOOKUP("922-096517-300",B:AB,25+8,0),0)</f>
        <v>0</v>
      </c>
      <c r="AI1094">
        <f>IFERROR(VLOOKUP("922-096517-300",B:AB,26+8,0),0)</f>
        <v>0</v>
      </c>
      <c r="AJ1094">
        <f>IFERROR(VLOOKUP("922-096517-300",B:AB,27+8,0),0)</f>
        <v>0</v>
      </c>
      <c r="AK1094">
        <f>IFERROR(VLOOKUP("922-096517-300",B:AB,28+8,0),0)</f>
        <v>0</v>
      </c>
      <c r="AL1094">
        <f>IFERROR(VLOOKUP("922-096517-300",B:AB,29+8,0),0)</f>
        <v>0</v>
      </c>
      <c r="AM1094">
        <f>IFERROR(VLOOKUP("922-096517-300",B:AB,30+8,0),0)</f>
        <v>0</v>
      </c>
      <c r="AN1094">
        <f>IFERROR(VLOOKUP("922-096517-300",B:AB,31+8,0),0)</f>
        <v>0</v>
      </c>
      <c r="AO1094">
        <f>SUN(INDIRECT(ADDRESS(1093,8)):INDIRECT(ADDRESS(1093,39)))</f>
        <v>0</v>
      </c>
    </row>
    <row r="1095" spans="1:41">
      <c r="H1095" t="s">
        <v>179</v>
      </c>
      <c r="J1095">
        <f>INDIRECT(ADDRESS(1095,9))+INDIRECT(ADDRESS(1093,10))-INDIRECT(ADDRESS(1094,10))</f>
        <v>0</v>
      </c>
      <c r="K1095">
        <f>INDIRECT(ADDRESS(1095,10))+INDIRECT(ADDRESS(1093,11))-INDIRECT(ADDRESS(1094,11))</f>
        <v>0</v>
      </c>
      <c r="L1095">
        <f>INDIRECT(ADDRESS(1095,11))+INDIRECT(ADDRESS(1093,12))-INDIRECT(ADDRESS(1094,12))</f>
        <v>0</v>
      </c>
      <c r="M1095">
        <f>INDIRECT(ADDRESS(1095,12))+INDIRECT(ADDRESS(1093,13))-INDIRECT(ADDRESS(1094,13))</f>
        <v>0</v>
      </c>
      <c r="N1095">
        <f>INDIRECT(ADDRESS(1095,13))+INDIRECT(ADDRESS(1093,14))-INDIRECT(ADDRESS(1094,14))</f>
        <v>0</v>
      </c>
      <c r="O1095">
        <f>INDIRECT(ADDRESS(1095,14))+INDIRECT(ADDRESS(1093,15))-INDIRECT(ADDRESS(1094,15))</f>
        <v>0</v>
      </c>
      <c r="P1095">
        <f>INDIRECT(ADDRESS(1095,15))+INDIRECT(ADDRESS(1093,16))-INDIRECT(ADDRESS(1094,16))</f>
        <v>0</v>
      </c>
      <c r="Q1095">
        <f>INDIRECT(ADDRESS(1095,16))+INDIRECT(ADDRESS(1093,17))-INDIRECT(ADDRESS(1094,17))</f>
        <v>0</v>
      </c>
      <c r="R1095">
        <f>INDIRECT(ADDRESS(1095,17))+INDIRECT(ADDRESS(1093,18))-INDIRECT(ADDRESS(1094,18))</f>
        <v>0</v>
      </c>
      <c r="S1095">
        <f>INDIRECT(ADDRESS(1095,18))+INDIRECT(ADDRESS(1093,19))-INDIRECT(ADDRESS(1094,19))</f>
        <v>0</v>
      </c>
      <c r="T1095">
        <f>INDIRECT(ADDRESS(1095,19))+INDIRECT(ADDRESS(1093,20))-INDIRECT(ADDRESS(1094,20))</f>
        <v>0</v>
      </c>
      <c r="U1095">
        <f>INDIRECT(ADDRESS(1095,20))+INDIRECT(ADDRESS(1093,21))-INDIRECT(ADDRESS(1094,21))</f>
        <v>0</v>
      </c>
      <c r="V1095">
        <f>INDIRECT(ADDRESS(1095,21))+INDIRECT(ADDRESS(1093,22))-INDIRECT(ADDRESS(1094,22))</f>
        <v>0</v>
      </c>
      <c r="W1095">
        <f>INDIRECT(ADDRESS(1095,22))+INDIRECT(ADDRESS(1093,23))-INDIRECT(ADDRESS(1094,23))</f>
        <v>0</v>
      </c>
      <c r="X1095">
        <f>INDIRECT(ADDRESS(1095,23))+INDIRECT(ADDRESS(1093,24))-INDIRECT(ADDRESS(1094,24))</f>
        <v>0</v>
      </c>
      <c r="Y1095">
        <f>INDIRECT(ADDRESS(1095,24))+INDIRECT(ADDRESS(1093,25))-INDIRECT(ADDRESS(1094,25))</f>
        <v>0</v>
      </c>
      <c r="Z1095">
        <f>INDIRECT(ADDRESS(1095,25))+INDIRECT(ADDRESS(1093,26))-INDIRECT(ADDRESS(1094,26))</f>
        <v>0</v>
      </c>
      <c r="AA1095">
        <f>INDIRECT(ADDRESS(1095,26))+INDIRECT(ADDRESS(1093,27))-INDIRECT(ADDRESS(1094,27))</f>
        <v>0</v>
      </c>
      <c r="AB1095">
        <f>INDIRECT(ADDRESS(1095,27))+INDIRECT(ADDRESS(1093,28))-INDIRECT(ADDRESS(1094,28))</f>
        <v>0</v>
      </c>
      <c r="AC1095">
        <f>INDIRECT(ADDRESS(1095,28))+INDIRECT(ADDRESS(1093,29))-INDIRECT(ADDRESS(1094,29))</f>
        <v>0</v>
      </c>
      <c r="AD1095">
        <f>INDIRECT(ADDRESS(1095,29))+INDIRECT(ADDRESS(1093,30))-INDIRECT(ADDRESS(1094,30))</f>
        <v>0</v>
      </c>
      <c r="AE1095">
        <f>INDIRECT(ADDRESS(1095,30))+INDIRECT(ADDRESS(1093,31))-INDIRECT(ADDRESS(1094,31))</f>
        <v>0</v>
      </c>
      <c r="AF1095">
        <f>INDIRECT(ADDRESS(1095,31))+INDIRECT(ADDRESS(1093,32))-INDIRECT(ADDRESS(1094,32))</f>
        <v>0</v>
      </c>
      <c r="AG1095">
        <f>INDIRECT(ADDRESS(1095,32))+INDIRECT(ADDRESS(1093,33))-INDIRECT(ADDRESS(1094,33))</f>
        <v>0</v>
      </c>
      <c r="AH1095">
        <f>INDIRECT(ADDRESS(1095,33))+INDIRECT(ADDRESS(1093,34))-INDIRECT(ADDRESS(1094,34))</f>
        <v>0</v>
      </c>
      <c r="AI1095">
        <f>INDIRECT(ADDRESS(1095,34))+INDIRECT(ADDRESS(1093,35))-INDIRECT(ADDRESS(1094,35))</f>
        <v>0</v>
      </c>
      <c r="AJ1095">
        <f>INDIRECT(ADDRESS(1095,35))+INDIRECT(ADDRESS(1093,36))-INDIRECT(ADDRESS(1094,36))</f>
        <v>0</v>
      </c>
      <c r="AK1095">
        <f>INDIRECT(ADDRESS(1095,36))+INDIRECT(ADDRESS(1093,37))-INDIRECT(ADDRESS(1094,37))</f>
        <v>0</v>
      </c>
      <c r="AL1095">
        <f>INDIRECT(ADDRESS(1095,37))+INDIRECT(ADDRESS(1093,38))-INDIRECT(ADDRESS(1094,38))</f>
        <v>0</v>
      </c>
      <c r="AM1095">
        <f>INDIRECT(ADDRESS(1095,38))+INDIRECT(ADDRESS(1093,39))-INDIRECT(ADDRESS(1094,39))</f>
        <v>0</v>
      </c>
      <c r="AN1095">
        <f>INDIRECT(ADDRESS(1095,39))+INDIRECT(ADDRESS(1093,40))-INDIRECT(ADDRESS(1094,40))</f>
        <v>0</v>
      </c>
      <c r="AO1095">
        <f>SUM(INDIRECT(ADDRESS(1094,8)):INDIRECT(ADDRESS(1094,39)))</f>
        <v>0</v>
      </c>
    </row>
    <row r="1096" spans="1:41">
      <c r="A1096" t="s">
        <v>8</v>
      </c>
      <c r="B1096" t="s">
        <v>90</v>
      </c>
      <c r="C1096" t="s">
        <v>82</v>
      </c>
      <c r="E1096">
        <v>1</v>
      </c>
      <c r="I1096" t="s">
        <v>177</v>
      </c>
    </row>
    <row r="1097" spans="1:41">
      <c r="I1097" t="s">
        <v>178</v>
      </c>
      <c r="J1097">
        <f>IFERROR(VLOOKUP("922-096517-400",Out!B:AB,1+8,0),0)</f>
        <v>0</v>
      </c>
      <c r="K1097">
        <f>IFERROR(VLOOKUP("922-096517-400",Out!B:AB,2+8,0),0)</f>
        <v>0</v>
      </c>
      <c r="L1097">
        <f>IFERROR(VLOOKUP("922-096517-400",Out!B:AB,3+8,0),0)</f>
        <v>0</v>
      </c>
      <c r="M1097">
        <f>IFERROR(VLOOKUP("922-096517-400",Out!B:AB,4+8,0),0)</f>
        <v>0</v>
      </c>
      <c r="N1097">
        <f>IFERROR(VLOOKUP("922-096517-400",Out!B:AB,5+8,0),0)</f>
        <v>0</v>
      </c>
      <c r="O1097">
        <f>IFERROR(VLOOKUP("922-096517-400",Out!B:AB,6+8,0),0)</f>
        <v>0</v>
      </c>
      <c r="P1097">
        <f>IFERROR(VLOOKUP("922-096517-400",Out!B:AB,7+8,0),0)</f>
        <v>0</v>
      </c>
      <c r="Q1097">
        <f>IFERROR(VLOOKUP("922-096517-400",Out!B:AB,8+8,0),0)</f>
        <v>0</v>
      </c>
      <c r="R1097">
        <f>IFERROR(VLOOKUP("922-096517-400",Out!B:AB,9+8,0),0)</f>
        <v>0</v>
      </c>
      <c r="S1097">
        <f>IFERROR(VLOOKUP("922-096517-400",Out!B:AB,10+8,0),0)</f>
        <v>0</v>
      </c>
      <c r="T1097">
        <f>IFERROR(VLOOKUP("922-096517-400",Out!B:AB,11+8,0),0)</f>
        <v>0</v>
      </c>
      <c r="U1097">
        <f>IFERROR(VLOOKUP("922-096517-400",Out!B:AB,12+8,0),0)</f>
        <v>0</v>
      </c>
      <c r="V1097">
        <f>IFERROR(VLOOKUP("922-096517-400",Out!B:AB,13+8,0),0)</f>
        <v>0</v>
      </c>
      <c r="W1097">
        <f>IFERROR(VLOOKUP("922-096517-400",Out!B:AB,14+8,0),0)</f>
        <v>0</v>
      </c>
      <c r="X1097">
        <f>IFERROR(VLOOKUP("922-096517-400",Out!B:AB,15+8,0),0)</f>
        <v>0</v>
      </c>
      <c r="Y1097">
        <f>IFERROR(VLOOKUP("922-096517-400",Out!B:AB,16+8,0),0)</f>
        <v>0</v>
      </c>
      <c r="Z1097">
        <f>IFERROR(VLOOKUP("922-096517-400",Out!B:AB,17+8,0),0)</f>
        <v>0</v>
      </c>
      <c r="AA1097">
        <f>IFERROR(VLOOKUP("922-096517-400",Out!B:AB,18+8,0),0)</f>
        <v>0</v>
      </c>
      <c r="AB1097">
        <f>IFERROR(VLOOKUP("922-096517-400",Out!B:AB,19+8,0),0)</f>
        <v>0</v>
      </c>
      <c r="AC1097">
        <f>IFERROR(VLOOKUP("922-096517-400",Out!B:AB,20+8,0),0)</f>
        <v>0</v>
      </c>
      <c r="AD1097">
        <f>IFERROR(VLOOKUP("922-096517-400",Out!B:AB,21+8,0),0)</f>
        <v>0</v>
      </c>
      <c r="AE1097">
        <f>IFERROR(VLOOKUP("922-096517-400",Out!B:AB,22+8,0),0)</f>
        <v>0</v>
      </c>
      <c r="AF1097">
        <f>IFERROR(VLOOKUP("922-096517-400",Out!B:AB,23+8,0),0)</f>
        <v>0</v>
      </c>
      <c r="AG1097">
        <f>IFERROR(VLOOKUP("922-096517-400",Out!B:AB,24+8,0),0)</f>
        <v>0</v>
      </c>
      <c r="AH1097">
        <f>IFERROR(VLOOKUP("922-096517-400",Out!B:AB,25+8,0),0)</f>
        <v>0</v>
      </c>
      <c r="AI1097">
        <f>IFERROR(VLOOKUP("922-096517-400",Out!B:AB,26+8,0),0)</f>
        <v>0</v>
      </c>
      <c r="AJ1097">
        <f>IFERROR(VLOOKUP("922-096517-400",Out!B:AB,27+8,0),0)</f>
        <v>0</v>
      </c>
      <c r="AK1097">
        <f>IFERROR(VLOOKUP("922-096517-400",Out!B:AB,28+8,0),0)</f>
        <v>0</v>
      </c>
      <c r="AL1097">
        <f>IFERROR(VLOOKUP("922-096517-400",Out!B:AB,29+8,0),0)</f>
        <v>0</v>
      </c>
      <c r="AM1097">
        <f>IFERROR(VLOOKUP("922-096517-400",Out!B:AB,30+8,0),0)</f>
        <v>0</v>
      </c>
      <c r="AN1097">
        <f>IFERROR(VLOOKUP("922-096517-400",Out!B:AB,31+8,0),0)</f>
        <v>0</v>
      </c>
      <c r="AO1097">
        <f>SUN(INDIRECT(ADDRESS(1096,8)):INDIRECT(ADDRESS(1096,39)))</f>
        <v>0</v>
      </c>
    </row>
    <row r="1098" spans="1:41">
      <c r="H1098" t="s">
        <v>179</v>
      </c>
      <c r="J1098">
        <f>INDIRECT(ADDRESS(1098,9))+INDIRECT(ADDRESS(1096,10))-INDIRECT(ADDRESS(1097,10))</f>
        <v>0</v>
      </c>
      <c r="K1098">
        <f>INDIRECT(ADDRESS(1098,10))+INDIRECT(ADDRESS(1096,11))-INDIRECT(ADDRESS(1097,11))</f>
        <v>0</v>
      </c>
      <c r="L1098">
        <f>INDIRECT(ADDRESS(1098,11))+INDIRECT(ADDRESS(1096,12))-INDIRECT(ADDRESS(1097,12))</f>
        <v>0</v>
      </c>
      <c r="M1098">
        <f>INDIRECT(ADDRESS(1098,12))+INDIRECT(ADDRESS(1096,13))-INDIRECT(ADDRESS(1097,13))</f>
        <v>0</v>
      </c>
      <c r="N1098">
        <f>INDIRECT(ADDRESS(1098,13))+INDIRECT(ADDRESS(1096,14))-INDIRECT(ADDRESS(1097,14))</f>
        <v>0</v>
      </c>
      <c r="O1098">
        <f>INDIRECT(ADDRESS(1098,14))+INDIRECT(ADDRESS(1096,15))-INDIRECT(ADDRESS(1097,15))</f>
        <v>0</v>
      </c>
      <c r="P1098">
        <f>INDIRECT(ADDRESS(1098,15))+INDIRECT(ADDRESS(1096,16))-INDIRECT(ADDRESS(1097,16))</f>
        <v>0</v>
      </c>
      <c r="Q1098">
        <f>INDIRECT(ADDRESS(1098,16))+INDIRECT(ADDRESS(1096,17))-INDIRECT(ADDRESS(1097,17))</f>
        <v>0</v>
      </c>
      <c r="R1098">
        <f>INDIRECT(ADDRESS(1098,17))+INDIRECT(ADDRESS(1096,18))-INDIRECT(ADDRESS(1097,18))</f>
        <v>0</v>
      </c>
      <c r="S1098">
        <f>INDIRECT(ADDRESS(1098,18))+INDIRECT(ADDRESS(1096,19))-INDIRECT(ADDRESS(1097,19))</f>
        <v>0</v>
      </c>
      <c r="T1098">
        <f>INDIRECT(ADDRESS(1098,19))+INDIRECT(ADDRESS(1096,20))-INDIRECT(ADDRESS(1097,20))</f>
        <v>0</v>
      </c>
      <c r="U1098">
        <f>INDIRECT(ADDRESS(1098,20))+INDIRECT(ADDRESS(1096,21))-INDIRECT(ADDRESS(1097,21))</f>
        <v>0</v>
      </c>
      <c r="V1098">
        <f>INDIRECT(ADDRESS(1098,21))+INDIRECT(ADDRESS(1096,22))-INDIRECT(ADDRESS(1097,22))</f>
        <v>0</v>
      </c>
      <c r="W1098">
        <f>INDIRECT(ADDRESS(1098,22))+INDIRECT(ADDRESS(1096,23))-INDIRECT(ADDRESS(1097,23))</f>
        <v>0</v>
      </c>
      <c r="X1098">
        <f>INDIRECT(ADDRESS(1098,23))+INDIRECT(ADDRESS(1096,24))-INDIRECT(ADDRESS(1097,24))</f>
        <v>0</v>
      </c>
      <c r="Y1098">
        <f>INDIRECT(ADDRESS(1098,24))+INDIRECT(ADDRESS(1096,25))-INDIRECT(ADDRESS(1097,25))</f>
        <v>0</v>
      </c>
      <c r="Z1098">
        <f>INDIRECT(ADDRESS(1098,25))+INDIRECT(ADDRESS(1096,26))-INDIRECT(ADDRESS(1097,26))</f>
        <v>0</v>
      </c>
      <c r="AA1098">
        <f>INDIRECT(ADDRESS(1098,26))+INDIRECT(ADDRESS(1096,27))-INDIRECT(ADDRESS(1097,27))</f>
        <v>0</v>
      </c>
      <c r="AB1098">
        <f>INDIRECT(ADDRESS(1098,27))+INDIRECT(ADDRESS(1096,28))-INDIRECT(ADDRESS(1097,28))</f>
        <v>0</v>
      </c>
      <c r="AC1098">
        <f>INDIRECT(ADDRESS(1098,28))+INDIRECT(ADDRESS(1096,29))-INDIRECT(ADDRESS(1097,29))</f>
        <v>0</v>
      </c>
      <c r="AD1098">
        <f>INDIRECT(ADDRESS(1098,29))+INDIRECT(ADDRESS(1096,30))-INDIRECT(ADDRESS(1097,30))</f>
        <v>0</v>
      </c>
      <c r="AE1098">
        <f>INDIRECT(ADDRESS(1098,30))+INDIRECT(ADDRESS(1096,31))-INDIRECT(ADDRESS(1097,31))</f>
        <v>0</v>
      </c>
      <c r="AF1098">
        <f>INDIRECT(ADDRESS(1098,31))+INDIRECT(ADDRESS(1096,32))-INDIRECT(ADDRESS(1097,32))</f>
        <v>0</v>
      </c>
      <c r="AG1098">
        <f>INDIRECT(ADDRESS(1098,32))+INDIRECT(ADDRESS(1096,33))-INDIRECT(ADDRESS(1097,33))</f>
        <v>0</v>
      </c>
      <c r="AH1098">
        <f>INDIRECT(ADDRESS(1098,33))+INDIRECT(ADDRESS(1096,34))-INDIRECT(ADDRESS(1097,34))</f>
        <v>0</v>
      </c>
      <c r="AI1098">
        <f>INDIRECT(ADDRESS(1098,34))+INDIRECT(ADDRESS(1096,35))-INDIRECT(ADDRESS(1097,35))</f>
        <v>0</v>
      </c>
      <c r="AJ1098">
        <f>INDIRECT(ADDRESS(1098,35))+INDIRECT(ADDRESS(1096,36))-INDIRECT(ADDRESS(1097,36))</f>
        <v>0</v>
      </c>
      <c r="AK1098">
        <f>INDIRECT(ADDRESS(1098,36))+INDIRECT(ADDRESS(1096,37))-INDIRECT(ADDRESS(1097,37))</f>
        <v>0</v>
      </c>
      <c r="AL1098">
        <f>INDIRECT(ADDRESS(1098,37))+INDIRECT(ADDRESS(1096,38))-INDIRECT(ADDRESS(1097,38))</f>
        <v>0</v>
      </c>
      <c r="AM1098">
        <f>INDIRECT(ADDRESS(1098,38))+INDIRECT(ADDRESS(1096,39))-INDIRECT(ADDRESS(1097,39))</f>
        <v>0</v>
      </c>
      <c r="AN1098">
        <f>INDIRECT(ADDRESS(1098,39))+INDIRECT(ADDRESS(1096,40))-INDIRECT(ADDRESS(1097,40))</f>
        <v>0</v>
      </c>
      <c r="AO1098">
        <f>SUM(INDIRECT(ADDRESS(1097,8)):INDIRECT(ADDRESS(1097,39)))</f>
        <v>0</v>
      </c>
    </row>
    <row r="1099" spans="1:41">
      <c r="A1099" t="s">
        <v>180</v>
      </c>
      <c r="B1099" t="s">
        <v>550</v>
      </c>
      <c r="C1099" t="s">
        <v>551</v>
      </c>
      <c r="E1099">
        <v>1</v>
      </c>
      <c r="I1099" t="s">
        <v>177</v>
      </c>
    </row>
    <row r="1100" spans="1:41">
      <c r="I1100" t="s">
        <v>178</v>
      </c>
      <c r="J1100">
        <f>IFERROR(VLOOKUP("922-096517-400",B:AB,1+8,0),0)</f>
        <v>0</v>
      </c>
      <c r="K1100">
        <f>IFERROR(VLOOKUP("922-096517-400",B:AB,2+8,0),0)</f>
        <v>0</v>
      </c>
      <c r="L1100">
        <f>IFERROR(VLOOKUP("922-096517-400",B:AB,3+8,0),0)</f>
        <v>0</v>
      </c>
      <c r="M1100">
        <f>IFERROR(VLOOKUP("922-096517-400",B:AB,4+8,0),0)</f>
        <v>0</v>
      </c>
      <c r="N1100">
        <f>IFERROR(VLOOKUP("922-096517-400",B:AB,5+8,0),0)</f>
        <v>0</v>
      </c>
      <c r="O1100">
        <f>IFERROR(VLOOKUP("922-096517-400",B:AB,6+8,0),0)</f>
        <v>0</v>
      </c>
      <c r="P1100">
        <f>IFERROR(VLOOKUP("922-096517-400",B:AB,7+8,0),0)</f>
        <v>0</v>
      </c>
      <c r="Q1100">
        <f>IFERROR(VLOOKUP("922-096517-400",B:AB,8+8,0),0)</f>
        <v>0</v>
      </c>
      <c r="R1100">
        <f>IFERROR(VLOOKUP("922-096517-400",B:AB,9+8,0),0)</f>
        <v>0</v>
      </c>
      <c r="S1100">
        <f>IFERROR(VLOOKUP("922-096517-400",B:AB,10+8,0),0)</f>
        <v>0</v>
      </c>
      <c r="T1100">
        <f>IFERROR(VLOOKUP("922-096517-400",B:AB,11+8,0),0)</f>
        <v>0</v>
      </c>
      <c r="U1100">
        <f>IFERROR(VLOOKUP("922-096517-400",B:AB,12+8,0),0)</f>
        <v>0</v>
      </c>
      <c r="V1100">
        <f>IFERROR(VLOOKUP("922-096517-400",B:AB,13+8,0),0)</f>
        <v>0</v>
      </c>
      <c r="W1100">
        <f>IFERROR(VLOOKUP("922-096517-400",B:AB,14+8,0),0)</f>
        <v>0</v>
      </c>
      <c r="X1100">
        <f>IFERROR(VLOOKUP("922-096517-400",B:AB,15+8,0),0)</f>
        <v>0</v>
      </c>
      <c r="Y1100">
        <f>IFERROR(VLOOKUP("922-096517-400",B:AB,16+8,0),0)</f>
        <v>0</v>
      </c>
      <c r="Z1100">
        <f>IFERROR(VLOOKUP("922-096517-400",B:AB,17+8,0),0)</f>
        <v>0</v>
      </c>
      <c r="AA1100">
        <f>IFERROR(VLOOKUP("922-096517-400",B:AB,18+8,0),0)</f>
        <v>0</v>
      </c>
      <c r="AB1100">
        <f>IFERROR(VLOOKUP("922-096517-400",B:AB,19+8,0),0)</f>
        <v>0</v>
      </c>
      <c r="AC1100">
        <f>IFERROR(VLOOKUP("922-096517-400",B:AB,20+8,0),0)</f>
        <v>0</v>
      </c>
      <c r="AD1100">
        <f>IFERROR(VLOOKUP("922-096517-400",B:AB,21+8,0),0)</f>
        <v>0</v>
      </c>
      <c r="AE1100">
        <f>IFERROR(VLOOKUP("922-096517-400",B:AB,22+8,0),0)</f>
        <v>0</v>
      </c>
      <c r="AF1100">
        <f>IFERROR(VLOOKUP("922-096517-400",B:AB,23+8,0),0)</f>
        <v>0</v>
      </c>
      <c r="AG1100">
        <f>IFERROR(VLOOKUP("922-096517-400",B:AB,24+8,0),0)</f>
        <v>0</v>
      </c>
      <c r="AH1100">
        <f>IFERROR(VLOOKUP("922-096517-400",B:AB,25+8,0),0)</f>
        <v>0</v>
      </c>
      <c r="AI1100">
        <f>IFERROR(VLOOKUP("922-096517-400",B:AB,26+8,0),0)</f>
        <v>0</v>
      </c>
      <c r="AJ1100">
        <f>IFERROR(VLOOKUP("922-096517-400",B:AB,27+8,0),0)</f>
        <v>0</v>
      </c>
      <c r="AK1100">
        <f>IFERROR(VLOOKUP("922-096517-400",B:AB,28+8,0),0)</f>
        <v>0</v>
      </c>
      <c r="AL1100">
        <f>IFERROR(VLOOKUP("922-096517-400",B:AB,29+8,0),0)</f>
        <v>0</v>
      </c>
      <c r="AM1100">
        <f>IFERROR(VLOOKUP("922-096517-400",B:AB,30+8,0),0)</f>
        <v>0</v>
      </c>
      <c r="AN1100">
        <f>IFERROR(VLOOKUP("922-096517-400",B:AB,31+8,0),0)</f>
        <v>0</v>
      </c>
      <c r="AO1100">
        <f>SUN(INDIRECT(ADDRESS(1099,8)):INDIRECT(ADDRESS(1099,39)))</f>
        <v>0</v>
      </c>
    </row>
    <row r="1101" spans="1:41">
      <c r="H1101" t="s">
        <v>179</v>
      </c>
      <c r="J1101">
        <f>INDIRECT(ADDRESS(1101,9))+INDIRECT(ADDRESS(1099,10))-INDIRECT(ADDRESS(1100,10))</f>
        <v>0</v>
      </c>
      <c r="K1101">
        <f>INDIRECT(ADDRESS(1101,10))+INDIRECT(ADDRESS(1099,11))-INDIRECT(ADDRESS(1100,11))</f>
        <v>0</v>
      </c>
      <c r="L1101">
        <f>INDIRECT(ADDRESS(1101,11))+INDIRECT(ADDRESS(1099,12))-INDIRECT(ADDRESS(1100,12))</f>
        <v>0</v>
      </c>
      <c r="M1101">
        <f>INDIRECT(ADDRESS(1101,12))+INDIRECT(ADDRESS(1099,13))-INDIRECT(ADDRESS(1100,13))</f>
        <v>0</v>
      </c>
      <c r="N1101">
        <f>INDIRECT(ADDRESS(1101,13))+INDIRECT(ADDRESS(1099,14))-INDIRECT(ADDRESS(1100,14))</f>
        <v>0</v>
      </c>
      <c r="O1101">
        <f>INDIRECT(ADDRESS(1101,14))+INDIRECT(ADDRESS(1099,15))-INDIRECT(ADDRESS(1100,15))</f>
        <v>0</v>
      </c>
      <c r="P1101">
        <f>INDIRECT(ADDRESS(1101,15))+INDIRECT(ADDRESS(1099,16))-INDIRECT(ADDRESS(1100,16))</f>
        <v>0</v>
      </c>
      <c r="Q1101">
        <f>INDIRECT(ADDRESS(1101,16))+INDIRECT(ADDRESS(1099,17))-INDIRECT(ADDRESS(1100,17))</f>
        <v>0</v>
      </c>
      <c r="R1101">
        <f>INDIRECT(ADDRESS(1101,17))+INDIRECT(ADDRESS(1099,18))-INDIRECT(ADDRESS(1100,18))</f>
        <v>0</v>
      </c>
      <c r="S1101">
        <f>INDIRECT(ADDRESS(1101,18))+INDIRECT(ADDRESS(1099,19))-INDIRECT(ADDRESS(1100,19))</f>
        <v>0</v>
      </c>
      <c r="T1101">
        <f>INDIRECT(ADDRESS(1101,19))+INDIRECT(ADDRESS(1099,20))-INDIRECT(ADDRESS(1100,20))</f>
        <v>0</v>
      </c>
      <c r="U1101">
        <f>INDIRECT(ADDRESS(1101,20))+INDIRECT(ADDRESS(1099,21))-INDIRECT(ADDRESS(1100,21))</f>
        <v>0</v>
      </c>
      <c r="V1101">
        <f>INDIRECT(ADDRESS(1101,21))+INDIRECT(ADDRESS(1099,22))-INDIRECT(ADDRESS(1100,22))</f>
        <v>0</v>
      </c>
      <c r="W1101">
        <f>INDIRECT(ADDRESS(1101,22))+INDIRECT(ADDRESS(1099,23))-INDIRECT(ADDRESS(1100,23))</f>
        <v>0</v>
      </c>
      <c r="X1101">
        <f>INDIRECT(ADDRESS(1101,23))+INDIRECT(ADDRESS(1099,24))-INDIRECT(ADDRESS(1100,24))</f>
        <v>0</v>
      </c>
      <c r="Y1101">
        <f>INDIRECT(ADDRESS(1101,24))+INDIRECT(ADDRESS(1099,25))-INDIRECT(ADDRESS(1100,25))</f>
        <v>0</v>
      </c>
      <c r="Z1101">
        <f>INDIRECT(ADDRESS(1101,25))+INDIRECT(ADDRESS(1099,26))-INDIRECT(ADDRESS(1100,26))</f>
        <v>0</v>
      </c>
      <c r="AA1101">
        <f>INDIRECT(ADDRESS(1101,26))+INDIRECT(ADDRESS(1099,27))-INDIRECT(ADDRESS(1100,27))</f>
        <v>0</v>
      </c>
      <c r="AB1101">
        <f>INDIRECT(ADDRESS(1101,27))+INDIRECT(ADDRESS(1099,28))-INDIRECT(ADDRESS(1100,28))</f>
        <v>0</v>
      </c>
      <c r="AC1101">
        <f>INDIRECT(ADDRESS(1101,28))+INDIRECT(ADDRESS(1099,29))-INDIRECT(ADDRESS(1100,29))</f>
        <v>0</v>
      </c>
      <c r="AD1101">
        <f>INDIRECT(ADDRESS(1101,29))+INDIRECT(ADDRESS(1099,30))-INDIRECT(ADDRESS(1100,30))</f>
        <v>0</v>
      </c>
      <c r="AE1101">
        <f>INDIRECT(ADDRESS(1101,30))+INDIRECT(ADDRESS(1099,31))-INDIRECT(ADDRESS(1100,31))</f>
        <v>0</v>
      </c>
      <c r="AF1101">
        <f>INDIRECT(ADDRESS(1101,31))+INDIRECT(ADDRESS(1099,32))-INDIRECT(ADDRESS(1100,32))</f>
        <v>0</v>
      </c>
      <c r="AG1101">
        <f>INDIRECT(ADDRESS(1101,32))+INDIRECT(ADDRESS(1099,33))-INDIRECT(ADDRESS(1100,33))</f>
        <v>0</v>
      </c>
      <c r="AH1101">
        <f>INDIRECT(ADDRESS(1101,33))+INDIRECT(ADDRESS(1099,34))-INDIRECT(ADDRESS(1100,34))</f>
        <v>0</v>
      </c>
      <c r="AI1101">
        <f>INDIRECT(ADDRESS(1101,34))+INDIRECT(ADDRESS(1099,35))-INDIRECT(ADDRESS(1100,35))</f>
        <v>0</v>
      </c>
      <c r="AJ1101">
        <f>INDIRECT(ADDRESS(1101,35))+INDIRECT(ADDRESS(1099,36))-INDIRECT(ADDRESS(1100,36))</f>
        <v>0</v>
      </c>
      <c r="AK1101">
        <f>INDIRECT(ADDRESS(1101,36))+INDIRECT(ADDRESS(1099,37))-INDIRECT(ADDRESS(1100,37))</f>
        <v>0</v>
      </c>
      <c r="AL1101">
        <f>INDIRECT(ADDRESS(1101,37))+INDIRECT(ADDRESS(1099,38))-INDIRECT(ADDRESS(1100,38))</f>
        <v>0</v>
      </c>
      <c r="AM1101">
        <f>INDIRECT(ADDRESS(1101,38))+INDIRECT(ADDRESS(1099,39))-INDIRECT(ADDRESS(1100,39))</f>
        <v>0</v>
      </c>
      <c r="AN1101">
        <f>INDIRECT(ADDRESS(1101,39))+INDIRECT(ADDRESS(1099,40))-INDIRECT(ADDRESS(1100,40))</f>
        <v>0</v>
      </c>
      <c r="AO1101">
        <f>SUM(INDIRECT(ADDRESS(1100,8)):INDIRECT(ADDRESS(1100,39)))</f>
        <v>0</v>
      </c>
    </row>
    <row r="1102" spans="1:41">
      <c r="A1102" t="s">
        <v>185</v>
      </c>
      <c r="B1102" t="s">
        <v>560</v>
      </c>
      <c r="C1102" t="s">
        <v>561</v>
      </c>
      <c r="E1102">
        <v>1</v>
      </c>
      <c r="I1102" t="s">
        <v>177</v>
      </c>
    </row>
    <row r="1103" spans="1:41">
      <c r="I1103" t="s">
        <v>178</v>
      </c>
      <c r="J1103">
        <f>IFERROR(VLOOKUP("922-096517-400",B:AB,1+8,0),0)</f>
        <v>0</v>
      </c>
      <c r="K1103">
        <f>IFERROR(VLOOKUP("922-096517-400",B:AB,2+8,0),0)</f>
        <v>0</v>
      </c>
      <c r="L1103">
        <f>IFERROR(VLOOKUP("922-096517-400",B:AB,3+8,0),0)</f>
        <v>0</v>
      </c>
      <c r="M1103">
        <f>IFERROR(VLOOKUP("922-096517-400",B:AB,4+8,0),0)</f>
        <v>0</v>
      </c>
      <c r="N1103">
        <f>IFERROR(VLOOKUP("922-096517-400",B:AB,5+8,0),0)</f>
        <v>0</v>
      </c>
      <c r="O1103">
        <f>IFERROR(VLOOKUP("922-096517-400",B:AB,6+8,0),0)</f>
        <v>0</v>
      </c>
      <c r="P1103">
        <f>IFERROR(VLOOKUP("922-096517-400",B:AB,7+8,0),0)</f>
        <v>0</v>
      </c>
      <c r="Q1103">
        <f>IFERROR(VLOOKUP("922-096517-400",B:AB,8+8,0),0)</f>
        <v>0</v>
      </c>
      <c r="R1103">
        <f>IFERROR(VLOOKUP("922-096517-400",B:AB,9+8,0),0)</f>
        <v>0</v>
      </c>
      <c r="S1103">
        <f>IFERROR(VLOOKUP("922-096517-400",B:AB,10+8,0),0)</f>
        <v>0</v>
      </c>
      <c r="T1103">
        <f>IFERROR(VLOOKUP("922-096517-400",B:AB,11+8,0),0)</f>
        <v>0</v>
      </c>
      <c r="U1103">
        <f>IFERROR(VLOOKUP("922-096517-400",B:AB,12+8,0),0)</f>
        <v>0</v>
      </c>
      <c r="V1103">
        <f>IFERROR(VLOOKUP("922-096517-400",B:AB,13+8,0),0)</f>
        <v>0</v>
      </c>
      <c r="W1103">
        <f>IFERROR(VLOOKUP("922-096517-400",B:AB,14+8,0),0)</f>
        <v>0</v>
      </c>
      <c r="X1103">
        <f>IFERROR(VLOOKUP("922-096517-400",B:AB,15+8,0),0)</f>
        <v>0</v>
      </c>
      <c r="Y1103">
        <f>IFERROR(VLOOKUP("922-096517-400",B:AB,16+8,0),0)</f>
        <v>0</v>
      </c>
      <c r="Z1103">
        <f>IFERROR(VLOOKUP("922-096517-400",B:AB,17+8,0),0)</f>
        <v>0</v>
      </c>
      <c r="AA1103">
        <f>IFERROR(VLOOKUP("922-096517-400",B:AB,18+8,0),0)</f>
        <v>0</v>
      </c>
      <c r="AB1103">
        <f>IFERROR(VLOOKUP("922-096517-400",B:AB,19+8,0),0)</f>
        <v>0</v>
      </c>
      <c r="AC1103">
        <f>IFERROR(VLOOKUP("922-096517-400",B:AB,20+8,0),0)</f>
        <v>0</v>
      </c>
      <c r="AD1103">
        <f>IFERROR(VLOOKUP("922-096517-400",B:AB,21+8,0),0)</f>
        <v>0</v>
      </c>
      <c r="AE1103">
        <f>IFERROR(VLOOKUP("922-096517-400",B:AB,22+8,0),0)</f>
        <v>0</v>
      </c>
      <c r="AF1103">
        <f>IFERROR(VLOOKUP("922-096517-400",B:AB,23+8,0),0)</f>
        <v>0</v>
      </c>
      <c r="AG1103">
        <f>IFERROR(VLOOKUP("922-096517-400",B:AB,24+8,0),0)</f>
        <v>0</v>
      </c>
      <c r="AH1103">
        <f>IFERROR(VLOOKUP("922-096517-400",B:AB,25+8,0),0)</f>
        <v>0</v>
      </c>
      <c r="AI1103">
        <f>IFERROR(VLOOKUP("922-096517-400",B:AB,26+8,0),0)</f>
        <v>0</v>
      </c>
      <c r="AJ1103">
        <f>IFERROR(VLOOKUP("922-096517-400",B:AB,27+8,0),0)</f>
        <v>0</v>
      </c>
      <c r="AK1103">
        <f>IFERROR(VLOOKUP("922-096517-400",B:AB,28+8,0),0)</f>
        <v>0</v>
      </c>
      <c r="AL1103">
        <f>IFERROR(VLOOKUP("922-096517-400",B:AB,29+8,0),0)</f>
        <v>0</v>
      </c>
      <c r="AM1103">
        <f>IFERROR(VLOOKUP("922-096517-400",B:AB,30+8,0),0)</f>
        <v>0</v>
      </c>
      <c r="AN1103">
        <f>IFERROR(VLOOKUP("922-096517-400",B:AB,31+8,0),0)</f>
        <v>0</v>
      </c>
      <c r="AO1103">
        <f>SUN(INDIRECT(ADDRESS(1102,8)):INDIRECT(ADDRESS(1102,39)))</f>
        <v>0</v>
      </c>
    </row>
    <row r="1104" spans="1:41">
      <c r="H1104" t="s">
        <v>179</v>
      </c>
      <c r="J1104">
        <f>INDIRECT(ADDRESS(1104,9))+INDIRECT(ADDRESS(1102,10))-INDIRECT(ADDRESS(1103,10))</f>
        <v>0</v>
      </c>
      <c r="K1104">
        <f>INDIRECT(ADDRESS(1104,10))+INDIRECT(ADDRESS(1102,11))-INDIRECT(ADDRESS(1103,11))</f>
        <v>0</v>
      </c>
      <c r="L1104">
        <f>INDIRECT(ADDRESS(1104,11))+INDIRECT(ADDRESS(1102,12))-INDIRECT(ADDRESS(1103,12))</f>
        <v>0</v>
      </c>
      <c r="M1104">
        <f>INDIRECT(ADDRESS(1104,12))+INDIRECT(ADDRESS(1102,13))-INDIRECT(ADDRESS(1103,13))</f>
        <v>0</v>
      </c>
      <c r="N1104">
        <f>INDIRECT(ADDRESS(1104,13))+INDIRECT(ADDRESS(1102,14))-INDIRECT(ADDRESS(1103,14))</f>
        <v>0</v>
      </c>
      <c r="O1104">
        <f>INDIRECT(ADDRESS(1104,14))+INDIRECT(ADDRESS(1102,15))-INDIRECT(ADDRESS(1103,15))</f>
        <v>0</v>
      </c>
      <c r="P1104">
        <f>INDIRECT(ADDRESS(1104,15))+INDIRECT(ADDRESS(1102,16))-INDIRECT(ADDRESS(1103,16))</f>
        <v>0</v>
      </c>
      <c r="Q1104">
        <f>INDIRECT(ADDRESS(1104,16))+INDIRECT(ADDRESS(1102,17))-INDIRECT(ADDRESS(1103,17))</f>
        <v>0</v>
      </c>
      <c r="R1104">
        <f>INDIRECT(ADDRESS(1104,17))+INDIRECT(ADDRESS(1102,18))-INDIRECT(ADDRESS(1103,18))</f>
        <v>0</v>
      </c>
      <c r="S1104">
        <f>INDIRECT(ADDRESS(1104,18))+INDIRECT(ADDRESS(1102,19))-INDIRECT(ADDRESS(1103,19))</f>
        <v>0</v>
      </c>
      <c r="T1104">
        <f>INDIRECT(ADDRESS(1104,19))+INDIRECT(ADDRESS(1102,20))-INDIRECT(ADDRESS(1103,20))</f>
        <v>0</v>
      </c>
      <c r="U1104">
        <f>INDIRECT(ADDRESS(1104,20))+INDIRECT(ADDRESS(1102,21))-INDIRECT(ADDRESS(1103,21))</f>
        <v>0</v>
      </c>
      <c r="V1104">
        <f>INDIRECT(ADDRESS(1104,21))+INDIRECT(ADDRESS(1102,22))-INDIRECT(ADDRESS(1103,22))</f>
        <v>0</v>
      </c>
      <c r="W1104">
        <f>INDIRECT(ADDRESS(1104,22))+INDIRECT(ADDRESS(1102,23))-INDIRECT(ADDRESS(1103,23))</f>
        <v>0</v>
      </c>
      <c r="X1104">
        <f>INDIRECT(ADDRESS(1104,23))+INDIRECT(ADDRESS(1102,24))-INDIRECT(ADDRESS(1103,24))</f>
        <v>0</v>
      </c>
      <c r="Y1104">
        <f>INDIRECT(ADDRESS(1104,24))+INDIRECT(ADDRESS(1102,25))-INDIRECT(ADDRESS(1103,25))</f>
        <v>0</v>
      </c>
      <c r="Z1104">
        <f>INDIRECT(ADDRESS(1104,25))+INDIRECT(ADDRESS(1102,26))-INDIRECT(ADDRESS(1103,26))</f>
        <v>0</v>
      </c>
      <c r="AA1104">
        <f>INDIRECT(ADDRESS(1104,26))+INDIRECT(ADDRESS(1102,27))-INDIRECT(ADDRESS(1103,27))</f>
        <v>0</v>
      </c>
      <c r="AB1104">
        <f>INDIRECT(ADDRESS(1104,27))+INDIRECT(ADDRESS(1102,28))-INDIRECT(ADDRESS(1103,28))</f>
        <v>0</v>
      </c>
      <c r="AC1104">
        <f>INDIRECT(ADDRESS(1104,28))+INDIRECT(ADDRESS(1102,29))-INDIRECT(ADDRESS(1103,29))</f>
        <v>0</v>
      </c>
      <c r="AD1104">
        <f>INDIRECT(ADDRESS(1104,29))+INDIRECT(ADDRESS(1102,30))-INDIRECT(ADDRESS(1103,30))</f>
        <v>0</v>
      </c>
      <c r="AE1104">
        <f>INDIRECT(ADDRESS(1104,30))+INDIRECT(ADDRESS(1102,31))-INDIRECT(ADDRESS(1103,31))</f>
        <v>0</v>
      </c>
      <c r="AF1104">
        <f>INDIRECT(ADDRESS(1104,31))+INDIRECT(ADDRESS(1102,32))-INDIRECT(ADDRESS(1103,32))</f>
        <v>0</v>
      </c>
      <c r="AG1104">
        <f>INDIRECT(ADDRESS(1104,32))+INDIRECT(ADDRESS(1102,33))-INDIRECT(ADDRESS(1103,33))</f>
        <v>0</v>
      </c>
      <c r="AH1104">
        <f>INDIRECT(ADDRESS(1104,33))+INDIRECT(ADDRESS(1102,34))-INDIRECT(ADDRESS(1103,34))</f>
        <v>0</v>
      </c>
      <c r="AI1104">
        <f>INDIRECT(ADDRESS(1104,34))+INDIRECT(ADDRESS(1102,35))-INDIRECT(ADDRESS(1103,35))</f>
        <v>0</v>
      </c>
      <c r="AJ1104">
        <f>INDIRECT(ADDRESS(1104,35))+INDIRECT(ADDRESS(1102,36))-INDIRECT(ADDRESS(1103,36))</f>
        <v>0</v>
      </c>
      <c r="AK1104">
        <f>INDIRECT(ADDRESS(1104,36))+INDIRECT(ADDRESS(1102,37))-INDIRECT(ADDRESS(1103,37))</f>
        <v>0</v>
      </c>
      <c r="AL1104">
        <f>INDIRECT(ADDRESS(1104,37))+INDIRECT(ADDRESS(1102,38))-INDIRECT(ADDRESS(1103,38))</f>
        <v>0</v>
      </c>
      <c r="AM1104">
        <f>INDIRECT(ADDRESS(1104,38))+INDIRECT(ADDRESS(1102,39))-INDIRECT(ADDRESS(1103,39))</f>
        <v>0</v>
      </c>
      <c r="AN1104">
        <f>INDIRECT(ADDRESS(1104,39))+INDIRECT(ADDRESS(1102,40))-INDIRECT(ADDRESS(1103,40))</f>
        <v>0</v>
      </c>
      <c r="AO1104">
        <f>SUM(INDIRECT(ADDRESS(1103,8)):INDIRECT(ADDRESS(1103,39)))</f>
        <v>0</v>
      </c>
    </row>
    <row r="1105" spans="1:41">
      <c r="A1105" t="s">
        <v>206</v>
      </c>
      <c r="B1105" t="s">
        <v>562</v>
      </c>
      <c r="C1105" t="s">
        <v>563</v>
      </c>
      <c r="E1105">
        <v>0.05</v>
      </c>
      <c r="I1105" t="s">
        <v>177</v>
      </c>
    </row>
    <row r="1106" spans="1:41">
      <c r="I1106" t="s">
        <v>178</v>
      </c>
      <c r="J1106">
        <f>IFERROR(VLOOKUP("922-096517-400",B:AB,1+8,0),0)</f>
        <v>0</v>
      </c>
      <c r="K1106">
        <f>IFERROR(VLOOKUP("922-096517-400",B:AB,2+8,0),0)</f>
        <v>0</v>
      </c>
      <c r="L1106">
        <f>IFERROR(VLOOKUP("922-096517-400",B:AB,3+8,0),0)</f>
        <v>0</v>
      </c>
      <c r="M1106">
        <f>IFERROR(VLOOKUP("922-096517-400",B:AB,4+8,0),0)</f>
        <v>0</v>
      </c>
      <c r="N1106">
        <f>IFERROR(VLOOKUP("922-096517-400",B:AB,5+8,0),0)</f>
        <v>0</v>
      </c>
      <c r="O1106">
        <f>IFERROR(VLOOKUP("922-096517-400",B:AB,6+8,0),0)</f>
        <v>0</v>
      </c>
      <c r="P1106">
        <f>IFERROR(VLOOKUP("922-096517-400",B:AB,7+8,0),0)</f>
        <v>0</v>
      </c>
      <c r="Q1106">
        <f>IFERROR(VLOOKUP("922-096517-400",B:AB,8+8,0),0)</f>
        <v>0</v>
      </c>
      <c r="R1106">
        <f>IFERROR(VLOOKUP("922-096517-400",B:AB,9+8,0),0)</f>
        <v>0</v>
      </c>
      <c r="S1106">
        <f>IFERROR(VLOOKUP("922-096517-400",B:AB,10+8,0),0)</f>
        <v>0</v>
      </c>
      <c r="T1106">
        <f>IFERROR(VLOOKUP("922-096517-400",B:AB,11+8,0),0)</f>
        <v>0</v>
      </c>
      <c r="U1106">
        <f>IFERROR(VLOOKUP("922-096517-400",B:AB,12+8,0),0)</f>
        <v>0</v>
      </c>
      <c r="V1106">
        <f>IFERROR(VLOOKUP("922-096517-400",B:AB,13+8,0),0)</f>
        <v>0</v>
      </c>
      <c r="W1106">
        <f>IFERROR(VLOOKUP("922-096517-400",B:AB,14+8,0),0)</f>
        <v>0</v>
      </c>
      <c r="X1106">
        <f>IFERROR(VLOOKUP("922-096517-400",B:AB,15+8,0),0)</f>
        <v>0</v>
      </c>
      <c r="Y1106">
        <f>IFERROR(VLOOKUP("922-096517-400",B:AB,16+8,0),0)</f>
        <v>0</v>
      </c>
      <c r="Z1106">
        <f>IFERROR(VLOOKUP("922-096517-400",B:AB,17+8,0),0)</f>
        <v>0</v>
      </c>
      <c r="AA1106">
        <f>IFERROR(VLOOKUP("922-096517-400",B:AB,18+8,0),0)</f>
        <v>0</v>
      </c>
      <c r="AB1106">
        <f>IFERROR(VLOOKUP("922-096517-400",B:AB,19+8,0),0)</f>
        <v>0</v>
      </c>
      <c r="AC1106">
        <f>IFERROR(VLOOKUP("922-096517-400",B:AB,20+8,0),0)</f>
        <v>0</v>
      </c>
      <c r="AD1106">
        <f>IFERROR(VLOOKUP("922-096517-400",B:AB,21+8,0),0)</f>
        <v>0</v>
      </c>
      <c r="AE1106">
        <f>IFERROR(VLOOKUP("922-096517-400",B:AB,22+8,0),0)</f>
        <v>0</v>
      </c>
      <c r="AF1106">
        <f>IFERROR(VLOOKUP("922-096517-400",B:AB,23+8,0),0)</f>
        <v>0</v>
      </c>
      <c r="AG1106">
        <f>IFERROR(VLOOKUP("922-096517-400",B:AB,24+8,0),0)</f>
        <v>0</v>
      </c>
      <c r="AH1106">
        <f>IFERROR(VLOOKUP("922-096517-400",B:AB,25+8,0),0)</f>
        <v>0</v>
      </c>
      <c r="AI1106">
        <f>IFERROR(VLOOKUP("922-096517-400",B:AB,26+8,0),0)</f>
        <v>0</v>
      </c>
      <c r="AJ1106">
        <f>IFERROR(VLOOKUP("922-096517-400",B:AB,27+8,0),0)</f>
        <v>0</v>
      </c>
      <c r="AK1106">
        <f>IFERROR(VLOOKUP("922-096517-400",B:AB,28+8,0),0)</f>
        <v>0</v>
      </c>
      <c r="AL1106">
        <f>IFERROR(VLOOKUP("922-096517-400",B:AB,29+8,0),0)</f>
        <v>0</v>
      </c>
      <c r="AM1106">
        <f>IFERROR(VLOOKUP("922-096517-400",B:AB,30+8,0),0)</f>
        <v>0</v>
      </c>
      <c r="AN1106">
        <f>IFERROR(VLOOKUP("922-096517-400",B:AB,31+8,0),0)</f>
        <v>0</v>
      </c>
      <c r="AO1106">
        <f>SUN(INDIRECT(ADDRESS(1105,8)):INDIRECT(ADDRESS(1105,39)))</f>
        <v>0</v>
      </c>
    </row>
    <row r="1107" spans="1:41">
      <c r="H1107" t="s">
        <v>179</v>
      </c>
      <c r="J1107">
        <f>INDIRECT(ADDRESS(1107,9))+INDIRECT(ADDRESS(1105,10))-INDIRECT(ADDRESS(1106,10))</f>
        <v>0</v>
      </c>
      <c r="K1107">
        <f>INDIRECT(ADDRESS(1107,10))+INDIRECT(ADDRESS(1105,11))-INDIRECT(ADDRESS(1106,11))</f>
        <v>0</v>
      </c>
      <c r="L1107">
        <f>INDIRECT(ADDRESS(1107,11))+INDIRECT(ADDRESS(1105,12))-INDIRECT(ADDRESS(1106,12))</f>
        <v>0</v>
      </c>
      <c r="M1107">
        <f>INDIRECT(ADDRESS(1107,12))+INDIRECT(ADDRESS(1105,13))-INDIRECT(ADDRESS(1106,13))</f>
        <v>0</v>
      </c>
      <c r="N1107">
        <f>INDIRECT(ADDRESS(1107,13))+INDIRECT(ADDRESS(1105,14))-INDIRECT(ADDRESS(1106,14))</f>
        <v>0</v>
      </c>
      <c r="O1107">
        <f>INDIRECT(ADDRESS(1107,14))+INDIRECT(ADDRESS(1105,15))-INDIRECT(ADDRESS(1106,15))</f>
        <v>0</v>
      </c>
      <c r="P1107">
        <f>INDIRECT(ADDRESS(1107,15))+INDIRECT(ADDRESS(1105,16))-INDIRECT(ADDRESS(1106,16))</f>
        <v>0</v>
      </c>
      <c r="Q1107">
        <f>INDIRECT(ADDRESS(1107,16))+INDIRECT(ADDRESS(1105,17))-INDIRECT(ADDRESS(1106,17))</f>
        <v>0</v>
      </c>
      <c r="R1107">
        <f>INDIRECT(ADDRESS(1107,17))+INDIRECT(ADDRESS(1105,18))-INDIRECT(ADDRESS(1106,18))</f>
        <v>0</v>
      </c>
      <c r="S1107">
        <f>INDIRECT(ADDRESS(1107,18))+INDIRECT(ADDRESS(1105,19))-INDIRECT(ADDRESS(1106,19))</f>
        <v>0</v>
      </c>
      <c r="T1107">
        <f>INDIRECT(ADDRESS(1107,19))+INDIRECT(ADDRESS(1105,20))-INDIRECT(ADDRESS(1106,20))</f>
        <v>0</v>
      </c>
      <c r="U1107">
        <f>INDIRECT(ADDRESS(1107,20))+INDIRECT(ADDRESS(1105,21))-INDIRECT(ADDRESS(1106,21))</f>
        <v>0</v>
      </c>
      <c r="V1107">
        <f>INDIRECT(ADDRESS(1107,21))+INDIRECT(ADDRESS(1105,22))-INDIRECT(ADDRESS(1106,22))</f>
        <v>0</v>
      </c>
      <c r="W1107">
        <f>INDIRECT(ADDRESS(1107,22))+INDIRECT(ADDRESS(1105,23))-INDIRECT(ADDRESS(1106,23))</f>
        <v>0</v>
      </c>
      <c r="X1107">
        <f>INDIRECT(ADDRESS(1107,23))+INDIRECT(ADDRESS(1105,24))-INDIRECT(ADDRESS(1106,24))</f>
        <v>0</v>
      </c>
      <c r="Y1107">
        <f>INDIRECT(ADDRESS(1107,24))+INDIRECT(ADDRESS(1105,25))-INDIRECT(ADDRESS(1106,25))</f>
        <v>0</v>
      </c>
      <c r="Z1107">
        <f>INDIRECT(ADDRESS(1107,25))+INDIRECT(ADDRESS(1105,26))-INDIRECT(ADDRESS(1106,26))</f>
        <v>0</v>
      </c>
      <c r="AA1107">
        <f>INDIRECT(ADDRESS(1107,26))+INDIRECT(ADDRESS(1105,27))-INDIRECT(ADDRESS(1106,27))</f>
        <v>0</v>
      </c>
      <c r="AB1107">
        <f>INDIRECT(ADDRESS(1107,27))+INDIRECT(ADDRESS(1105,28))-INDIRECT(ADDRESS(1106,28))</f>
        <v>0</v>
      </c>
      <c r="AC1107">
        <f>INDIRECT(ADDRESS(1107,28))+INDIRECT(ADDRESS(1105,29))-INDIRECT(ADDRESS(1106,29))</f>
        <v>0</v>
      </c>
      <c r="AD1107">
        <f>INDIRECT(ADDRESS(1107,29))+INDIRECT(ADDRESS(1105,30))-INDIRECT(ADDRESS(1106,30))</f>
        <v>0</v>
      </c>
      <c r="AE1107">
        <f>INDIRECT(ADDRESS(1107,30))+INDIRECT(ADDRESS(1105,31))-INDIRECT(ADDRESS(1106,31))</f>
        <v>0</v>
      </c>
      <c r="AF1107">
        <f>INDIRECT(ADDRESS(1107,31))+INDIRECT(ADDRESS(1105,32))-INDIRECT(ADDRESS(1106,32))</f>
        <v>0</v>
      </c>
      <c r="AG1107">
        <f>INDIRECT(ADDRESS(1107,32))+INDIRECT(ADDRESS(1105,33))-INDIRECT(ADDRESS(1106,33))</f>
        <v>0</v>
      </c>
      <c r="AH1107">
        <f>INDIRECT(ADDRESS(1107,33))+INDIRECT(ADDRESS(1105,34))-INDIRECT(ADDRESS(1106,34))</f>
        <v>0</v>
      </c>
      <c r="AI1107">
        <f>INDIRECT(ADDRESS(1107,34))+INDIRECT(ADDRESS(1105,35))-INDIRECT(ADDRESS(1106,35))</f>
        <v>0</v>
      </c>
      <c r="AJ1107">
        <f>INDIRECT(ADDRESS(1107,35))+INDIRECT(ADDRESS(1105,36))-INDIRECT(ADDRESS(1106,36))</f>
        <v>0</v>
      </c>
      <c r="AK1107">
        <f>INDIRECT(ADDRESS(1107,36))+INDIRECT(ADDRESS(1105,37))-INDIRECT(ADDRESS(1106,37))</f>
        <v>0</v>
      </c>
      <c r="AL1107">
        <f>INDIRECT(ADDRESS(1107,37))+INDIRECT(ADDRESS(1105,38))-INDIRECT(ADDRESS(1106,38))</f>
        <v>0</v>
      </c>
      <c r="AM1107">
        <f>INDIRECT(ADDRESS(1107,38))+INDIRECT(ADDRESS(1105,39))-INDIRECT(ADDRESS(1106,39))</f>
        <v>0</v>
      </c>
      <c r="AN1107">
        <f>INDIRECT(ADDRESS(1107,39))+INDIRECT(ADDRESS(1105,40))-INDIRECT(ADDRESS(1106,40))</f>
        <v>0</v>
      </c>
      <c r="AO1107">
        <f>SUM(INDIRECT(ADDRESS(1106,8)):INDIRECT(ADDRESS(1106,39)))</f>
        <v>0</v>
      </c>
    </row>
    <row r="1108" spans="1:41">
      <c r="A1108" t="s">
        <v>8</v>
      </c>
      <c r="B1108" t="s">
        <v>91</v>
      </c>
      <c r="C1108" t="s">
        <v>84</v>
      </c>
      <c r="E1108">
        <v>1</v>
      </c>
      <c r="I1108" t="s">
        <v>177</v>
      </c>
    </row>
    <row r="1109" spans="1:41">
      <c r="I1109" t="s">
        <v>178</v>
      </c>
      <c r="J1109">
        <f>IFERROR(VLOOKUP("922-096517-500",Out!B:AB,1+8,0),0)</f>
        <v>0</v>
      </c>
      <c r="K1109">
        <f>IFERROR(VLOOKUP("922-096517-500",Out!B:AB,2+8,0),0)</f>
        <v>0</v>
      </c>
      <c r="L1109">
        <f>IFERROR(VLOOKUP("922-096517-500",Out!B:AB,3+8,0),0)</f>
        <v>0</v>
      </c>
      <c r="M1109">
        <f>IFERROR(VLOOKUP("922-096517-500",Out!B:AB,4+8,0),0)</f>
        <v>0</v>
      </c>
      <c r="N1109">
        <f>IFERROR(VLOOKUP("922-096517-500",Out!B:AB,5+8,0),0)</f>
        <v>0</v>
      </c>
      <c r="O1109">
        <f>IFERROR(VLOOKUP("922-096517-500",Out!B:AB,6+8,0),0)</f>
        <v>0</v>
      </c>
      <c r="P1109">
        <f>IFERROR(VLOOKUP("922-096517-500",Out!B:AB,7+8,0),0)</f>
        <v>0</v>
      </c>
      <c r="Q1109">
        <f>IFERROR(VLOOKUP("922-096517-500",Out!B:AB,8+8,0),0)</f>
        <v>0</v>
      </c>
      <c r="R1109">
        <f>IFERROR(VLOOKUP("922-096517-500",Out!B:AB,9+8,0),0)</f>
        <v>0</v>
      </c>
      <c r="S1109">
        <f>IFERROR(VLOOKUP("922-096517-500",Out!B:AB,10+8,0),0)</f>
        <v>0</v>
      </c>
      <c r="T1109">
        <f>IFERROR(VLOOKUP("922-096517-500",Out!B:AB,11+8,0),0)</f>
        <v>0</v>
      </c>
      <c r="U1109">
        <f>IFERROR(VLOOKUP("922-096517-500",Out!B:AB,12+8,0),0)</f>
        <v>0</v>
      </c>
      <c r="V1109">
        <f>IFERROR(VLOOKUP("922-096517-500",Out!B:AB,13+8,0),0)</f>
        <v>0</v>
      </c>
      <c r="W1109">
        <f>IFERROR(VLOOKUP("922-096517-500",Out!B:AB,14+8,0),0)</f>
        <v>0</v>
      </c>
      <c r="X1109">
        <f>IFERROR(VLOOKUP("922-096517-500",Out!B:AB,15+8,0),0)</f>
        <v>0</v>
      </c>
      <c r="Y1109">
        <f>IFERROR(VLOOKUP("922-096517-500",Out!B:AB,16+8,0),0)</f>
        <v>0</v>
      </c>
      <c r="Z1109">
        <f>IFERROR(VLOOKUP("922-096517-500",Out!B:AB,17+8,0),0)</f>
        <v>0</v>
      </c>
      <c r="AA1109">
        <f>IFERROR(VLOOKUP("922-096517-500",Out!B:AB,18+8,0),0)</f>
        <v>0</v>
      </c>
      <c r="AB1109">
        <f>IFERROR(VLOOKUP("922-096517-500",Out!B:AB,19+8,0),0)</f>
        <v>0</v>
      </c>
      <c r="AC1109">
        <f>IFERROR(VLOOKUP("922-096517-500",Out!B:AB,20+8,0),0)</f>
        <v>0</v>
      </c>
      <c r="AD1109">
        <f>IFERROR(VLOOKUP("922-096517-500",Out!B:AB,21+8,0),0)</f>
        <v>0</v>
      </c>
      <c r="AE1109">
        <f>IFERROR(VLOOKUP("922-096517-500",Out!B:AB,22+8,0),0)</f>
        <v>0</v>
      </c>
      <c r="AF1109">
        <f>IFERROR(VLOOKUP("922-096517-500",Out!B:AB,23+8,0),0)</f>
        <v>0</v>
      </c>
      <c r="AG1109">
        <f>IFERROR(VLOOKUP("922-096517-500",Out!B:AB,24+8,0),0)</f>
        <v>0</v>
      </c>
      <c r="AH1109">
        <f>IFERROR(VLOOKUP("922-096517-500",Out!B:AB,25+8,0),0)</f>
        <v>0</v>
      </c>
      <c r="AI1109">
        <f>IFERROR(VLOOKUP("922-096517-500",Out!B:AB,26+8,0),0)</f>
        <v>0</v>
      </c>
      <c r="AJ1109">
        <f>IFERROR(VLOOKUP("922-096517-500",Out!B:AB,27+8,0),0)</f>
        <v>0</v>
      </c>
      <c r="AK1109">
        <f>IFERROR(VLOOKUP("922-096517-500",Out!B:AB,28+8,0),0)</f>
        <v>0</v>
      </c>
      <c r="AL1109">
        <f>IFERROR(VLOOKUP("922-096517-500",Out!B:AB,29+8,0),0)</f>
        <v>0</v>
      </c>
      <c r="AM1109">
        <f>IFERROR(VLOOKUP("922-096517-500",Out!B:AB,30+8,0),0)</f>
        <v>0</v>
      </c>
      <c r="AN1109">
        <f>IFERROR(VLOOKUP("922-096517-500",Out!B:AB,31+8,0),0)</f>
        <v>0</v>
      </c>
      <c r="AO1109">
        <f>SUN(INDIRECT(ADDRESS(1108,8)):INDIRECT(ADDRESS(1108,39)))</f>
        <v>0</v>
      </c>
    </row>
    <row r="1110" spans="1:41">
      <c r="H1110" t="s">
        <v>179</v>
      </c>
      <c r="J1110">
        <f>INDIRECT(ADDRESS(1110,9))+INDIRECT(ADDRESS(1108,10))-INDIRECT(ADDRESS(1109,10))</f>
        <v>0</v>
      </c>
      <c r="K1110">
        <f>INDIRECT(ADDRESS(1110,10))+INDIRECT(ADDRESS(1108,11))-INDIRECT(ADDRESS(1109,11))</f>
        <v>0</v>
      </c>
      <c r="L1110">
        <f>INDIRECT(ADDRESS(1110,11))+INDIRECT(ADDRESS(1108,12))-INDIRECT(ADDRESS(1109,12))</f>
        <v>0</v>
      </c>
      <c r="M1110">
        <f>INDIRECT(ADDRESS(1110,12))+INDIRECT(ADDRESS(1108,13))-INDIRECT(ADDRESS(1109,13))</f>
        <v>0</v>
      </c>
      <c r="N1110">
        <f>INDIRECT(ADDRESS(1110,13))+INDIRECT(ADDRESS(1108,14))-INDIRECT(ADDRESS(1109,14))</f>
        <v>0</v>
      </c>
      <c r="O1110">
        <f>INDIRECT(ADDRESS(1110,14))+INDIRECT(ADDRESS(1108,15))-INDIRECT(ADDRESS(1109,15))</f>
        <v>0</v>
      </c>
      <c r="P1110">
        <f>INDIRECT(ADDRESS(1110,15))+INDIRECT(ADDRESS(1108,16))-INDIRECT(ADDRESS(1109,16))</f>
        <v>0</v>
      </c>
      <c r="Q1110">
        <f>INDIRECT(ADDRESS(1110,16))+INDIRECT(ADDRESS(1108,17))-INDIRECT(ADDRESS(1109,17))</f>
        <v>0</v>
      </c>
      <c r="R1110">
        <f>INDIRECT(ADDRESS(1110,17))+INDIRECT(ADDRESS(1108,18))-INDIRECT(ADDRESS(1109,18))</f>
        <v>0</v>
      </c>
      <c r="S1110">
        <f>INDIRECT(ADDRESS(1110,18))+INDIRECT(ADDRESS(1108,19))-INDIRECT(ADDRESS(1109,19))</f>
        <v>0</v>
      </c>
      <c r="T1110">
        <f>INDIRECT(ADDRESS(1110,19))+INDIRECT(ADDRESS(1108,20))-INDIRECT(ADDRESS(1109,20))</f>
        <v>0</v>
      </c>
      <c r="U1110">
        <f>INDIRECT(ADDRESS(1110,20))+INDIRECT(ADDRESS(1108,21))-INDIRECT(ADDRESS(1109,21))</f>
        <v>0</v>
      </c>
      <c r="V1110">
        <f>INDIRECT(ADDRESS(1110,21))+INDIRECT(ADDRESS(1108,22))-INDIRECT(ADDRESS(1109,22))</f>
        <v>0</v>
      </c>
      <c r="W1110">
        <f>INDIRECT(ADDRESS(1110,22))+INDIRECT(ADDRESS(1108,23))-INDIRECT(ADDRESS(1109,23))</f>
        <v>0</v>
      </c>
      <c r="X1110">
        <f>INDIRECT(ADDRESS(1110,23))+INDIRECT(ADDRESS(1108,24))-INDIRECT(ADDRESS(1109,24))</f>
        <v>0</v>
      </c>
      <c r="Y1110">
        <f>INDIRECT(ADDRESS(1110,24))+INDIRECT(ADDRESS(1108,25))-INDIRECT(ADDRESS(1109,25))</f>
        <v>0</v>
      </c>
      <c r="Z1110">
        <f>INDIRECT(ADDRESS(1110,25))+INDIRECT(ADDRESS(1108,26))-INDIRECT(ADDRESS(1109,26))</f>
        <v>0</v>
      </c>
      <c r="AA1110">
        <f>INDIRECT(ADDRESS(1110,26))+INDIRECT(ADDRESS(1108,27))-INDIRECT(ADDRESS(1109,27))</f>
        <v>0</v>
      </c>
      <c r="AB1110">
        <f>INDIRECT(ADDRESS(1110,27))+INDIRECT(ADDRESS(1108,28))-INDIRECT(ADDRESS(1109,28))</f>
        <v>0</v>
      </c>
      <c r="AC1110">
        <f>INDIRECT(ADDRESS(1110,28))+INDIRECT(ADDRESS(1108,29))-INDIRECT(ADDRESS(1109,29))</f>
        <v>0</v>
      </c>
      <c r="AD1110">
        <f>INDIRECT(ADDRESS(1110,29))+INDIRECT(ADDRESS(1108,30))-INDIRECT(ADDRESS(1109,30))</f>
        <v>0</v>
      </c>
      <c r="AE1110">
        <f>INDIRECT(ADDRESS(1110,30))+INDIRECT(ADDRESS(1108,31))-INDIRECT(ADDRESS(1109,31))</f>
        <v>0</v>
      </c>
      <c r="AF1110">
        <f>INDIRECT(ADDRESS(1110,31))+INDIRECT(ADDRESS(1108,32))-INDIRECT(ADDRESS(1109,32))</f>
        <v>0</v>
      </c>
      <c r="AG1110">
        <f>INDIRECT(ADDRESS(1110,32))+INDIRECT(ADDRESS(1108,33))-INDIRECT(ADDRESS(1109,33))</f>
        <v>0</v>
      </c>
      <c r="AH1110">
        <f>INDIRECT(ADDRESS(1110,33))+INDIRECT(ADDRESS(1108,34))-INDIRECT(ADDRESS(1109,34))</f>
        <v>0</v>
      </c>
      <c r="AI1110">
        <f>INDIRECT(ADDRESS(1110,34))+INDIRECT(ADDRESS(1108,35))-INDIRECT(ADDRESS(1109,35))</f>
        <v>0</v>
      </c>
      <c r="AJ1110">
        <f>INDIRECT(ADDRESS(1110,35))+INDIRECT(ADDRESS(1108,36))-INDIRECT(ADDRESS(1109,36))</f>
        <v>0</v>
      </c>
      <c r="AK1110">
        <f>INDIRECT(ADDRESS(1110,36))+INDIRECT(ADDRESS(1108,37))-INDIRECT(ADDRESS(1109,37))</f>
        <v>0</v>
      </c>
      <c r="AL1110">
        <f>INDIRECT(ADDRESS(1110,37))+INDIRECT(ADDRESS(1108,38))-INDIRECT(ADDRESS(1109,38))</f>
        <v>0</v>
      </c>
      <c r="AM1110">
        <f>INDIRECT(ADDRESS(1110,38))+INDIRECT(ADDRESS(1108,39))-INDIRECT(ADDRESS(1109,39))</f>
        <v>0</v>
      </c>
      <c r="AN1110">
        <f>INDIRECT(ADDRESS(1110,39))+INDIRECT(ADDRESS(1108,40))-INDIRECT(ADDRESS(1109,40))</f>
        <v>0</v>
      </c>
      <c r="AO1110">
        <f>SUM(INDIRECT(ADDRESS(1109,8)):INDIRECT(ADDRESS(1109,39)))</f>
        <v>0</v>
      </c>
    </row>
    <row r="1111" spans="1:41">
      <c r="A1111" t="s">
        <v>180</v>
      </c>
      <c r="B1111" t="s">
        <v>542</v>
      </c>
      <c r="C1111" t="s">
        <v>543</v>
      </c>
      <c r="E1111">
        <v>1</v>
      </c>
      <c r="I1111" t="s">
        <v>177</v>
      </c>
    </row>
    <row r="1112" spans="1:41">
      <c r="I1112" t="s">
        <v>178</v>
      </c>
      <c r="J1112">
        <f>IFERROR(VLOOKUP("922-096517-500",B:AB,1+8,0),0)</f>
        <v>0</v>
      </c>
      <c r="K1112">
        <f>IFERROR(VLOOKUP("922-096517-500",B:AB,2+8,0),0)</f>
        <v>0</v>
      </c>
      <c r="L1112">
        <f>IFERROR(VLOOKUP("922-096517-500",B:AB,3+8,0),0)</f>
        <v>0</v>
      </c>
      <c r="M1112">
        <f>IFERROR(VLOOKUP("922-096517-500",B:AB,4+8,0),0)</f>
        <v>0</v>
      </c>
      <c r="N1112">
        <f>IFERROR(VLOOKUP("922-096517-500",B:AB,5+8,0),0)</f>
        <v>0</v>
      </c>
      <c r="O1112">
        <f>IFERROR(VLOOKUP("922-096517-500",B:AB,6+8,0),0)</f>
        <v>0</v>
      </c>
      <c r="P1112">
        <f>IFERROR(VLOOKUP("922-096517-500",B:AB,7+8,0),0)</f>
        <v>0</v>
      </c>
      <c r="Q1112">
        <f>IFERROR(VLOOKUP("922-096517-500",B:AB,8+8,0),0)</f>
        <v>0</v>
      </c>
      <c r="R1112">
        <f>IFERROR(VLOOKUP("922-096517-500",B:AB,9+8,0),0)</f>
        <v>0</v>
      </c>
      <c r="S1112">
        <f>IFERROR(VLOOKUP("922-096517-500",B:AB,10+8,0),0)</f>
        <v>0</v>
      </c>
      <c r="T1112">
        <f>IFERROR(VLOOKUP("922-096517-500",B:AB,11+8,0),0)</f>
        <v>0</v>
      </c>
      <c r="U1112">
        <f>IFERROR(VLOOKUP("922-096517-500",B:AB,12+8,0),0)</f>
        <v>0</v>
      </c>
      <c r="V1112">
        <f>IFERROR(VLOOKUP("922-096517-500",B:AB,13+8,0),0)</f>
        <v>0</v>
      </c>
      <c r="W1112">
        <f>IFERROR(VLOOKUP("922-096517-500",B:AB,14+8,0),0)</f>
        <v>0</v>
      </c>
      <c r="X1112">
        <f>IFERROR(VLOOKUP("922-096517-500",B:AB,15+8,0),0)</f>
        <v>0</v>
      </c>
      <c r="Y1112">
        <f>IFERROR(VLOOKUP("922-096517-500",B:AB,16+8,0),0)</f>
        <v>0</v>
      </c>
      <c r="Z1112">
        <f>IFERROR(VLOOKUP("922-096517-500",B:AB,17+8,0),0)</f>
        <v>0</v>
      </c>
      <c r="AA1112">
        <f>IFERROR(VLOOKUP("922-096517-500",B:AB,18+8,0),0)</f>
        <v>0</v>
      </c>
      <c r="AB1112">
        <f>IFERROR(VLOOKUP("922-096517-500",B:AB,19+8,0),0)</f>
        <v>0</v>
      </c>
      <c r="AC1112">
        <f>IFERROR(VLOOKUP("922-096517-500",B:AB,20+8,0),0)</f>
        <v>0</v>
      </c>
      <c r="AD1112">
        <f>IFERROR(VLOOKUP("922-096517-500",B:AB,21+8,0),0)</f>
        <v>0</v>
      </c>
      <c r="AE1112">
        <f>IFERROR(VLOOKUP("922-096517-500",B:AB,22+8,0),0)</f>
        <v>0</v>
      </c>
      <c r="AF1112">
        <f>IFERROR(VLOOKUP("922-096517-500",B:AB,23+8,0),0)</f>
        <v>0</v>
      </c>
      <c r="AG1112">
        <f>IFERROR(VLOOKUP("922-096517-500",B:AB,24+8,0),0)</f>
        <v>0</v>
      </c>
      <c r="AH1112">
        <f>IFERROR(VLOOKUP("922-096517-500",B:AB,25+8,0),0)</f>
        <v>0</v>
      </c>
      <c r="AI1112">
        <f>IFERROR(VLOOKUP("922-096517-500",B:AB,26+8,0),0)</f>
        <v>0</v>
      </c>
      <c r="AJ1112">
        <f>IFERROR(VLOOKUP("922-096517-500",B:AB,27+8,0),0)</f>
        <v>0</v>
      </c>
      <c r="AK1112">
        <f>IFERROR(VLOOKUP("922-096517-500",B:AB,28+8,0),0)</f>
        <v>0</v>
      </c>
      <c r="AL1112">
        <f>IFERROR(VLOOKUP("922-096517-500",B:AB,29+8,0),0)</f>
        <v>0</v>
      </c>
      <c r="AM1112">
        <f>IFERROR(VLOOKUP("922-096517-500",B:AB,30+8,0),0)</f>
        <v>0</v>
      </c>
      <c r="AN1112">
        <f>IFERROR(VLOOKUP("922-096517-500",B:AB,31+8,0),0)</f>
        <v>0</v>
      </c>
      <c r="AO1112">
        <f>SUN(INDIRECT(ADDRESS(1111,8)):INDIRECT(ADDRESS(1111,39)))</f>
        <v>0</v>
      </c>
    </row>
    <row r="1113" spans="1:41">
      <c r="H1113" t="s">
        <v>179</v>
      </c>
      <c r="J1113">
        <f>INDIRECT(ADDRESS(1113,9))+INDIRECT(ADDRESS(1111,10))-INDIRECT(ADDRESS(1112,10))</f>
        <v>0</v>
      </c>
      <c r="K1113">
        <f>INDIRECT(ADDRESS(1113,10))+INDIRECT(ADDRESS(1111,11))-INDIRECT(ADDRESS(1112,11))</f>
        <v>0</v>
      </c>
      <c r="L1113">
        <f>INDIRECT(ADDRESS(1113,11))+INDIRECT(ADDRESS(1111,12))-INDIRECT(ADDRESS(1112,12))</f>
        <v>0</v>
      </c>
      <c r="M1113">
        <f>INDIRECT(ADDRESS(1113,12))+INDIRECT(ADDRESS(1111,13))-INDIRECT(ADDRESS(1112,13))</f>
        <v>0</v>
      </c>
      <c r="N1113">
        <f>INDIRECT(ADDRESS(1113,13))+INDIRECT(ADDRESS(1111,14))-INDIRECT(ADDRESS(1112,14))</f>
        <v>0</v>
      </c>
      <c r="O1113">
        <f>INDIRECT(ADDRESS(1113,14))+INDIRECT(ADDRESS(1111,15))-INDIRECT(ADDRESS(1112,15))</f>
        <v>0</v>
      </c>
      <c r="P1113">
        <f>INDIRECT(ADDRESS(1113,15))+INDIRECT(ADDRESS(1111,16))-INDIRECT(ADDRESS(1112,16))</f>
        <v>0</v>
      </c>
      <c r="Q1113">
        <f>INDIRECT(ADDRESS(1113,16))+INDIRECT(ADDRESS(1111,17))-INDIRECT(ADDRESS(1112,17))</f>
        <v>0</v>
      </c>
      <c r="R1113">
        <f>INDIRECT(ADDRESS(1113,17))+INDIRECT(ADDRESS(1111,18))-INDIRECT(ADDRESS(1112,18))</f>
        <v>0</v>
      </c>
      <c r="S1113">
        <f>INDIRECT(ADDRESS(1113,18))+INDIRECT(ADDRESS(1111,19))-INDIRECT(ADDRESS(1112,19))</f>
        <v>0</v>
      </c>
      <c r="T1113">
        <f>INDIRECT(ADDRESS(1113,19))+INDIRECT(ADDRESS(1111,20))-INDIRECT(ADDRESS(1112,20))</f>
        <v>0</v>
      </c>
      <c r="U1113">
        <f>INDIRECT(ADDRESS(1113,20))+INDIRECT(ADDRESS(1111,21))-INDIRECT(ADDRESS(1112,21))</f>
        <v>0</v>
      </c>
      <c r="V1113">
        <f>INDIRECT(ADDRESS(1113,21))+INDIRECT(ADDRESS(1111,22))-INDIRECT(ADDRESS(1112,22))</f>
        <v>0</v>
      </c>
      <c r="W1113">
        <f>INDIRECT(ADDRESS(1113,22))+INDIRECT(ADDRESS(1111,23))-INDIRECT(ADDRESS(1112,23))</f>
        <v>0</v>
      </c>
      <c r="X1113">
        <f>INDIRECT(ADDRESS(1113,23))+INDIRECT(ADDRESS(1111,24))-INDIRECT(ADDRESS(1112,24))</f>
        <v>0</v>
      </c>
      <c r="Y1113">
        <f>INDIRECT(ADDRESS(1113,24))+INDIRECT(ADDRESS(1111,25))-INDIRECT(ADDRESS(1112,25))</f>
        <v>0</v>
      </c>
      <c r="Z1113">
        <f>INDIRECT(ADDRESS(1113,25))+INDIRECT(ADDRESS(1111,26))-INDIRECT(ADDRESS(1112,26))</f>
        <v>0</v>
      </c>
      <c r="AA1113">
        <f>INDIRECT(ADDRESS(1113,26))+INDIRECT(ADDRESS(1111,27))-INDIRECT(ADDRESS(1112,27))</f>
        <v>0</v>
      </c>
      <c r="AB1113">
        <f>INDIRECT(ADDRESS(1113,27))+INDIRECT(ADDRESS(1111,28))-INDIRECT(ADDRESS(1112,28))</f>
        <v>0</v>
      </c>
      <c r="AC1113">
        <f>INDIRECT(ADDRESS(1113,28))+INDIRECT(ADDRESS(1111,29))-INDIRECT(ADDRESS(1112,29))</f>
        <v>0</v>
      </c>
      <c r="AD1113">
        <f>INDIRECT(ADDRESS(1113,29))+INDIRECT(ADDRESS(1111,30))-INDIRECT(ADDRESS(1112,30))</f>
        <v>0</v>
      </c>
      <c r="AE1113">
        <f>INDIRECT(ADDRESS(1113,30))+INDIRECT(ADDRESS(1111,31))-INDIRECT(ADDRESS(1112,31))</f>
        <v>0</v>
      </c>
      <c r="AF1113">
        <f>INDIRECT(ADDRESS(1113,31))+INDIRECT(ADDRESS(1111,32))-INDIRECT(ADDRESS(1112,32))</f>
        <v>0</v>
      </c>
      <c r="AG1113">
        <f>INDIRECT(ADDRESS(1113,32))+INDIRECT(ADDRESS(1111,33))-INDIRECT(ADDRESS(1112,33))</f>
        <v>0</v>
      </c>
      <c r="AH1113">
        <f>INDIRECT(ADDRESS(1113,33))+INDIRECT(ADDRESS(1111,34))-INDIRECT(ADDRESS(1112,34))</f>
        <v>0</v>
      </c>
      <c r="AI1113">
        <f>INDIRECT(ADDRESS(1113,34))+INDIRECT(ADDRESS(1111,35))-INDIRECT(ADDRESS(1112,35))</f>
        <v>0</v>
      </c>
      <c r="AJ1113">
        <f>INDIRECT(ADDRESS(1113,35))+INDIRECT(ADDRESS(1111,36))-INDIRECT(ADDRESS(1112,36))</f>
        <v>0</v>
      </c>
      <c r="AK1113">
        <f>INDIRECT(ADDRESS(1113,36))+INDIRECT(ADDRESS(1111,37))-INDIRECT(ADDRESS(1112,37))</f>
        <v>0</v>
      </c>
      <c r="AL1113">
        <f>INDIRECT(ADDRESS(1113,37))+INDIRECT(ADDRESS(1111,38))-INDIRECT(ADDRESS(1112,38))</f>
        <v>0</v>
      </c>
      <c r="AM1113">
        <f>INDIRECT(ADDRESS(1113,38))+INDIRECT(ADDRESS(1111,39))-INDIRECT(ADDRESS(1112,39))</f>
        <v>0</v>
      </c>
      <c r="AN1113">
        <f>INDIRECT(ADDRESS(1113,39))+INDIRECT(ADDRESS(1111,40))-INDIRECT(ADDRESS(1112,40))</f>
        <v>0</v>
      </c>
      <c r="AO1113">
        <f>SUM(INDIRECT(ADDRESS(1112,8)):INDIRECT(ADDRESS(1112,39)))</f>
        <v>0</v>
      </c>
    </row>
    <row r="1114" spans="1:41">
      <c r="A1114" t="s">
        <v>185</v>
      </c>
      <c r="B1114" t="s">
        <v>564</v>
      </c>
      <c r="C1114" t="s">
        <v>535</v>
      </c>
      <c r="E1114">
        <v>1</v>
      </c>
      <c r="I1114" t="s">
        <v>177</v>
      </c>
    </row>
    <row r="1115" spans="1:41">
      <c r="I1115" t="s">
        <v>178</v>
      </c>
      <c r="J1115">
        <f>IFERROR(VLOOKUP("922-096517-500",B:AB,1+8,0),0)</f>
        <v>0</v>
      </c>
      <c r="K1115">
        <f>IFERROR(VLOOKUP("922-096517-500",B:AB,2+8,0),0)</f>
        <v>0</v>
      </c>
      <c r="L1115">
        <f>IFERROR(VLOOKUP("922-096517-500",B:AB,3+8,0),0)</f>
        <v>0</v>
      </c>
      <c r="M1115">
        <f>IFERROR(VLOOKUP("922-096517-500",B:AB,4+8,0),0)</f>
        <v>0</v>
      </c>
      <c r="N1115">
        <f>IFERROR(VLOOKUP("922-096517-500",B:AB,5+8,0),0)</f>
        <v>0</v>
      </c>
      <c r="O1115">
        <f>IFERROR(VLOOKUP("922-096517-500",B:AB,6+8,0),0)</f>
        <v>0</v>
      </c>
      <c r="P1115">
        <f>IFERROR(VLOOKUP("922-096517-500",B:AB,7+8,0),0)</f>
        <v>0</v>
      </c>
      <c r="Q1115">
        <f>IFERROR(VLOOKUP("922-096517-500",B:AB,8+8,0),0)</f>
        <v>0</v>
      </c>
      <c r="R1115">
        <f>IFERROR(VLOOKUP("922-096517-500",B:AB,9+8,0),0)</f>
        <v>0</v>
      </c>
      <c r="S1115">
        <f>IFERROR(VLOOKUP("922-096517-500",B:AB,10+8,0),0)</f>
        <v>0</v>
      </c>
      <c r="T1115">
        <f>IFERROR(VLOOKUP("922-096517-500",B:AB,11+8,0),0)</f>
        <v>0</v>
      </c>
      <c r="U1115">
        <f>IFERROR(VLOOKUP("922-096517-500",B:AB,12+8,0),0)</f>
        <v>0</v>
      </c>
      <c r="V1115">
        <f>IFERROR(VLOOKUP("922-096517-500",B:AB,13+8,0),0)</f>
        <v>0</v>
      </c>
      <c r="W1115">
        <f>IFERROR(VLOOKUP("922-096517-500",B:AB,14+8,0),0)</f>
        <v>0</v>
      </c>
      <c r="X1115">
        <f>IFERROR(VLOOKUP("922-096517-500",B:AB,15+8,0),0)</f>
        <v>0</v>
      </c>
      <c r="Y1115">
        <f>IFERROR(VLOOKUP("922-096517-500",B:AB,16+8,0),0)</f>
        <v>0</v>
      </c>
      <c r="Z1115">
        <f>IFERROR(VLOOKUP("922-096517-500",B:AB,17+8,0),0)</f>
        <v>0</v>
      </c>
      <c r="AA1115">
        <f>IFERROR(VLOOKUP("922-096517-500",B:AB,18+8,0),0)</f>
        <v>0</v>
      </c>
      <c r="AB1115">
        <f>IFERROR(VLOOKUP("922-096517-500",B:AB,19+8,0),0)</f>
        <v>0</v>
      </c>
      <c r="AC1115">
        <f>IFERROR(VLOOKUP("922-096517-500",B:AB,20+8,0),0)</f>
        <v>0</v>
      </c>
      <c r="AD1115">
        <f>IFERROR(VLOOKUP("922-096517-500",B:AB,21+8,0),0)</f>
        <v>0</v>
      </c>
      <c r="AE1115">
        <f>IFERROR(VLOOKUP("922-096517-500",B:AB,22+8,0),0)</f>
        <v>0</v>
      </c>
      <c r="AF1115">
        <f>IFERROR(VLOOKUP("922-096517-500",B:AB,23+8,0),0)</f>
        <v>0</v>
      </c>
      <c r="AG1115">
        <f>IFERROR(VLOOKUP("922-096517-500",B:AB,24+8,0),0)</f>
        <v>0</v>
      </c>
      <c r="AH1115">
        <f>IFERROR(VLOOKUP("922-096517-500",B:AB,25+8,0),0)</f>
        <v>0</v>
      </c>
      <c r="AI1115">
        <f>IFERROR(VLOOKUP("922-096517-500",B:AB,26+8,0),0)</f>
        <v>0</v>
      </c>
      <c r="AJ1115">
        <f>IFERROR(VLOOKUP("922-096517-500",B:AB,27+8,0),0)</f>
        <v>0</v>
      </c>
      <c r="AK1115">
        <f>IFERROR(VLOOKUP("922-096517-500",B:AB,28+8,0),0)</f>
        <v>0</v>
      </c>
      <c r="AL1115">
        <f>IFERROR(VLOOKUP("922-096517-500",B:AB,29+8,0),0)</f>
        <v>0</v>
      </c>
      <c r="AM1115">
        <f>IFERROR(VLOOKUP("922-096517-500",B:AB,30+8,0),0)</f>
        <v>0</v>
      </c>
      <c r="AN1115">
        <f>IFERROR(VLOOKUP("922-096517-500",B:AB,31+8,0),0)</f>
        <v>0</v>
      </c>
      <c r="AO1115">
        <f>SUN(INDIRECT(ADDRESS(1114,8)):INDIRECT(ADDRESS(1114,39)))</f>
        <v>0</v>
      </c>
    </row>
    <row r="1116" spans="1:41">
      <c r="H1116" t="s">
        <v>179</v>
      </c>
      <c r="J1116">
        <f>INDIRECT(ADDRESS(1116,9))+INDIRECT(ADDRESS(1114,10))-INDIRECT(ADDRESS(1115,10))</f>
        <v>0</v>
      </c>
      <c r="K1116">
        <f>INDIRECT(ADDRESS(1116,10))+INDIRECT(ADDRESS(1114,11))-INDIRECT(ADDRESS(1115,11))</f>
        <v>0</v>
      </c>
      <c r="L1116">
        <f>INDIRECT(ADDRESS(1116,11))+INDIRECT(ADDRESS(1114,12))-INDIRECT(ADDRESS(1115,12))</f>
        <v>0</v>
      </c>
      <c r="M1116">
        <f>INDIRECT(ADDRESS(1116,12))+INDIRECT(ADDRESS(1114,13))-INDIRECT(ADDRESS(1115,13))</f>
        <v>0</v>
      </c>
      <c r="N1116">
        <f>INDIRECT(ADDRESS(1116,13))+INDIRECT(ADDRESS(1114,14))-INDIRECT(ADDRESS(1115,14))</f>
        <v>0</v>
      </c>
      <c r="O1116">
        <f>INDIRECT(ADDRESS(1116,14))+INDIRECT(ADDRESS(1114,15))-INDIRECT(ADDRESS(1115,15))</f>
        <v>0</v>
      </c>
      <c r="P1116">
        <f>INDIRECT(ADDRESS(1116,15))+INDIRECT(ADDRESS(1114,16))-INDIRECT(ADDRESS(1115,16))</f>
        <v>0</v>
      </c>
      <c r="Q1116">
        <f>INDIRECT(ADDRESS(1116,16))+INDIRECT(ADDRESS(1114,17))-INDIRECT(ADDRESS(1115,17))</f>
        <v>0</v>
      </c>
      <c r="R1116">
        <f>INDIRECT(ADDRESS(1116,17))+INDIRECT(ADDRESS(1114,18))-INDIRECT(ADDRESS(1115,18))</f>
        <v>0</v>
      </c>
      <c r="S1116">
        <f>INDIRECT(ADDRESS(1116,18))+INDIRECT(ADDRESS(1114,19))-INDIRECT(ADDRESS(1115,19))</f>
        <v>0</v>
      </c>
      <c r="T1116">
        <f>INDIRECT(ADDRESS(1116,19))+INDIRECT(ADDRESS(1114,20))-INDIRECT(ADDRESS(1115,20))</f>
        <v>0</v>
      </c>
      <c r="U1116">
        <f>INDIRECT(ADDRESS(1116,20))+INDIRECT(ADDRESS(1114,21))-INDIRECT(ADDRESS(1115,21))</f>
        <v>0</v>
      </c>
      <c r="V1116">
        <f>INDIRECT(ADDRESS(1116,21))+INDIRECT(ADDRESS(1114,22))-INDIRECT(ADDRESS(1115,22))</f>
        <v>0</v>
      </c>
      <c r="W1116">
        <f>INDIRECT(ADDRESS(1116,22))+INDIRECT(ADDRESS(1114,23))-INDIRECT(ADDRESS(1115,23))</f>
        <v>0</v>
      </c>
      <c r="X1116">
        <f>INDIRECT(ADDRESS(1116,23))+INDIRECT(ADDRESS(1114,24))-INDIRECT(ADDRESS(1115,24))</f>
        <v>0</v>
      </c>
      <c r="Y1116">
        <f>INDIRECT(ADDRESS(1116,24))+INDIRECT(ADDRESS(1114,25))-INDIRECT(ADDRESS(1115,25))</f>
        <v>0</v>
      </c>
      <c r="Z1116">
        <f>INDIRECT(ADDRESS(1116,25))+INDIRECT(ADDRESS(1114,26))-INDIRECT(ADDRESS(1115,26))</f>
        <v>0</v>
      </c>
      <c r="AA1116">
        <f>INDIRECT(ADDRESS(1116,26))+INDIRECT(ADDRESS(1114,27))-INDIRECT(ADDRESS(1115,27))</f>
        <v>0</v>
      </c>
      <c r="AB1116">
        <f>INDIRECT(ADDRESS(1116,27))+INDIRECT(ADDRESS(1114,28))-INDIRECT(ADDRESS(1115,28))</f>
        <v>0</v>
      </c>
      <c r="AC1116">
        <f>INDIRECT(ADDRESS(1116,28))+INDIRECT(ADDRESS(1114,29))-INDIRECT(ADDRESS(1115,29))</f>
        <v>0</v>
      </c>
      <c r="AD1116">
        <f>INDIRECT(ADDRESS(1116,29))+INDIRECT(ADDRESS(1114,30))-INDIRECT(ADDRESS(1115,30))</f>
        <v>0</v>
      </c>
      <c r="AE1116">
        <f>INDIRECT(ADDRESS(1116,30))+INDIRECT(ADDRESS(1114,31))-INDIRECT(ADDRESS(1115,31))</f>
        <v>0</v>
      </c>
      <c r="AF1116">
        <f>INDIRECT(ADDRESS(1116,31))+INDIRECT(ADDRESS(1114,32))-INDIRECT(ADDRESS(1115,32))</f>
        <v>0</v>
      </c>
      <c r="AG1116">
        <f>INDIRECT(ADDRESS(1116,32))+INDIRECT(ADDRESS(1114,33))-INDIRECT(ADDRESS(1115,33))</f>
        <v>0</v>
      </c>
      <c r="AH1116">
        <f>INDIRECT(ADDRESS(1116,33))+INDIRECT(ADDRESS(1114,34))-INDIRECT(ADDRESS(1115,34))</f>
        <v>0</v>
      </c>
      <c r="AI1116">
        <f>INDIRECT(ADDRESS(1116,34))+INDIRECT(ADDRESS(1114,35))-INDIRECT(ADDRESS(1115,35))</f>
        <v>0</v>
      </c>
      <c r="AJ1116">
        <f>INDIRECT(ADDRESS(1116,35))+INDIRECT(ADDRESS(1114,36))-INDIRECT(ADDRESS(1115,36))</f>
        <v>0</v>
      </c>
      <c r="AK1116">
        <f>INDIRECT(ADDRESS(1116,36))+INDIRECT(ADDRESS(1114,37))-INDIRECT(ADDRESS(1115,37))</f>
        <v>0</v>
      </c>
      <c r="AL1116">
        <f>INDIRECT(ADDRESS(1116,37))+INDIRECT(ADDRESS(1114,38))-INDIRECT(ADDRESS(1115,38))</f>
        <v>0</v>
      </c>
      <c r="AM1116">
        <f>INDIRECT(ADDRESS(1116,38))+INDIRECT(ADDRESS(1114,39))-INDIRECT(ADDRESS(1115,39))</f>
        <v>0</v>
      </c>
      <c r="AN1116">
        <f>INDIRECT(ADDRESS(1116,39))+INDIRECT(ADDRESS(1114,40))-INDIRECT(ADDRESS(1115,40))</f>
        <v>0</v>
      </c>
      <c r="AO1116">
        <f>SUM(INDIRECT(ADDRESS(1115,8)):INDIRECT(ADDRESS(1115,39)))</f>
        <v>0</v>
      </c>
    </row>
    <row r="1117" spans="1:41">
      <c r="A1117" t="s">
        <v>206</v>
      </c>
      <c r="B1117" t="s">
        <v>565</v>
      </c>
      <c r="C1117" t="s">
        <v>566</v>
      </c>
      <c r="E1117">
        <v>0.05</v>
      </c>
      <c r="I1117" t="s">
        <v>177</v>
      </c>
    </row>
    <row r="1118" spans="1:41">
      <c r="I1118" t="s">
        <v>178</v>
      </c>
      <c r="J1118">
        <f>IFERROR(VLOOKUP("922-096517-500",B:AB,1+8,0),0)</f>
        <v>0</v>
      </c>
      <c r="K1118">
        <f>IFERROR(VLOOKUP("922-096517-500",B:AB,2+8,0),0)</f>
        <v>0</v>
      </c>
      <c r="L1118">
        <f>IFERROR(VLOOKUP("922-096517-500",B:AB,3+8,0),0)</f>
        <v>0</v>
      </c>
      <c r="M1118">
        <f>IFERROR(VLOOKUP("922-096517-500",B:AB,4+8,0),0)</f>
        <v>0</v>
      </c>
      <c r="N1118">
        <f>IFERROR(VLOOKUP("922-096517-500",B:AB,5+8,0),0)</f>
        <v>0</v>
      </c>
      <c r="O1118">
        <f>IFERROR(VLOOKUP("922-096517-500",B:AB,6+8,0),0)</f>
        <v>0</v>
      </c>
      <c r="P1118">
        <f>IFERROR(VLOOKUP("922-096517-500",B:AB,7+8,0),0)</f>
        <v>0</v>
      </c>
      <c r="Q1118">
        <f>IFERROR(VLOOKUP("922-096517-500",B:AB,8+8,0),0)</f>
        <v>0</v>
      </c>
      <c r="R1118">
        <f>IFERROR(VLOOKUP("922-096517-500",B:AB,9+8,0),0)</f>
        <v>0</v>
      </c>
      <c r="S1118">
        <f>IFERROR(VLOOKUP("922-096517-500",B:AB,10+8,0),0)</f>
        <v>0</v>
      </c>
      <c r="T1118">
        <f>IFERROR(VLOOKUP("922-096517-500",B:AB,11+8,0),0)</f>
        <v>0</v>
      </c>
      <c r="U1118">
        <f>IFERROR(VLOOKUP("922-096517-500",B:AB,12+8,0),0)</f>
        <v>0</v>
      </c>
      <c r="V1118">
        <f>IFERROR(VLOOKUP("922-096517-500",B:AB,13+8,0),0)</f>
        <v>0</v>
      </c>
      <c r="W1118">
        <f>IFERROR(VLOOKUP("922-096517-500",B:AB,14+8,0),0)</f>
        <v>0</v>
      </c>
      <c r="X1118">
        <f>IFERROR(VLOOKUP("922-096517-500",B:AB,15+8,0),0)</f>
        <v>0</v>
      </c>
      <c r="Y1118">
        <f>IFERROR(VLOOKUP("922-096517-500",B:AB,16+8,0),0)</f>
        <v>0</v>
      </c>
      <c r="Z1118">
        <f>IFERROR(VLOOKUP("922-096517-500",B:AB,17+8,0),0)</f>
        <v>0</v>
      </c>
      <c r="AA1118">
        <f>IFERROR(VLOOKUP("922-096517-500",B:AB,18+8,0),0)</f>
        <v>0</v>
      </c>
      <c r="AB1118">
        <f>IFERROR(VLOOKUP("922-096517-500",B:AB,19+8,0),0)</f>
        <v>0</v>
      </c>
      <c r="AC1118">
        <f>IFERROR(VLOOKUP("922-096517-500",B:AB,20+8,0),0)</f>
        <v>0</v>
      </c>
      <c r="AD1118">
        <f>IFERROR(VLOOKUP("922-096517-500",B:AB,21+8,0),0)</f>
        <v>0</v>
      </c>
      <c r="AE1118">
        <f>IFERROR(VLOOKUP("922-096517-500",B:AB,22+8,0),0)</f>
        <v>0</v>
      </c>
      <c r="AF1118">
        <f>IFERROR(VLOOKUP("922-096517-500",B:AB,23+8,0),0)</f>
        <v>0</v>
      </c>
      <c r="AG1118">
        <f>IFERROR(VLOOKUP("922-096517-500",B:AB,24+8,0),0)</f>
        <v>0</v>
      </c>
      <c r="AH1118">
        <f>IFERROR(VLOOKUP("922-096517-500",B:AB,25+8,0),0)</f>
        <v>0</v>
      </c>
      <c r="AI1118">
        <f>IFERROR(VLOOKUP("922-096517-500",B:AB,26+8,0),0)</f>
        <v>0</v>
      </c>
      <c r="AJ1118">
        <f>IFERROR(VLOOKUP("922-096517-500",B:AB,27+8,0),0)</f>
        <v>0</v>
      </c>
      <c r="AK1118">
        <f>IFERROR(VLOOKUP("922-096517-500",B:AB,28+8,0),0)</f>
        <v>0</v>
      </c>
      <c r="AL1118">
        <f>IFERROR(VLOOKUP("922-096517-500",B:AB,29+8,0),0)</f>
        <v>0</v>
      </c>
      <c r="AM1118">
        <f>IFERROR(VLOOKUP("922-096517-500",B:AB,30+8,0),0)</f>
        <v>0</v>
      </c>
      <c r="AN1118">
        <f>IFERROR(VLOOKUP("922-096517-500",B:AB,31+8,0),0)</f>
        <v>0</v>
      </c>
      <c r="AO1118">
        <f>SUN(INDIRECT(ADDRESS(1117,8)):INDIRECT(ADDRESS(1117,39)))</f>
        <v>0</v>
      </c>
    </row>
    <row r="1119" spans="1:41">
      <c r="H1119" t="s">
        <v>179</v>
      </c>
      <c r="J1119">
        <f>INDIRECT(ADDRESS(1119,9))+INDIRECT(ADDRESS(1117,10))-INDIRECT(ADDRESS(1118,10))</f>
        <v>0</v>
      </c>
      <c r="K1119">
        <f>INDIRECT(ADDRESS(1119,10))+INDIRECT(ADDRESS(1117,11))-INDIRECT(ADDRESS(1118,11))</f>
        <v>0</v>
      </c>
      <c r="L1119">
        <f>INDIRECT(ADDRESS(1119,11))+INDIRECT(ADDRESS(1117,12))-INDIRECT(ADDRESS(1118,12))</f>
        <v>0</v>
      </c>
      <c r="M1119">
        <f>INDIRECT(ADDRESS(1119,12))+INDIRECT(ADDRESS(1117,13))-INDIRECT(ADDRESS(1118,13))</f>
        <v>0</v>
      </c>
      <c r="N1119">
        <f>INDIRECT(ADDRESS(1119,13))+INDIRECT(ADDRESS(1117,14))-INDIRECT(ADDRESS(1118,14))</f>
        <v>0</v>
      </c>
      <c r="O1119">
        <f>INDIRECT(ADDRESS(1119,14))+INDIRECT(ADDRESS(1117,15))-INDIRECT(ADDRESS(1118,15))</f>
        <v>0</v>
      </c>
      <c r="P1119">
        <f>INDIRECT(ADDRESS(1119,15))+INDIRECT(ADDRESS(1117,16))-INDIRECT(ADDRESS(1118,16))</f>
        <v>0</v>
      </c>
      <c r="Q1119">
        <f>INDIRECT(ADDRESS(1119,16))+INDIRECT(ADDRESS(1117,17))-INDIRECT(ADDRESS(1118,17))</f>
        <v>0</v>
      </c>
      <c r="R1119">
        <f>INDIRECT(ADDRESS(1119,17))+INDIRECT(ADDRESS(1117,18))-INDIRECT(ADDRESS(1118,18))</f>
        <v>0</v>
      </c>
      <c r="S1119">
        <f>INDIRECT(ADDRESS(1119,18))+INDIRECT(ADDRESS(1117,19))-INDIRECT(ADDRESS(1118,19))</f>
        <v>0</v>
      </c>
      <c r="T1119">
        <f>INDIRECT(ADDRESS(1119,19))+INDIRECT(ADDRESS(1117,20))-INDIRECT(ADDRESS(1118,20))</f>
        <v>0</v>
      </c>
      <c r="U1119">
        <f>INDIRECT(ADDRESS(1119,20))+INDIRECT(ADDRESS(1117,21))-INDIRECT(ADDRESS(1118,21))</f>
        <v>0</v>
      </c>
      <c r="V1119">
        <f>INDIRECT(ADDRESS(1119,21))+INDIRECT(ADDRESS(1117,22))-INDIRECT(ADDRESS(1118,22))</f>
        <v>0</v>
      </c>
      <c r="W1119">
        <f>INDIRECT(ADDRESS(1119,22))+INDIRECT(ADDRESS(1117,23))-INDIRECT(ADDRESS(1118,23))</f>
        <v>0</v>
      </c>
      <c r="X1119">
        <f>INDIRECT(ADDRESS(1119,23))+INDIRECT(ADDRESS(1117,24))-INDIRECT(ADDRESS(1118,24))</f>
        <v>0</v>
      </c>
      <c r="Y1119">
        <f>INDIRECT(ADDRESS(1119,24))+INDIRECT(ADDRESS(1117,25))-INDIRECT(ADDRESS(1118,25))</f>
        <v>0</v>
      </c>
      <c r="Z1119">
        <f>INDIRECT(ADDRESS(1119,25))+INDIRECT(ADDRESS(1117,26))-INDIRECT(ADDRESS(1118,26))</f>
        <v>0</v>
      </c>
      <c r="AA1119">
        <f>INDIRECT(ADDRESS(1119,26))+INDIRECT(ADDRESS(1117,27))-INDIRECT(ADDRESS(1118,27))</f>
        <v>0</v>
      </c>
      <c r="AB1119">
        <f>INDIRECT(ADDRESS(1119,27))+INDIRECT(ADDRESS(1117,28))-INDIRECT(ADDRESS(1118,28))</f>
        <v>0</v>
      </c>
      <c r="AC1119">
        <f>INDIRECT(ADDRESS(1119,28))+INDIRECT(ADDRESS(1117,29))-INDIRECT(ADDRESS(1118,29))</f>
        <v>0</v>
      </c>
      <c r="AD1119">
        <f>INDIRECT(ADDRESS(1119,29))+INDIRECT(ADDRESS(1117,30))-INDIRECT(ADDRESS(1118,30))</f>
        <v>0</v>
      </c>
      <c r="AE1119">
        <f>INDIRECT(ADDRESS(1119,30))+INDIRECT(ADDRESS(1117,31))-INDIRECT(ADDRESS(1118,31))</f>
        <v>0</v>
      </c>
      <c r="AF1119">
        <f>INDIRECT(ADDRESS(1119,31))+INDIRECT(ADDRESS(1117,32))-INDIRECT(ADDRESS(1118,32))</f>
        <v>0</v>
      </c>
      <c r="AG1119">
        <f>INDIRECT(ADDRESS(1119,32))+INDIRECT(ADDRESS(1117,33))-INDIRECT(ADDRESS(1118,33))</f>
        <v>0</v>
      </c>
      <c r="AH1119">
        <f>INDIRECT(ADDRESS(1119,33))+INDIRECT(ADDRESS(1117,34))-INDIRECT(ADDRESS(1118,34))</f>
        <v>0</v>
      </c>
      <c r="AI1119">
        <f>INDIRECT(ADDRESS(1119,34))+INDIRECT(ADDRESS(1117,35))-INDIRECT(ADDRESS(1118,35))</f>
        <v>0</v>
      </c>
      <c r="AJ1119">
        <f>INDIRECT(ADDRESS(1119,35))+INDIRECT(ADDRESS(1117,36))-INDIRECT(ADDRESS(1118,36))</f>
        <v>0</v>
      </c>
      <c r="AK1119">
        <f>INDIRECT(ADDRESS(1119,36))+INDIRECT(ADDRESS(1117,37))-INDIRECT(ADDRESS(1118,37))</f>
        <v>0</v>
      </c>
      <c r="AL1119">
        <f>INDIRECT(ADDRESS(1119,37))+INDIRECT(ADDRESS(1117,38))-INDIRECT(ADDRESS(1118,38))</f>
        <v>0</v>
      </c>
      <c r="AM1119">
        <f>INDIRECT(ADDRESS(1119,38))+INDIRECT(ADDRESS(1117,39))-INDIRECT(ADDRESS(1118,39))</f>
        <v>0</v>
      </c>
      <c r="AN1119">
        <f>INDIRECT(ADDRESS(1119,39))+INDIRECT(ADDRESS(1117,40))-INDIRECT(ADDRESS(1118,40))</f>
        <v>0</v>
      </c>
      <c r="AO1119">
        <f>SUM(INDIRECT(ADDRESS(1118,8)):INDIRECT(ADDRESS(1118,39)))</f>
        <v>0</v>
      </c>
    </row>
    <row r="1120" spans="1:41">
      <c r="A1120" t="s">
        <v>8</v>
      </c>
      <c r="B1120" t="s">
        <v>92</v>
      </c>
      <c r="C1120" t="s">
        <v>86</v>
      </c>
      <c r="E1120">
        <v>1</v>
      </c>
      <c r="I1120" t="s">
        <v>177</v>
      </c>
    </row>
    <row r="1121" spans="1:41">
      <c r="I1121" t="s">
        <v>178</v>
      </c>
      <c r="J1121">
        <f>IFERROR(VLOOKUP("922-096517-600",Out!B:AB,1+8,0),0)</f>
        <v>0</v>
      </c>
      <c r="K1121">
        <f>IFERROR(VLOOKUP("922-096517-600",Out!B:AB,2+8,0),0)</f>
        <v>0</v>
      </c>
      <c r="L1121">
        <f>IFERROR(VLOOKUP("922-096517-600",Out!B:AB,3+8,0),0)</f>
        <v>0</v>
      </c>
      <c r="M1121">
        <f>IFERROR(VLOOKUP("922-096517-600",Out!B:AB,4+8,0),0)</f>
        <v>0</v>
      </c>
      <c r="N1121">
        <f>IFERROR(VLOOKUP("922-096517-600",Out!B:AB,5+8,0),0)</f>
        <v>0</v>
      </c>
      <c r="O1121">
        <f>IFERROR(VLOOKUP("922-096517-600",Out!B:AB,6+8,0),0)</f>
        <v>0</v>
      </c>
      <c r="P1121">
        <f>IFERROR(VLOOKUP("922-096517-600",Out!B:AB,7+8,0),0)</f>
        <v>0</v>
      </c>
      <c r="Q1121">
        <f>IFERROR(VLOOKUP("922-096517-600",Out!B:AB,8+8,0),0)</f>
        <v>0</v>
      </c>
      <c r="R1121">
        <f>IFERROR(VLOOKUP("922-096517-600",Out!B:AB,9+8,0),0)</f>
        <v>0</v>
      </c>
      <c r="S1121">
        <f>IFERROR(VLOOKUP("922-096517-600",Out!B:AB,10+8,0),0)</f>
        <v>0</v>
      </c>
      <c r="T1121">
        <f>IFERROR(VLOOKUP("922-096517-600",Out!B:AB,11+8,0),0)</f>
        <v>0</v>
      </c>
      <c r="U1121">
        <f>IFERROR(VLOOKUP("922-096517-600",Out!B:AB,12+8,0),0)</f>
        <v>0</v>
      </c>
      <c r="V1121">
        <f>IFERROR(VLOOKUP("922-096517-600",Out!B:AB,13+8,0),0)</f>
        <v>0</v>
      </c>
      <c r="W1121">
        <f>IFERROR(VLOOKUP("922-096517-600",Out!B:AB,14+8,0),0)</f>
        <v>0</v>
      </c>
      <c r="X1121">
        <f>IFERROR(VLOOKUP("922-096517-600",Out!B:AB,15+8,0),0)</f>
        <v>0</v>
      </c>
      <c r="Y1121">
        <f>IFERROR(VLOOKUP("922-096517-600",Out!B:AB,16+8,0),0)</f>
        <v>0</v>
      </c>
      <c r="Z1121">
        <f>IFERROR(VLOOKUP("922-096517-600",Out!B:AB,17+8,0),0)</f>
        <v>0</v>
      </c>
      <c r="AA1121">
        <f>IFERROR(VLOOKUP("922-096517-600",Out!B:AB,18+8,0),0)</f>
        <v>0</v>
      </c>
      <c r="AB1121">
        <f>IFERROR(VLOOKUP("922-096517-600",Out!B:AB,19+8,0),0)</f>
        <v>0</v>
      </c>
      <c r="AC1121">
        <f>IFERROR(VLOOKUP("922-096517-600",Out!B:AB,20+8,0),0)</f>
        <v>0</v>
      </c>
      <c r="AD1121">
        <f>IFERROR(VLOOKUP("922-096517-600",Out!B:AB,21+8,0),0)</f>
        <v>0</v>
      </c>
      <c r="AE1121">
        <f>IFERROR(VLOOKUP("922-096517-600",Out!B:AB,22+8,0),0)</f>
        <v>0</v>
      </c>
      <c r="AF1121">
        <f>IFERROR(VLOOKUP("922-096517-600",Out!B:AB,23+8,0),0)</f>
        <v>0</v>
      </c>
      <c r="AG1121">
        <f>IFERROR(VLOOKUP("922-096517-600",Out!B:AB,24+8,0),0)</f>
        <v>0</v>
      </c>
      <c r="AH1121">
        <f>IFERROR(VLOOKUP("922-096517-600",Out!B:AB,25+8,0),0)</f>
        <v>0</v>
      </c>
      <c r="AI1121">
        <f>IFERROR(VLOOKUP("922-096517-600",Out!B:AB,26+8,0),0)</f>
        <v>0</v>
      </c>
      <c r="AJ1121">
        <f>IFERROR(VLOOKUP("922-096517-600",Out!B:AB,27+8,0),0)</f>
        <v>0</v>
      </c>
      <c r="AK1121">
        <f>IFERROR(VLOOKUP("922-096517-600",Out!B:AB,28+8,0),0)</f>
        <v>0</v>
      </c>
      <c r="AL1121">
        <f>IFERROR(VLOOKUP("922-096517-600",Out!B:AB,29+8,0),0)</f>
        <v>0</v>
      </c>
      <c r="AM1121">
        <f>IFERROR(VLOOKUP("922-096517-600",Out!B:AB,30+8,0),0)</f>
        <v>0</v>
      </c>
      <c r="AN1121">
        <f>IFERROR(VLOOKUP("922-096517-600",Out!B:AB,31+8,0),0)</f>
        <v>0</v>
      </c>
      <c r="AO1121">
        <f>SUN(INDIRECT(ADDRESS(1120,8)):INDIRECT(ADDRESS(1120,39)))</f>
        <v>0</v>
      </c>
    </row>
    <row r="1122" spans="1:41">
      <c r="H1122" t="s">
        <v>179</v>
      </c>
      <c r="J1122">
        <f>INDIRECT(ADDRESS(1122,9))+INDIRECT(ADDRESS(1120,10))-INDIRECT(ADDRESS(1121,10))</f>
        <v>0</v>
      </c>
      <c r="K1122">
        <f>INDIRECT(ADDRESS(1122,10))+INDIRECT(ADDRESS(1120,11))-INDIRECT(ADDRESS(1121,11))</f>
        <v>0</v>
      </c>
      <c r="L1122">
        <f>INDIRECT(ADDRESS(1122,11))+INDIRECT(ADDRESS(1120,12))-INDIRECT(ADDRESS(1121,12))</f>
        <v>0</v>
      </c>
      <c r="M1122">
        <f>INDIRECT(ADDRESS(1122,12))+INDIRECT(ADDRESS(1120,13))-INDIRECT(ADDRESS(1121,13))</f>
        <v>0</v>
      </c>
      <c r="N1122">
        <f>INDIRECT(ADDRESS(1122,13))+INDIRECT(ADDRESS(1120,14))-INDIRECT(ADDRESS(1121,14))</f>
        <v>0</v>
      </c>
      <c r="O1122">
        <f>INDIRECT(ADDRESS(1122,14))+INDIRECT(ADDRESS(1120,15))-INDIRECT(ADDRESS(1121,15))</f>
        <v>0</v>
      </c>
      <c r="P1122">
        <f>INDIRECT(ADDRESS(1122,15))+INDIRECT(ADDRESS(1120,16))-INDIRECT(ADDRESS(1121,16))</f>
        <v>0</v>
      </c>
      <c r="Q1122">
        <f>INDIRECT(ADDRESS(1122,16))+INDIRECT(ADDRESS(1120,17))-INDIRECT(ADDRESS(1121,17))</f>
        <v>0</v>
      </c>
      <c r="R1122">
        <f>INDIRECT(ADDRESS(1122,17))+INDIRECT(ADDRESS(1120,18))-INDIRECT(ADDRESS(1121,18))</f>
        <v>0</v>
      </c>
      <c r="S1122">
        <f>INDIRECT(ADDRESS(1122,18))+INDIRECT(ADDRESS(1120,19))-INDIRECT(ADDRESS(1121,19))</f>
        <v>0</v>
      </c>
      <c r="T1122">
        <f>INDIRECT(ADDRESS(1122,19))+INDIRECT(ADDRESS(1120,20))-INDIRECT(ADDRESS(1121,20))</f>
        <v>0</v>
      </c>
      <c r="U1122">
        <f>INDIRECT(ADDRESS(1122,20))+INDIRECT(ADDRESS(1120,21))-INDIRECT(ADDRESS(1121,21))</f>
        <v>0</v>
      </c>
      <c r="V1122">
        <f>INDIRECT(ADDRESS(1122,21))+INDIRECT(ADDRESS(1120,22))-INDIRECT(ADDRESS(1121,22))</f>
        <v>0</v>
      </c>
      <c r="W1122">
        <f>INDIRECT(ADDRESS(1122,22))+INDIRECT(ADDRESS(1120,23))-INDIRECT(ADDRESS(1121,23))</f>
        <v>0</v>
      </c>
      <c r="X1122">
        <f>INDIRECT(ADDRESS(1122,23))+INDIRECT(ADDRESS(1120,24))-INDIRECT(ADDRESS(1121,24))</f>
        <v>0</v>
      </c>
      <c r="Y1122">
        <f>INDIRECT(ADDRESS(1122,24))+INDIRECT(ADDRESS(1120,25))-INDIRECT(ADDRESS(1121,25))</f>
        <v>0</v>
      </c>
      <c r="Z1122">
        <f>INDIRECT(ADDRESS(1122,25))+INDIRECT(ADDRESS(1120,26))-INDIRECT(ADDRESS(1121,26))</f>
        <v>0</v>
      </c>
      <c r="AA1122">
        <f>INDIRECT(ADDRESS(1122,26))+INDIRECT(ADDRESS(1120,27))-INDIRECT(ADDRESS(1121,27))</f>
        <v>0</v>
      </c>
      <c r="AB1122">
        <f>INDIRECT(ADDRESS(1122,27))+INDIRECT(ADDRESS(1120,28))-INDIRECT(ADDRESS(1121,28))</f>
        <v>0</v>
      </c>
      <c r="AC1122">
        <f>INDIRECT(ADDRESS(1122,28))+INDIRECT(ADDRESS(1120,29))-INDIRECT(ADDRESS(1121,29))</f>
        <v>0</v>
      </c>
      <c r="AD1122">
        <f>INDIRECT(ADDRESS(1122,29))+INDIRECT(ADDRESS(1120,30))-INDIRECT(ADDRESS(1121,30))</f>
        <v>0</v>
      </c>
      <c r="AE1122">
        <f>INDIRECT(ADDRESS(1122,30))+INDIRECT(ADDRESS(1120,31))-INDIRECT(ADDRESS(1121,31))</f>
        <v>0</v>
      </c>
      <c r="AF1122">
        <f>INDIRECT(ADDRESS(1122,31))+INDIRECT(ADDRESS(1120,32))-INDIRECT(ADDRESS(1121,32))</f>
        <v>0</v>
      </c>
      <c r="AG1122">
        <f>INDIRECT(ADDRESS(1122,32))+INDIRECT(ADDRESS(1120,33))-INDIRECT(ADDRESS(1121,33))</f>
        <v>0</v>
      </c>
      <c r="AH1122">
        <f>INDIRECT(ADDRESS(1122,33))+INDIRECT(ADDRESS(1120,34))-INDIRECT(ADDRESS(1121,34))</f>
        <v>0</v>
      </c>
      <c r="AI1122">
        <f>INDIRECT(ADDRESS(1122,34))+INDIRECT(ADDRESS(1120,35))-INDIRECT(ADDRESS(1121,35))</f>
        <v>0</v>
      </c>
      <c r="AJ1122">
        <f>INDIRECT(ADDRESS(1122,35))+INDIRECT(ADDRESS(1120,36))-INDIRECT(ADDRESS(1121,36))</f>
        <v>0</v>
      </c>
      <c r="AK1122">
        <f>INDIRECT(ADDRESS(1122,36))+INDIRECT(ADDRESS(1120,37))-INDIRECT(ADDRESS(1121,37))</f>
        <v>0</v>
      </c>
      <c r="AL1122">
        <f>INDIRECT(ADDRESS(1122,37))+INDIRECT(ADDRESS(1120,38))-INDIRECT(ADDRESS(1121,38))</f>
        <v>0</v>
      </c>
      <c r="AM1122">
        <f>INDIRECT(ADDRESS(1122,38))+INDIRECT(ADDRESS(1120,39))-INDIRECT(ADDRESS(1121,39))</f>
        <v>0</v>
      </c>
      <c r="AN1122">
        <f>INDIRECT(ADDRESS(1122,39))+INDIRECT(ADDRESS(1120,40))-INDIRECT(ADDRESS(1121,40))</f>
        <v>0</v>
      </c>
      <c r="AO1122">
        <f>SUM(INDIRECT(ADDRESS(1121,8)):INDIRECT(ADDRESS(1121,39)))</f>
        <v>0</v>
      </c>
    </row>
    <row r="1123" spans="1:41">
      <c r="A1123" t="s">
        <v>180</v>
      </c>
      <c r="B1123" t="s">
        <v>550</v>
      </c>
      <c r="C1123" t="s">
        <v>551</v>
      </c>
      <c r="E1123">
        <v>1</v>
      </c>
      <c r="I1123" t="s">
        <v>177</v>
      </c>
    </row>
    <row r="1124" spans="1:41">
      <c r="I1124" t="s">
        <v>178</v>
      </c>
      <c r="J1124">
        <f>IFERROR(VLOOKUP("922-096517-600",B:AB,1+8,0),0)</f>
        <v>0</v>
      </c>
      <c r="K1124">
        <f>IFERROR(VLOOKUP("922-096517-600",B:AB,2+8,0),0)</f>
        <v>0</v>
      </c>
      <c r="L1124">
        <f>IFERROR(VLOOKUP("922-096517-600",B:AB,3+8,0),0)</f>
        <v>0</v>
      </c>
      <c r="M1124">
        <f>IFERROR(VLOOKUP("922-096517-600",B:AB,4+8,0),0)</f>
        <v>0</v>
      </c>
      <c r="N1124">
        <f>IFERROR(VLOOKUP("922-096517-600",B:AB,5+8,0),0)</f>
        <v>0</v>
      </c>
      <c r="O1124">
        <f>IFERROR(VLOOKUP("922-096517-600",B:AB,6+8,0),0)</f>
        <v>0</v>
      </c>
      <c r="P1124">
        <f>IFERROR(VLOOKUP("922-096517-600",B:AB,7+8,0),0)</f>
        <v>0</v>
      </c>
      <c r="Q1124">
        <f>IFERROR(VLOOKUP("922-096517-600",B:AB,8+8,0),0)</f>
        <v>0</v>
      </c>
      <c r="R1124">
        <f>IFERROR(VLOOKUP("922-096517-600",B:AB,9+8,0),0)</f>
        <v>0</v>
      </c>
      <c r="S1124">
        <f>IFERROR(VLOOKUP("922-096517-600",B:AB,10+8,0),0)</f>
        <v>0</v>
      </c>
      <c r="T1124">
        <f>IFERROR(VLOOKUP("922-096517-600",B:AB,11+8,0),0)</f>
        <v>0</v>
      </c>
      <c r="U1124">
        <f>IFERROR(VLOOKUP("922-096517-600",B:AB,12+8,0),0)</f>
        <v>0</v>
      </c>
      <c r="V1124">
        <f>IFERROR(VLOOKUP("922-096517-600",B:AB,13+8,0),0)</f>
        <v>0</v>
      </c>
      <c r="W1124">
        <f>IFERROR(VLOOKUP("922-096517-600",B:AB,14+8,0),0)</f>
        <v>0</v>
      </c>
      <c r="X1124">
        <f>IFERROR(VLOOKUP("922-096517-600",B:AB,15+8,0),0)</f>
        <v>0</v>
      </c>
      <c r="Y1124">
        <f>IFERROR(VLOOKUP("922-096517-600",B:AB,16+8,0),0)</f>
        <v>0</v>
      </c>
      <c r="Z1124">
        <f>IFERROR(VLOOKUP("922-096517-600",B:AB,17+8,0),0)</f>
        <v>0</v>
      </c>
      <c r="AA1124">
        <f>IFERROR(VLOOKUP("922-096517-600",B:AB,18+8,0),0)</f>
        <v>0</v>
      </c>
      <c r="AB1124">
        <f>IFERROR(VLOOKUP("922-096517-600",B:AB,19+8,0),0)</f>
        <v>0</v>
      </c>
      <c r="AC1124">
        <f>IFERROR(VLOOKUP("922-096517-600",B:AB,20+8,0),0)</f>
        <v>0</v>
      </c>
      <c r="AD1124">
        <f>IFERROR(VLOOKUP("922-096517-600",B:AB,21+8,0),0)</f>
        <v>0</v>
      </c>
      <c r="AE1124">
        <f>IFERROR(VLOOKUP("922-096517-600",B:AB,22+8,0),0)</f>
        <v>0</v>
      </c>
      <c r="AF1124">
        <f>IFERROR(VLOOKUP("922-096517-600",B:AB,23+8,0),0)</f>
        <v>0</v>
      </c>
      <c r="AG1124">
        <f>IFERROR(VLOOKUP("922-096517-600",B:AB,24+8,0),0)</f>
        <v>0</v>
      </c>
      <c r="AH1124">
        <f>IFERROR(VLOOKUP("922-096517-600",B:AB,25+8,0),0)</f>
        <v>0</v>
      </c>
      <c r="AI1124">
        <f>IFERROR(VLOOKUP("922-096517-600",B:AB,26+8,0),0)</f>
        <v>0</v>
      </c>
      <c r="AJ1124">
        <f>IFERROR(VLOOKUP("922-096517-600",B:AB,27+8,0),0)</f>
        <v>0</v>
      </c>
      <c r="AK1124">
        <f>IFERROR(VLOOKUP("922-096517-600",B:AB,28+8,0),0)</f>
        <v>0</v>
      </c>
      <c r="AL1124">
        <f>IFERROR(VLOOKUP("922-096517-600",B:AB,29+8,0),0)</f>
        <v>0</v>
      </c>
      <c r="AM1124">
        <f>IFERROR(VLOOKUP("922-096517-600",B:AB,30+8,0),0)</f>
        <v>0</v>
      </c>
      <c r="AN1124">
        <f>IFERROR(VLOOKUP("922-096517-600",B:AB,31+8,0),0)</f>
        <v>0</v>
      </c>
      <c r="AO1124">
        <f>SUN(INDIRECT(ADDRESS(1123,8)):INDIRECT(ADDRESS(1123,39)))</f>
        <v>0</v>
      </c>
    </row>
    <row r="1125" spans="1:41">
      <c r="H1125" t="s">
        <v>179</v>
      </c>
      <c r="J1125">
        <f>INDIRECT(ADDRESS(1125,9))+INDIRECT(ADDRESS(1123,10))-INDIRECT(ADDRESS(1124,10))</f>
        <v>0</v>
      </c>
      <c r="K1125">
        <f>INDIRECT(ADDRESS(1125,10))+INDIRECT(ADDRESS(1123,11))-INDIRECT(ADDRESS(1124,11))</f>
        <v>0</v>
      </c>
      <c r="L1125">
        <f>INDIRECT(ADDRESS(1125,11))+INDIRECT(ADDRESS(1123,12))-INDIRECT(ADDRESS(1124,12))</f>
        <v>0</v>
      </c>
      <c r="M1125">
        <f>INDIRECT(ADDRESS(1125,12))+INDIRECT(ADDRESS(1123,13))-INDIRECT(ADDRESS(1124,13))</f>
        <v>0</v>
      </c>
      <c r="N1125">
        <f>INDIRECT(ADDRESS(1125,13))+INDIRECT(ADDRESS(1123,14))-INDIRECT(ADDRESS(1124,14))</f>
        <v>0</v>
      </c>
      <c r="O1125">
        <f>INDIRECT(ADDRESS(1125,14))+INDIRECT(ADDRESS(1123,15))-INDIRECT(ADDRESS(1124,15))</f>
        <v>0</v>
      </c>
      <c r="P1125">
        <f>INDIRECT(ADDRESS(1125,15))+INDIRECT(ADDRESS(1123,16))-INDIRECT(ADDRESS(1124,16))</f>
        <v>0</v>
      </c>
      <c r="Q1125">
        <f>INDIRECT(ADDRESS(1125,16))+INDIRECT(ADDRESS(1123,17))-INDIRECT(ADDRESS(1124,17))</f>
        <v>0</v>
      </c>
      <c r="R1125">
        <f>INDIRECT(ADDRESS(1125,17))+INDIRECT(ADDRESS(1123,18))-INDIRECT(ADDRESS(1124,18))</f>
        <v>0</v>
      </c>
      <c r="S1125">
        <f>INDIRECT(ADDRESS(1125,18))+INDIRECT(ADDRESS(1123,19))-INDIRECT(ADDRESS(1124,19))</f>
        <v>0</v>
      </c>
      <c r="T1125">
        <f>INDIRECT(ADDRESS(1125,19))+INDIRECT(ADDRESS(1123,20))-INDIRECT(ADDRESS(1124,20))</f>
        <v>0</v>
      </c>
      <c r="U1125">
        <f>INDIRECT(ADDRESS(1125,20))+INDIRECT(ADDRESS(1123,21))-INDIRECT(ADDRESS(1124,21))</f>
        <v>0</v>
      </c>
      <c r="V1125">
        <f>INDIRECT(ADDRESS(1125,21))+INDIRECT(ADDRESS(1123,22))-INDIRECT(ADDRESS(1124,22))</f>
        <v>0</v>
      </c>
      <c r="W1125">
        <f>INDIRECT(ADDRESS(1125,22))+INDIRECT(ADDRESS(1123,23))-INDIRECT(ADDRESS(1124,23))</f>
        <v>0</v>
      </c>
      <c r="X1125">
        <f>INDIRECT(ADDRESS(1125,23))+INDIRECT(ADDRESS(1123,24))-INDIRECT(ADDRESS(1124,24))</f>
        <v>0</v>
      </c>
      <c r="Y1125">
        <f>INDIRECT(ADDRESS(1125,24))+INDIRECT(ADDRESS(1123,25))-INDIRECT(ADDRESS(1124,25))</f>
        <v>0</v>
      </c>
      <c r="Z1125">
        <f>INDIRECT(ADDRESS(1125,25))+INDIRECT(ADDRESS(1123,26))-INDIRECT(ADDRESS(1124,26))</f>
        <v>0</v>
      </c>
      <c r="AA1125">
        <f>INDIRECT(ADDRESS(1125,26))+INDIRECT(ADDRESS(1123,27))-INDIRECT(ADDRESS(1124,27))</f>
        <v>0</v>
      </c>
      <c r="AB1125">
        <f>INDIRECT(ADDRESS(1125,27))+INDIRECT(ADDRESS(1123,28))-INDIRECT(ADDRESS(1124,28))</f>
        <v>0</v>
      </c>
      <c r="AC1125">
        <f>INDIRECT(ADDRESS(1125,28))+INDIRECT(ADDRESS(1123,29))-INDIRECT(ADDRESS(1124,29))</f>
        <v>0</v>
      </c>
      <c r="AD1125">
        <f>INDIRECT(ADDRESS(1125,29))+INDIRECT(ADDRESS(1123,30))-INDIRECT(ADDRESS(1124,30))</f>
        <v>0</v>
      </c>
      <c r="AE1125">
        <f>INDIRECT(ADDRESS(1125,30))+INDIRECT(ADDRESS(1123,31))-INDIRECT(ADDRESS(1124,31))</f>
        <v>0</v>
      </c>
      <c r="AF1125">
        <f>INDIRECT(ADDRESS(1125,31))+INDIRECT(ADDRESS(1123,32))-INDIRECT(ADDRESS(1124,32))</f>
        <v>0</v>
      </c>
      <c r="AG1125">
        <f>INDIRECT(ADDRESS(1125,32))+INDIRECT(ADDRESS(1123,33))-INDIRECT(ADDRESS(1124,33))</f>
        <v>0</v>
      </c>
      <c r="AH1125">
        <f>INDIRECT(ADDRESS(1125,33))+INDIRECT(ADDRESS(1123,34))-INDIRECT(ADDRESS(1124,34))</f>
        <v>0</v>
      </c>
      <c r="AI1125">
        <f>INDIRECT(ADDRESS(1125,34))+INDIRECT(ADDRESS(1123,35))-INDIRECT(ADDRESS(1124,35))</f>
        <v>0</v>
      </c>
      <c r="AJ1125">
        <f>INDIRECT(ADDRESS(1125,35))+INDIRECT(ADDRESS(1123,36))-INDIRECT(ADDRESS(1124,36))</f>
        <v>0</v>
      </c>
      <c r="AK1125">
        <f>INDIRECT(ADDRESS(1125,36))+INDIRECT(ADDRESS(1123,37))-INDIRECT(ADDRESS(1124,37))</f>
        <v>0</v>
      </c>
      <c r="AL1125">
        <f>INDIRECT(ADDRESS(1125,37))+INDIRECT(ADDRESS(1123,38))-INDIRECT(ADDRESS(1124,38))</f>
        <v>0</v>
      </c>
      <c r="AM1125">
        <f>INDIRECT(ADDRESS(1125,38))+INDIRECT(ADDRESS(1123,39))-INDIRECT(ADDRESS(1124,39))</f>
        <v>0</v>
      </c>
      <c r="AN1125">
        <f>INDIRECT(ADDRESS(1125,39))+INDIRECT(ADDRESS(1123,40))-INDIRECT(ADDRESS(1124,40))</f>
        <v>0</v>
      </c>
      <c r="AO1125">
        <f>SUM(INDIRECT(ADDRESS(1124,8)):INDIRECT(ADDRESS(1124,39)))</f>
        <v>0</v>
      </c>
    </row>
    <row r="1126" spans="1:41">
      <c r="A1126" t="s">
        <v>185</v>
      </c>
      <c r="B1126" t="s">
        <v>567</v>
      </c>
      <c r="C1126" t="s">
        <v>539</v>
      </c>
      <c r="E1126">
        <v>1</v>
      </c>
      <c r="I1126" t="s">
        <v>177</v>
      </c>
    </row>
    <row r="1127" spans="1:41">
      <c r="I1127" t="s">
        <v>178</v>
      </c>
      <c r="J1127">
        <f>IFERROR(VLOOKUP("922-096517-600",B:AB,1+8,0),0)</f>
        <v>0</v>
      </c>
      <c r="K1127">
        <f>IFERROR(VLOOKUP("922-096517-600",B:AB,2+8,0),0)</f>
        <v>0</v>
      </c>
      <c r="L1127">
        <f>IFERROR(VLOOKUP("922-096517-600",B:AB,3+8,0),0)</f>
        <v>0</v>
      </c>
      <c r="M1127">
        <f>IFERROR(VLOOKUP("922-096517-600",B:AB,4+8,0),0)</f>
        <v>0</v>
      </c>
      <c r="N1127">
        <f>IFERROR(VLOOKUP("922-096517-600",B:AB,5+8,0),0)</f>
        <v>0</v>
      </c>
      <c r="O1127">
        <f>IFERROR(VLOOKUP("922-096517-600",B:AB,6+8,0),0)</f>
        <v>0</v>
      </c>
      <c r="P1127">
        <f>IFERROR(VLOOKUP("922-096517-600",B:AB,7+8,0),0)</f>
        <v>0</v>
      </c>
      <c r="Q1127">
        <f>IFERROR(VLOOKUP("922-096517-600",B:AB,8+8,0),0)</f>
        <v>0</v>
      </c>
      <c r="R1127">
        <f>IFERROR(VLOOKUP("922-096517-600",B:AB,9+8,0),0)</f>
        <v>0</v>
      </c>
      <c r="S1127">
        <f>IFERROR(VLOOKUP("922-096517-600",B:AB,10+8,0),0)</f>
        <v>0</v>
      </c>
      <c r="T1127">
        <f>IFERROR(VLOOKUP("922-096517-600",B:AB,11+8,0),0)</f>
        <v>0</v>
      </c>
      <c r="U1127">
        <f>IFERROR(VLOOKUP("922-096517-600",B:AB,12+8,0),0)</f>
        <v>0</v>
      </c>
      <c r="V1127">
        <f>IFERROR(VLOOKUP("922-096517-600",B:AB,13+8,0),0)</f>
        <v>0</v>
      </c>
      <c r="W1127">
        <f>IFERROR(VLOOKUP("922-096517-600",B:AB,14+8,0),0)</f>
        <v>0</v>
      </c>
      <c r="X1127">
        <f>IFERROR(VLOOKUP("922-096517-600",B:AB,15+8,0),0)</f>
        <v>0</v>
      </c>
      <c r="Y1127">
        <f>IFERROR(VLOOKUP("922-096517-600",B:AB,16+8,0),0)</f>
        <v>0</v>
      </c>
      <c r="Z1127">
        <f>IFERROR(VLOOKUP("922-096517-600",B:AB,17+8,0),0)</f>
        <v>0</v>
      </c>
      <c r="AA1127">
        <f>IFERROR(VLOOKUP("922-096517-600",B:AB,18+8,0),0)</f>
        <v>0</v>
      </c>
      <c r="AB1127">
        <f>IFERROR(VLOOKUP("922-096517-600",B:AB,19+8,0),0)</f>
        <v>0</v>
      </c>
      <c r="AC1127">
        <f>IFERROR(VLOOKUP("922-096517-600",B:AB,20+8,0),0)</f>
        <v>0</v>
      </c>
      <c r="AD1127">
        <f>IFERROR(VLOOKUP("922-096517-600",B:AB,21+8,0),0)</f>
        <v>0</v>
      </c>
      <c r="AE1127">
        <f>IFERROR(VLOOKUP("922-096517-600",B:AB,22+8,0),0)</f>
        <v>0</v>
      </c>
      <c r="AF1127">
        <f>IFERROR(VLOOKUP("922-096517-600",B:AB,23+8,0),0)</f>
        <v>0</v>
      </c>
      <c r="AG1127">
        <f>IFERROR(VLOOKUP("922-096517-600",B:AB,24+8,0),0)</f>
        <v>0</v>
      </c>
      <c r="AH1127">
        <f>IFERROR(VLOOKUP("922-096517-600",B:AB,25+8,0),0)</f>
        <v>0</v>
      </c>
      <c r="AI1127">
        <f>IFERROR(VLOOKUP("922-096517-600",B:AB,26+8,0),0)</f>
        <v>0</v>
      </c>
      <c r="AJ1127">
        <f>IFERROR(VLOOKUP("922-096517-600",B:AB,27+8,0),0)</f>
        <v>0</v>
      </c>
      <c r="AK1127">
        <f>IFERROR(VLOOKUP("922-096517-600",B:AB,28+8,0),0)</f>
        <v>0</v>
      </c>
      <c r="AL1127">
        <f>IFERROR(VLOOKUP("922-096517-600",B:AB,29+8,0),0)</f>
        <v>0</v>
      </c>
      <c r="AM1127">
        <f>IFERROR(VLOOKUP("922-096517-600",B:AB,30+8,0),0)</f>
        <v>0</v>
      </c>
      <c r="AN1127">
        <f>IFERROR(VLOOKUP("922-096517-600",B:AB,31+8,0),0)</f>
        <v>0</v>
      </c>
      <c r="AO1127">
        <f>SUN(INDIRECT(ADDRESS(1126,8)):INDIRECT(ADDRESS(1126,39)))</f>
        <v>0</v>
      </c>
    </row>
    <row r="1128" spans="1:41">
      <c r="H1128" t="s">
        <v>179</v>
      </c>
      <c r="J1128">
        <f>INDIRECT(ADDRESS(1128,9))+INDIRECT(ADDRESS(1126,10))-INDIRECT(ADDRESS(1127,10))</f>
        <v>0</v>
      </c>
      <c r="K1128">
        <f>INDIRECT(ADDRESS(1128,10))+INDIRECT(ADDRESS(1126,11))-INDIRECT(ADDRESS(1127,11))</f>
        <v>0</v>
      </c>
      <c r="L1128">
        <f>INDIRECT(ADDRESS(1128,11))+INDIRECT(ADDRESS(1126,12))-INDIRECT(ADDRESS(1127,12))</f>
        <v>0</v>
      </c>
      <c r="M1128">
        <f>INDIRECT(ADDRESS(1128,12))+INDIRECT(ADDRESS(1126,13))-INDIRECT(ADDRESS(1127,13))</f>
        <v>0</v>
      </c>
      <c r="N1128">
        <f>INDIRECT(ADDRESS(1128,13))+INDIRECT(ADDRESS(1126,14))-INDIRECT(ADDRESS(1127,14))</f>
        <v>0</v>
      </c>
      <c r="O1128">
        <f>INDIRECT(ADDRESS(1128,14))+INDIRECT(ADDRESS(1126,15))-INDIRECT(ADDRESS(1127,15))</f>
        <v>0</v>
      </c>
      <c r="P1128">
        <f>INDIRECT(ADDRESS(1128,15))+INDIRECT(ADDRESS(1126,16))-INDIRECT(ADDRESS(1127,16))</f>
        <v>0</v>
      </c>
      <c r="Q1128">
        <f>INDIRECT(ADDRESS(1128,16))+INDIRECT(ADDRESS(1126,17))-INDIRECT(ADDRESS(1127,17))</f>
        <v>0</v>
      </c>
      <c r="R1128">
        <f>INDIRECT(ADDRESS(1128,17))+INDIRECT(ADDRESS(1126,18))-INDIRECT(ADDRESS(1127,18))</f>
        <v>0</v>
      </c>
      <c r="S1128">
        <f>INDIRECT(ADDRESS(1128,18))+INDIRECT(ADDRESS(1126,19))-INDIRECT(ADDRESS(1127,19))</f>
        <v>0</v>
      </c>
      <c r="T1128">
        <f>INDIRECT(ADDRESS(1128,19))+INDIRECT(ADDRESS(1126,20))-INDIRECT(ADDRESS(1127,20))</f>
        <v>0</v>
      </c>
      <c r="U1128">
        <f>INDIRECT(ADDRESS(1128,20))+INDIRECT(ADDRESS(1126,21))-INDIRECT(ADDRESS(1127,21))</f>
        <v>0</v>
      </c>
      <c r="V1128">
        <f>INDIRECT(ADDRESS(1128,21))+INDIRECT(ADDRESS(1126,22))-INDIRECT(ADDRESS(1127,22))</f>
        <v>0</v>
      </c>
      <c r="W1128">
        <f>INDIRECT(ADDRESS(1128,22))+INDIRECT(ADDRESS(1126,23))-INDIRECT(ADDRESS(1127,23))</f>
        <v>0</v>
      </c>
      <c r="X1128">
        <f>INDIRECT(ADDRESS(1128,23))+INDIRECT(ADDRESS(1126,24))-INDIRECT(ADDRESS(1127,24))</f>
        <v>0</v>
      </c>
      <c r="Y1128">
        <f>INDIRECT(ADDRESS(1128,24))+INDIRECT(ADDRESS(1126,25))-INDIRECT(ADDRESS(1127,25))</f>
        <v>0</v>
      </c>
      <c r="Z1128">
        <f>INDIRECT(ADDRESS(1128,25))+INDIRECT(ADDRESS(1126,26))-INDIRECT(ADDRESS(1127,26))</f>
        <v>0</v>
      </c>
      <c r="AA1128">
        <f>INDIRECT(ADDRESS(1128,26))+INDIRECT(ADDRESS(1126,27))-INDIRECT(ADDRESS(1127,27))</f>
        <v>0</v>
      </c>
      <c r="AB1128">
        <f>INDIRECT(ADDRESS(1128,27))+INDIRECT(ADDRESS(1126,28))-INDIRECT(ADDRESS(1127,28))</f>
        <v>0</v>
      </c>
      <c r="AC1128">
        <f>INDIRECT(ADDRESS(1128,28))+INDIRECT(ADDRESS(1126,29))-INDIRECT(ADDRESS(1127,29))</f>
        <v>0</v>
      </c>
      <c r="AD1128">
        <f>INDIRECT(ADDRESS(1128,29))+INDIRECT(ADDRESS(1126,30))-INDIRECT(ADDRESS(1127,30))</f>
        <v>0</v>
      </c>
      <c r="AE1128">
        <f>INDIRECT(ADDRESS(1128,30))+INDIRECT(ADDRESS(1126,31))-INDIRECT(ADDRESS(1127,31))</f>
        <v>0</v>
      </c>
      <c r="AF1128">
        <f>INDIRECT(ADDRESS(1128,31))+INDIRECT(ADDRESS(1126,32))-INDIRECT(ADDRESS(1127,32))</f>
        <v>0</v>
      </c>
      <c r="AG1128">
        <f>INDIRECT(ADDRESS(1128,32))+INDIRECT(ADDRESS(1126,33))-INDIRECT(ADDRESS(1127,33))</f>
        <v>0</v>
      </c>
      <c r="AH1128">
        <f>INDIRECT(ADDRESS(1128,33))+INDIRECT(ADDRESS(1126,34))-INDIRECT(ADDRESS(1127,34))</f>
        <v>0</v>
      </c>
      <c r="AI1128">
        <f>INDIRECT(ADDRESS(1128,34))+INDIRECT(ADDRESS(1126,35))-INDIRECT(ADDRESS(1127,35))</f>
        <v>0</v>
      </c>
      <c r="AJ1128">
        <f>INDIRECT(ADDRESS(1128,35))+INDIRECT(ADDRESS(1126,36))-INDIRECT(ADDRESS(1127,36))</f>
        <v>0</v>
      </c>
      <c r="AK1128">
        <f>INDIRECT(ADDRESS(1128,36))+INDIRECT(ADDRESS(1126,37))-INDIRECT(ADDRESS(1127,37))</f>
        <v>0</v>
      </c>
      <c r="AL1128">
        <f>INDIRECT(ADDRESS(1128,37))+INDIRECT(ADDRESS(1126,38))-INDIRECT(ADDRESS(1127,38))</f>
        <v>0</v>
      </c>
      <c r="AM1128">
        <f>INDIRECT(ADDRESS(1128,38))+INDIRECT(ADDRESS(1126,39))-INDIRECT(ADDRESS(1127,39))</f>
        <v>0</v>
      </c>
      <c r="AN1128">
        <f>INDIRECT(ADDRESS(1128,39))+INDIRECT(ADDRESS(1126,40))-INDIRECT(ADDRESS(1127,40))</f>
        <v>0</v>
      </c>
      <c r="AO1128">
        <f>SUM(INDIRECT(ADDRESS(1127,8)):INDIRECT(ADDRESS(1127,39)))</f>
        <v>0</v>
      </c>
    </row>
    <row r="1129" spans="1:41">
      <c r="A1129" t="s">
        <v>206</v>
      </c>
      <c r="B1129" t="s">
        <v>568</v>
      </c>
      <c r="C1129" t="s">
        <v>569</v>
      </c>
      <c r="E1129">
        <v>0.05</v>
      </c>
      <c r="I1129" t="s">
        <v>177</v>
      </c>
    </row>
    <row r="1130" spans="1:41">
      <c r="I1130" t="s">
        <v>178</v>
      </c>
      <c r="J1130">
        <f>IFERROR(VLOOKUP("922-096517-600",B:AB,1+8,0),0)</f>
        <v>0</v>
      </c>
      <c r="K1130">
        <f>IFERROR(VLOOKUP("922-096517-600",B:AB,2+8,0),0)</f>
        <v>0</v>
      </c>
      <c r="L1130">
        <f>IFERROR(VLOOKUP("922-096517-600",B:AB,3+8,0),0)</f>
        <v>0</v>
      </c>
      <c r="M1130">
        <f>IFERROR(VLOOKUP("922-096517-600",B:AB,4+8,0),0)</f>
        <v>0</v>
      </c>
      <c r="N1130">
        <f>IFERROR(VLOOKUP("922-096517-600",B:AB,5+8,0),0)</f>
        <v>0</v>
      </c>
      <c r="O1130">
        <f>IFERROR(VLOOKUP("922-096517-600",B:AB,6+8,0),0)</f>
        <v>0</v>
      </c>
      <c r="P1130">
        <f>IFERROR(VLOOKUP("922-096517-600",B:AB,7+8,0),0)</f>
        <v>0</v>
      </c>
      <c r="Q1130">
        <f>IFERROR(VLOOKUP("922-096517-600",B:AB,8+8,0),0)</f>
        <v>0</v>
      </c>
      <c r="R1130">
        <f>IFERROR(VLOOKUP("922-096517-600",B:AB,9+8,0),0)</f>
        <v>0</v>
      </c>
      <c r="S1130">
        <f>IFERROR(VLOOKUP("922-096517-600",B:AB,10+8,0),0)</f>
        <v>0</v>
      </c>
      <c r="T1130">
        <f>IFERROR(VLOOKUP("922-096517-600",B:AB,11+8,0),0)</f>
        <v>0</v>
      </c>
      <c r="U1130">
        <f>IFERROR(VLOOKUP("922-096517-600",B:AB,12+8,0),0)</f>
        <v>0</v>
      </c>
      <c r="V1130">
        <f>IFERROR(VLOOKUP("922-096517-600",B:AB,13+8,0),0)</f>
        <v>0</v>
      </c>
      <c r="W1130">
        <f>IFERROR(VLOOKUP("922-096517-600",B:AB,14+8,0),0)</f>
        <v>0</v>
      </c>
      <c r="X1130">
        <f>IFERROR(VLOOKUP("922-096517-600",B:AB,15+8,0),0)</f>
        <v>0</v>
      </c>
      <c r="Y1130">
        <f>IFERROR(VLOOKUP("922-096517-600",B:AB,16+8,0),0)</f>
        <v>0</v>
      </c>
      <c r="Z1130">
        <f>IFERROR(VLOOKUP("922-096517-600",B:AB,17+8,0),0)</f>
        <v>0</v>
      </c>
      <c r="AA1130">
        <f>IFERROR(VLOOKUP("922-096517-600",B:AB,18+8,0),0)</f>
        <v>0</v>
      </c>
      <c r="AB1130">
        <f>IFERROR(VLOOKUP("922-096517-600",B:AB,19+8,0),0)</f>
        <v>0</v>
      </c>
      <c r="AC1130">
        <f>IFERROR(VLOOKUP("922-096517-600",B:AB,20+8,0),0)</f>
        <v>0</v>
      </c>
      <c r="AD1130">
        <f>IFERROR(VLOOKUP("922-096517-600",B:AB,21+8,0),0)</f>
        <v>0</v>
      </c>
      <c r="AE1130">
        <f>IFERROR(VLOOKUP("922-096517-600",B:AB,22+8,0),0)</f>
        <v>0</v>
      </c>
      <c r="AF1130">
        <f>IFERROR(VLOOKUP("922-096517-600",B:AB,23+8,0),0)</f>
        <v>0</v>
      </c>
      <c r="AG1130">
        <f>IFERROR(VLOOKUP("922-096517-600",B:AB,24+8,0),0)</f>
        <v>0</v>
      </c>
      <c r="AH1130">
        <f>IFERROR(VLOOKUP("922-096517-600",B:AB,25+8,0),0)</f>
        <v>0</v>
      </c>
      <c r="AI1130">
        <f>IFERROR(VLOOKUP("922-096517-600",B:AB,26+8,0),0)</f>
        <v>0</v>
      </c>
      <c r="AJ1130">
        <f>IFERROR(VLOOKUP("922-096517-600",B:AB,27+8,0),0)</f>
        <v>0</v>
      </c>
      <c r="AK1130">
        <f>IFERROR(VLOOKUP("922-096517-600",B:AB,28+8,0),0)</f>
        <v>0</v>
      </c>
      <c r="AL1130">
        <f>IFERROR(VLOOKUP("922-096517-600",B:AB,29+8,0),0)</f>
        <v>0</v>
      </c>
      <c r="AM1130">
        <f>IFERROR(VLOOKUP("922-096517-600",B:AB,30+8,0),0)</f>
        <v>0</v>
      </c>
      <c r="AN1130">
        <f>IFERROR(VLOOKUP("922-096517-600",B:AB,31+8,0),0)</f>
        <v>0</v>
      </c>
      <c r="AO1130">
        <f>SUN(INDIRECT(ADDRESS(1129,8)):INDIRECT(ADDRESS(1129,39)))</f>
        <v>0</v>
      </c>
    </row>
    <row r="1131" spans="1:41">
      <c r="H1131" t="s">
        <v>179</v>
      </c>
      <c r="J1131">
        <f>INDIRECT(ADDRESS(1131,9))+INDIRECT(ADDRESS(1129,10))-INDIRECT(ADDRESS(1130,10))</f>
        <v>0</v>
      </c>
      <c r="K1131">
        <f>INDIRECT(ADDRESS(1131,10))+INDIRECT(ADDRESS(1129,11))-INDIRECT(ADDRESS(1130,11))</f>
        <v>0</v>
      </c>
      <c r="L1131">
        <f>INDIRECT(ADDRESS(1131,11))+INDIRECT(ADDRESS(1129,12))-INDIRECT(ADDRESS(1130,12))</f>
        <v>0</v>
      </c>
      <c r="M1131">
        <f>INDIRECT(ADDRESS(1131,12))+INDIRECT(ADDRESS(1129,13))-INDIRECT(ADDRESS(1130,13))</f>
        <v>0</v>
      </c>
      <c r="N1131">
        <f>INDIRECT(ADDRESS(1131,13))+INDIRECT(ADDRESS(1129,14))-INDIRECT(ADDRESS(1130,14))</f>
        <v>0</v>
      </c>
      <c r="O1131">
        <f>INDIRECT(ADDRESS(1131,14))+INDIRECT(ADDRESS(1129,15))-INDIRECT(ADDRESS(1130,15))</f>
        <v>0</v>
      </c>
      <c r="P1131">
        <f>INDIRECT(ADDRESS(1131,15))+INDIRECT(ADDRESS(1129,16))-INDIRECT(ADDRESS(1130,16))</f>
        <v>0</v>
      </c>
      <c r="Q1131">
        <f>INDIRECT(ADDRESS(1131,16))+INDIRECT(ADDRESS(1129,17))-INDIRECT(ADDRESS(1130,17))</f>
        <v>0</v>
      </c>
      <c r="R1131">
        <f>INDIRECT(ADDRESS(1131,17))+INDIRECT(ADDRESS(1129,18))-INDIRECT(ADDRESS(1130,18))</f>
        <v>0</v>
      </c>
      <c r="S1131">
        <f>INDIRECT(ADDRESS(1131,18))+INDIRECT(ADDRESS(1129,19))-INDIRECT(ADDRESS(1130,19))</f>
        <v>0</v>
      </c>
      <c r="T1131">
        <f>INDIRECT(ADDRESS(1131,19))+INDIRECT(ADDRESS(1129,20))-INDIRECT(ADDRESS(1130,20))</f>
        <v>0</v>
      </c>
      <c r="U1131">
        <f>INDIRECT(ADDRESS(1131,20))+INDIRECT(ADDRESS(1129,21))-INDIRECT(ADDRESS(1130,21))</f>
        <v>0</v>
      </c>
      <c r="V1131">
        <f>INDIRECT(ADDRESS(1131,21))+INDIRECT(ADDRESS(1129,22))-INDIRECT(ADDRESS(1130,22))</f>
        <v>0</v>
      </c>
      <c r="W1131">
        <f>INDIRECT(ADDRESS(1131,22))+INDIRECT(ADDRESS(1129,23))-INDIRECT(ADDRESS(1130,23))</f>
        <v>0</v>
      </c>
      <c r="X1131">
        <f>INDIRECT(ADDRESS(1131,23))+INDIRECT(ADDRESS(1129,24))-INDIRECT(ADDRESS(1130,24))</f>
        <v>0</v>
      </c>
      <c r="Y1131">
        <f>INDIRECT(ADDRESS(1131,24))+INDIRECT(ADDRESS(1129,25))-INDIRECT(ADDRESS(1130,25))</f>
        <v>0</v>
      </c>
      <c r="Z1131">
        <f>INDIRECT(ADDRESS(1131,25))+INDIRECT(ADDRESS(1129,26))-INDIRECT(ADDRESS(1130,26))</f>
        <v>0</v>
      </c>
      <c r="AA1131">
        <f>INDIRECT(ADDRESS(1131,26))+INDIRECT(ADDRESS(1129,27))-INDIRECT(ADDRESS(1130,27))</f>
        <v>0</v>
      </c>
      <c r="AB1131">
        <f>INDIRECT(ADDRESS(1131,27))+INDIRECT(ADDRESS(1129,28))-INDIRECT(ADDRESS(1130,28))</f>
        <v>0</v>
      </c>
      <c r="AC1131">
        <f>INDIRECT(ADDRESS(1131,28))+INDIRECT(ADDRESS(1129,29))-INDIRECT(ADDRESS(1130,29))</f>
        <v>0</v>
      </c>
      <c r="AD1131">
        <f>INDIRECT(ADDRESS(1131,29))+INDIRECT(ADDRESS(1129,30))-INDIRECT(ADDRESS(1130,30))</f>
        <v>0</v>
      </c>
      <c r="AE1131">
        <f>INDIRECT(ADDRESS(1131,30))+INDIRECT(ADDRESS(1129,31))-INDIRECT(ADDRESS(1130,31))</f>
        <v>0</v>
      </c>
      <c r="AF1131">
        <f>INDIRECT(ADDRESS(1131,31))+INDIRECT(ADDRESS(1129,32))-INDIRECT(ADDRESS(1130,32))</f>
        <v>0</v>
      </c>
      <c r="AG1131">
        <f>INDIRECT(ADDRESS(1131,32))+INDIRECT(ADDRESS(1129,33))-INDIRECT(ADDRESS(1130,33))</f>
        <v>0</v>
      </c>
      <c r="AH1131">
        <f>INDIRECT(ADDRESS(1131,33))+INDIRECT(ADDRESS(1129,34))-INDIRECT(ADDRESS(1130,34))</f>
        <v>0</v>
      </c>
      <c r="AI1131">
        <f>INDIRECT(ADDRESS(1131,34))+INDIRECT(ADDRESS(1129,35))-INDIRECT(ADDRESS(1130,35))</f>
        <v>0</v>
      </c>
      <c r="AJ1131">
        <f>INDIRECT(ADDRESS(1131,35))+INDIRECT(ADDRESS(1129,36))-INDIRECT(ADDRESS(1130,36))</f>
        <v>0</v>
      </c>
      <c r="AK1131">
        <f>INDIRECT(ADDRESS(1131,36))+INDIRECT(ADDRESS(1129,37))-INDIRECT(ADDRESS(1130,37))</f>
        <v>0</v>
      </c>
      <c r="AL1131">
        <f>INDIRECT(ADDRESS(1131,37))+INDIRECT(ADDRESS(1129,38))-INDIRECT(ADDRESS(1130,38))</f>
        <v>0</v>
      </c>
      <c r="AM1131">
        <f>INDIRECT(ADDRESS(1131,38))+INDIRECT(ADDRESS(1129,39))-INDIRECT(ADDRESS(1130,39))</f>
        <v>0</v>
      </c>
      <c r="AN1131">
        <f>INDIRECT(ADDRESS(1131,39))+INDIRECT(ADDRESS(1129,40))-INDIRECT(ADDRESS(1130,40))</f>
        <v>0</v>
      </c>
      <c r="AO1131">
        <f>SUM(INDIRECT(ADDRESS(1130,8)):INDIRECT(ADDRESS(1130,39)))</f>
        <v>0</v>
      </c>
    </row>
    <row r="1132" spans="1:41">
      <c r="A1132" t="s">
        <v>8</v>
      </c>
      <c r="B1132" t="s">
        <v>93</v>
      </c>
      <c r="C1132" t="s">
        <v>94</v>
      </c>
      <c r="E1132">
        <v>1</v>
      </c>
      <c r="I1132" t="s">
        <v>177</v>
      </c>
    </row>
    <row r="1133" spans="1:41">
      <c r="I1133" t="s">
        <v>178</v>
      </c>
      <c r="J1133">
        <f>IFERROR(VLOOKUP("906-286000-110",Out!B:AB,1+8,0),0)</f>
        <v>0</v>
      </c>
      <c r="K1133">
        <f>IFERROR(VLOOKUP("906-286000-110",Out!B:AB,2+8,0),0)</f>
        <v>0</v>
      </c>
      <c r="L1133">
        <f>IFERROR(VLOOKUP("906-286000-110",Out!B:AB,3+8,0),0)</f>
        <v>0</v>
      </c>
      <c r="M1133">
        <f>IFERROR(VLOOKUP("906-286000-110",Out!B:AB,4+8,0),0)</f>
        <v>0</v>
      </c>
      <c r="N1133">
        <f>IFERROR(VLOOKUP("906-286000-110",Out!B:AB,5+8,0),0)</f>
        <v>0</v>
      </c>
      <c r="O1133">
        <f>IFERROR(VLOOKUP("906-286000-110",Out!B:AB,6+8,0),0)</f>
        <v>0</v>
      </c>
      <c r="P1133">
        <f>IFERROR(VLOOKUP("906-286000-110",Out!B:AB,7+8,0),0)</f>
        <v>0</v>
      </c>
      <c r="Q1133">
        <f>IFERROR(VLOOKUP("906-286000-110",Out!B:AB,8+8,0),0)</f>
        <v>0</v>
      </c>
      <c r="R1133">
        <f>IFERROR(VLOOKUP("906-286000-110",Out!B:AB,9+8,0),0)</f>
        <v>0</v>
      </c>
      <c r="S1133">
        <f>IFERROR(VLOOKUP("906-286000-110",Out!B:AB,10+8,0),0)</f>
        <v>0</v>
      </c>
      <c r="T1133">
        <f>IFERROR(VLOOKUP("906-286000-110",Out!B:AB,11+8,0),0)</f>
        <v>0</v>
      </c>
      <c r="U1133">
        <f>IFERROR(VLOOKUP("906-286000-110",Out!B:AB,12+8,0),0)</f>
        <v>0</v>
      </c>
      <c r="V1133">
        <f>IFERROR(VLOOKUP("906-286000-110",Out!B:AB,13+8,0),0)</f>
        <v>0</v>
      </c>
      <c r="W1133">
        <f>IFERROR(VLOOKUP("906-286000-110",Out!B:AB,14+8,0),0)</f>
        <v>0</v>
      </c>
      <c r="X1133">
        <f>IFERROR(VLOOKUP("906-286000-110",Out!B:AB,15+8,0),0)</f>
        <v>0</v>
      </c>
      <c r="Y1133">
        <f>IFERROR(VLOOKUP("906-286000-110",Out!B:AB,16+8,0),0)</f>
        <v>0</v>
      </c>
      <c r="Z1133">
        <f>IFERROR(VLOOKUP("906-286000-110",Out!B:AB,17+8,0),0)</f>
        <v>0</v>
      </c>
      <c r="AA1133">
        <f>IFERROR(VLOOKUP("906-286000-110",Out!B:AB,18+8,0),0)</f>
        <v>0</v>
      </c>
      <c r="AB1133">
        <f>IFERROR(VLOOKUP("906-286000-110",Out!B:AB,19+8,0),0)</f>
        <v>0</v>
      </c>
      <c r="AC1133">
        <f>IFERROR(VLOOKUP("906-286000-110",Out!B:AB,20+8,0),0)</f>
        <v>0</v>
      </c>
      <c r="AD1133">
        <f>IFERROR(VLOOKUP("906-286000-110",Out!B:AB,21+8,0),0)</f>
        <v>0</v>
      </c>
      <c r="AE1133">
        <f>IFERROR(VLOOKUP("906-286000-110",Out!B:AB,22+8,0),0)</f>
        <v>0</v>
      </c>
      <c r="AF1133">
        <f>IFERROR(VLOOKUP("906-286000-110",Out!B:AB,23+8,0),0)</f>
        <v>0</v>
      </c>
      <c r="AG1133">
        <f>IFERROR(VLOOKUP("906-286000-110",Out!B:AB,24+8,0),0)</f>
        <v>0</v>
      </c>
      <c r="AH1133">
        <f>IFERROR(VLOOKUP("906-286000-110",Out!B:AB,25+8,0),0)</f>
        <v>0</v>
      </c>
      <c r="AI1133">
        <f>IFERROR(VLOOKUP("906-286000-110",Out!B:AB,26+8,0),0)</f>
        <v>0</v>
      </c>
      <c r="AJ1133">
        <f>IFERROR(VLOOKUP("906-286000-110",Out!B:AB,27+8,0),0)</f>
        <v>0</v>
      </c>
      <c r="AK1133">
        <f>IFERROR(VLOOKUP("906-286000-110",Out!B:AB,28+8,0),0)</f>
        <v>0</v>
      </c>
      <c r="AL1133">
        <f>IFERROR(VLOOKUP("906-286000-110",Out!B:AB,29+8,0),0)</f>
        <v>0</v>
      </c>
      <c r="AM1133">
        <f>IFERROR(VLOOKUP("906-286000-110",Out!B:AB,30+8,0),0)</f>
        <v>0</v>
      </c>
      <c r="AN1133">
        <f>IFERROR(VLOOKUP("906-286000-110",Out!B:AB,31+8,0),0)</f>
        <v>0</v>
      </c>
      <c r="AO1133">
        <f>SUN(INDIRECT(ADDRESS(1132,8)):INDIRECT(ADDRESS(1132,39)))</f>
        <v>0</v>
      </c>
    </row>
    <row r="1134" spans="1:41">
      <c r="H1134" t="s">
        <v>179</v>
      </c>
      <c r="J1134">
        <f>INDIRECT(ADDRESS(1134,9))+INDIRECT(ADDRESS(1132,10))-INDIRECT(ADDRESS(1133,10))</f>
        <v>0</v>
      </c>
      <c r="K1134">
        <f>INDIRECT(ADDRESS(1134,10))+INDIRECT(ADDRESS(1132,11))-INDIRECT(ADDRESS(1133,11))</f>
        <v>0</v>
      </c>
      <c r="L1134">
        <f>INDIRECT(ADDRESS(1134,11))+INDIRECT(ADDRESS(1132,12))-INDIRECT(ADDRESS(1133,12))</f>
        <v>0</v>
      </c>
      <c r="M1134">
        <f>INDIRECT(ADDRESS(1134,12))+INDIRECT(ADDRESS(1132,13))-INDIRECT(ADDRESS(1133,13))</f>
        <v>0</v>
      </c>
      <c r="N1134">
        <f>INDIRECT(ADDRESS(1134,13))+INDIRECT(ADDRESS(1132,14))-INDIRECT(ADDRESS(1133,14))</f>
        <v>0</v>
      </c>
      <c r="O1134">
        <f>INDIRECT(ADDRESS(1134,14))+INDIRECT(ADDRESS(1132,15))-INDIRECT(ADDRESS(1133,15))</f>
        <v>0</v>
      </c>
      <c r="P1134">
        <f>INDIRECT(ADDRESS(1134,15))+INDIRECT(ADDRESS(1132,16))-INDIRECT(ADDRESS(1133,16))</f>
        <v>0</v>
      </c>
      <c r="Q1134">
        <f>INDIRECT(ADDRESS(1134,16))+INDIRECT(ADDRESS(1132,17))-INDIRECT(ADDRESS(1133,17))</f>
        <v>0</v>
      </c>
      <c r="R1134">
        <f>INDIRECT(ADDRESS(1134,17))+INDIRECT(ADDRESS(1132,18))-INDIRECT(ADDRESS(1133,18))</f>
        <v>0</v>
      </c>
      <c r="S1134">
        <f>INDIRECT(ADDRESS(1134,18))+INDIRECT(ADDRESS(1132,19))-INDIRECT(ADDRESS(1133,19))</f>
        <v>0</v>
      </c>
      <c r="T1134">
        <f>INDIRECT(ADDRESS(1134,19))+INDIRECT(ADDRESS(1132,20))-INDIRECT(ADDRESS(1133,20))</f>
        <v>0</v>
      </c>
      <c r="U1134">
        <f>INDIRECT(ADDRESS(1134,20))+INDIRECT(ADDRESS(1132,21))-INDIRECT(ADDRESS(1133,21))</f>
        <v>0</v>
      </c>
      <c r="V1134">
        <f>INDIRECT(ADDRESS(1134,21))+INDIRECT(ADDRESS(1132,22))-INDIRECT(ADDRESS(1133,22))</f>
        <v>0</v>
      </c>
      <c r="W1134">
        <f>INDIRECT(ADDRESS(1134,22))+INDIRECT(ADDRESS(1132,23))-INDIRECT(ADDRESS(1133,23))</f>
        <v>0</v>
      </c>
      <c r="X1134">
        <f>INDIRECT(ADDRESS(1134,23))+INDIRECT(ADDRESS(1132,24))-INDIRECT(ADDRESS(1133,24))</f>
        <v>0</v>
      </c>
      <c r="Y1134">
        <f>INDIRECT(ADDRESS(1134,24))+INDIRECT(ADDRESS(1132,25))-INDIRECT(ADDRESS(1133,25))</f>
        <v>0</v>
      </c>
      <c r="Z1134">
        <f>INDIRECT(ADDRESS(1134,25))+INDIRECT(ADDRESS(1132,26))-INDIRECT(ADDRESS(1133,26))</f>
        <v>0</v>
      </c>
      <c r="AA1134">
        <f>INDIRECT(ADDRESS(1134,26))+INDIRECT(ADDRESS(1132,27))-INDIRECT(ADDRESS(1133,27))</f>
        <v>0</v>
      </c>
      <c r="AB1134">
        <f>INDIRECT(ADDRESS(1134,27))+INDIRECT(ADDRESS(1132,28))-INDIRECT(ADDRESS(1133,28))</f>
        <v>0</v>
      </c>
      <c r="AC1134">
        <f>INDIRECT(ADDRESS(1134,28))+INDIRECT(ADDRESS(1132,29))-INDIRECT(ADDRESS(1133,29))</f>
        <v>0</v>
      </c>
      <c r="AD1134">
        <f>INDIRECT(ADDRESS(1134,29))+INDIRECT(ADDRESS(1132,30))-INDIRECT(ADDRESS(1133,30))</f>
        <v>0</v>
      </c>
      <c r="AE1134">
        <f>INDIRECT(ADDRESS(1134,30))+INDIRECT(ADDRESS(1132,31))-INDIRECT(ADDRESS(1133,31))</f>
        <v>0</v>
      </c>
      <c r="AF1134">
        <f>INDIRECT(ADDRESS(1134,31))+INDIRECT(ADDRESS(1132,32))-INDIRECT(ADDRESS(1133,32))</f>
        <v>0</v>
      </c>
      <c r="AG1134">
        <f>INDIRECT(ADDRESS(1134,32))+INDIRECT(ADDRESS(1132,33))-INDIRECT(ADDRESS(1133,33))</f>
        <v>0</v>
      </c>
      <c r="AH1134">
        <f>INDIRECT(ADDRESS(1134,33))+INDIRECT(ADDRESS(1132,34))-INDIRECT(ADDRESS(1133,34))</f>
        <v>0</v>
      </c>
      <c r="AI1134">
        <f>INDIRECT(ADDRESS(1134,34))+INDIRECT(ADDRESS(1132,35))-INDIRECT(ADDRESS(1133,35))</f>
        <v>0</v>
      </c>
      <c r="AJ1134">
        <f>INDIRECT(ADDRESS(1134,35))+INDIRECT(ADDRESS(1132,36))-INDIRECT(ADDRESS(1133,36))</f>
        <v>0</v>
      </c>
      <c r="AK1134">
        <f>INDIRECT(ADDRESS(1134,36))+INDIRECT(ADDRESS(1132,37))-INDIRECT(ADDRESS(1133,37))</f>
        <v>0</v>
      </c>
      <c r="AL1134">
        <f>INDIRECT(ADDRESS(1134,37))+INDIRECT(ADDRESS(1132,38))-INDIRECT(ADDRESS(1133,38))</f>
        <v>0</v>
      </c>
      <c r="AM1134">
        <f>INDIRECT(ADDRESS(1134,38))+INDIRECT(ADDRESS(1132,39))-INDIRECT(ADDRESS(1133,39))</f>
        <v>0</v>
      </c>
      <c r="AN1134">
        <f>INDIRECT(ADDRESS(1134,39))+INDIRECT(ADDRESS(1132,40))-INDIRECT(ADDRESS(1133,40))</f>
        <v>0</v>
      </c>
      <c r="AO1134">
        <f>SUM(INDIRECT(ADDRESS(1133,8)):INDIRECT(ADDRESS(1133,39)))</f>
        <v>0</v>
      </c>
    </row>
    <row r="1135" spans="1:41">
      <c r="A1135" t="s">
        <v>180</v>
      </c>
      <c r="B1135" t="s">
        <v>570</v>
      </c>
      <c r="C1135" t="s">
        <v>571</v>
      </c>
      <c r="E1135">
        <v>1</v>
      </c>
      <c r="I1135" t="s">
        <v>177</v>
      </c>
    </row>
    <row r="1136" spans="1:41">
      <c r="I1136" t="s">
        <v>178</v>
      </c>
      <c r="J1136">
        <f>IFERROR(VLOOKUP("906-286000-110",B:AB,1+8,0),0)</f>
        <v>0</v>
      </c>
      <c r="K1136">
        <f>IFERROR(VLOOKUP("906-286000-110",B:AB,2+8,0),0)</f>
        <v>0</v>
      </c>
      <c r="L1136">
        <f>IFERROR(VLOOKUP("906-286000-110",B:AB,3+8,0),0)</f>
        <v>0</v>
      </c>
      <c r="M1136">
        <f>IFERROR(VLOOKUP("906-286000-110",B:AB,4+8,0),0)</f>
        <v>0</v>
      </c>
      <c r="N1136">
        <f>IFERROR(VLOOKUP("906-286000-110",B:AB,5+8,0),0)</f>
        <v>0</v>
      </c>
      <c r="O1136">
        <f>IFERROR(VLOOKUP("906-286000-110",B:AB,6+8,0),0)</f>
        <v>0</v>
      </c>
      <c r="P1136">
        <f>IFERROR(VLOOKUP("906-286000-110",B:AB,7+8,0),0)</f>
        <v>0</v>
      </c>
      <c r="Q1136">
        <f>IFERROR(VLOOKUP("906-286000-110",B:AB,8+8,0),0)</f>
        <v>0</v>
      </c>
      <c r="R1136">
        <f>IFERROR(VLOOKUP("906-286000-110",B:AB,9+8,0),0)</f>
        <v>0</v>
      </c>
      <c r="S1136">
        <f>IFERROR(VLOOKUP("906-286000-110",B:AB,10+8,0),0)</f>
        <v>0</v>
      </c>
      <c r="T1136">
        <f>IFERROR(VLOOKUP("906-286000-110",B:AB,11+8,0),0)</f>
        <v>0</v>
      </c>
      <c r="U1136">
        <f>IFERROR(VLOOKUP("906-286000-110",B:AB,12+8,0),0)</f>
        <v>0</v>
      </c>
      <c r="V1136">
        <f>IFERROR(VLOOKUP("906-286000-110",B:AB,13+8,0),0)</f>
        <v>0</v>
      </c>
      <c r="W1136">
        <f>IFERROR(VLOOKUP("906-286000-110",B:AB,14+8,0),0)</f>
        <v>0</v>
      </c>
      <c r="X1136">
        <f>IFERROR(VLOOKUP("906-286000-110",B:AB,15+8,0),0)</f>
        <v>0</v>
      </c>
      <c r="Y1136">
        <f>IFERROR(VLOOKUP("906-286000-110",B:AB,16+8,0),0)</f>
        <v>0</v>
      </c>
      <c r="Z1136">
        <f>IFERROR(VLOOKUP("906-286000-110",B:AB,17+8,0),0)</f>
        <v>0</v>
      </c>
      <c r="AA1136">
        <f>IFERROR(VLOOKUP("906-286000-110",B:AB,18+8,0),0)</f>
        <v>0</v>
      </c>
      <c r="AB1136">
        <f>IFERROR(VLOOKUP("906-286000-110",B:AB,19+8,0),0)</f>
        <v>0</v>
      </c>
      <c r="AC1136">
        <f>IFERROR(VLOOKUP("906-286000-110",B:AB,20+8,0),0)</f>
        <v>0</v>
      </c>
      <c r="AD1136">
        <f>IFERROR(VLOOKUP("906-286000-110",B:AB,21+8,0),0)</f>
        <v>0</v>
      </c>
      <c r="AE1136">
        <f>IFERROR(VLOOKUP("906-286000-110",B:AB,22+8,0),0)</f>
        <v>0</v>
      </c>
      <c r="AF1136">
        <f>IFERROR(VLOOKUP("906-286000-110",B:AB,23+8,0),0)</f>
        <v>0</v>
      </c>
      <c r="AG1136">
        <f>IFERROR(VLOOKUP("906-286000-110",B:AB,24+8,0),0)</f>
        <v>0</v>
      </c>
      <c r="AH1136">
        <f>IFERROR(VLOOKUP("906-286000-110",B:AB,25+8,0),0)</f>
        <v>0</v>
      </c>
      <c r="AI1136">
        <f>IFERROR(VLOOKUP("906-286000-110",B:AB,26+8,0),0)</f>
        <v>0</v>
      </c>
      <c r="AJ1136">
        <f>IFERROR(VLOOKUP("906-286000-110",B:AB,27+8,0),0)</f>
        <v>0</v>
      </c>
      <c r="AK1136">
        <f>IFERROR(VLOOKUP("906-286000-110",B:AB,28+8,0),0)</f>
        <v>0</v>
      </c>
      <c r="AL1136">
        <f>IFERROR(VLOOKUP("906-286000-110",B:AB,29+8,0),0)</f>
        <v>0</v>
      </c>
      <c r="AM1136">
        <f>IFERROR(VLOOKUP("906-286000-110",B:AB,30+8,0),0)</f>
        <v>0</v>
      </c>
      <c r="AN1136">
        <f>IFERROR(VLOOKUP("906-286000-110",B:AB,31+8,0),0)</f>
        <v>0</v>
      </c>
      <c r="AO1136">
        <f>SUN(INDIRECT(ADDRESS(1135,8)):INDIRECT(ADDRESS(1135,39)))</f>
        <v>0</v>
      </c>
    </row>
    <row r="1137" spans="1:41">
      <c r="H1137" t="s">
        <v>179</v>
      </c>
      <c r="J1137">
        <f>INDIRECT(ADDRESS(1137,9))+INDIRECT(ADDRESS(1135,10))-INDIRECT(ADDRESS(1136,10))</f>
        <v>0</v>
      </c>
      <c r="K1137">
        <f>INDIRECT(ADDRESS(1137,10))+INDIRECT(ADDRESS(1135,11))-INDIRECT(ADDRESS(1136,11))</f>
        <v>0</v>
      </c>
      <c r="L1137">
        <f>INDIRECT(ADDRESS(1137,11))+INDIRECT(ADDRESS(1135,12))-INDIRECT(ADDRESS(1136,12))</f>
        <v>0</v>
      </c>
      <c r="M1137">
        <f>INDIRECT(ADDRESS(1137,12))+INDIRECT(ADDRESS(1135,13))-INDIRECT(ADDRESS(1136,13))</f>
        <v>0</v>
      </c>
      <c r="N1137">
        <f>INDIRECT(ADDRESS(1137,13))+INDIRECT(ADDRESS(1135,14))-INDIRECT(ADDRESS(1136,14))</f>
        <v>0</v>
      </c>
      <c r="O1137">
        <f>INDIRECT(ADDRESS(1137,14))+INDIRECT(ADDRESS(1135,15))-INDIRECT(ADDRESS(1136,15))</f>
        <v>0</v>
      </c>
      <c r="P1137">
        <f>INDIRECT(ADDRESS(1137,15))+INDIRECT(ADDRESS(1135,16))-INDIRECT(ADDRESS(1136,16))</f>
        <v>0</v>
      </c>
      <c r="Q1137">
        <f>INDIRECT(ADDRESS(1137,16))+INDIRECT(ADDRESS(1135,17))-INDIRECT(ADDRESS(1136,17))</f>
        <v>0</v>
      </c>
      <c r="R1137">
        <f>INDIRECT(ADDRESS(1137,17))+INDIRECT(ADDRESS(1135,18))-INDIRECT(ADDRESS(1136,18))</f>
        <v>0</v>
      </c>
      <c r="S1137">
        <f>INDIRECT(ADDRESS(1137,18))+INDIRECT(ADDRESS(1135,19))-INDIRECT(ADDRESS(1136,19))</f>
        <v>0</v>
      </c>
      <c r="T1137">
        <f>INDIRECT(ADDRESS(1137,19))+INDIRECT(ADDRESS(1135,20))-INDIRECT(ADDRESS(1136,20))</f>
        <v>0</v>
      </c>
      <c r="U1137">
        <f>INDIRECT(ADDRESS(1137,20))+INDIRECT(ADDRESS(1135,21))-INDIRECT(ADDRESS(1136,21))</f>
        <v>0</v>
      </c>
      <c r="V1137">
        <f>INDIRECT(ADDRESS(1137,21))+INDIRECT(ADDRESS(1135,22))-INDIRECT(ADDRESS(1136,22))</f>
        <v>0</v>
      </c>
      <c r="W1137">
        <f>INDIRECT(ADDRESS(1137,22))+INDIRECT(ADDRESS(1135,23))-INDIRECT(ADDRESS(1136,23))</f>
        <v>0</v>
      </c>
      <c r="X1137">
        <f>INDIRECT(ADDRESS(1137,23))+INDIRECT(ADDRESS(1135,24))-INDIRECT(ADDRESS(1136,24))</f>
        <v>0</v>
      </c>
      <c r="Y1137">
        <f>INDIRECT(ADDRESS(1137,24))+INDIRECT(ADDRESS(1135,25))-INDIRECT(ADDRESS(1136,25))</f>
        <v>0</v>
      </c>
      <c r="Z1137">
        <f>INDIRECT(ADDRESS(1137,25))+INDIRECT(ADDRESS(1135,26))-INDIRECT(ADDRESS(1136,26))</f>
        <v>0</v>
      </c>
      <c r="AA1137">
        <f>INDIRECT(ADDRESS(1137,26))+INDIRECT(ADDRESS(1135,27))-INDIRECT(ADDRESS(1136,27))</f>
        <v>0</v>
      </c>
      <c r="AB1137">
        <f>INDIRECT(ADDRESS(1137,27))+INDIRECT(ADDRESS(1135,28))-INDIRECT(ADDRESS(1136,28))</f>
        <v>0</v>
      </c>
      <c r="AC1137">
        <f>INDIRECT(ADDRESS(1137,28))+INDIRECT(ADDRESS(1135,29))-INDIRECT(ADDRESS(1136,29))</f>
        <v>0</v>
      </c>
      <c r="AD1137">
        <f>INDIRECT(ADDRESS(1137,29))+INDIRECT(ADDRESS(1135,30))-INDIRECT(ADDRESS(1136,30))</f>
        <v>0</v>
      </c>
      <c r="AE1137">
        <f>INDIRECT(ADDRESS(1137,30))+INDIRECT(ADDRESS(1135,31))-INDIRECT(ADDRESS(1136,31))</f>
        <v>0</v>
      </c>
      <c r="AF1137">
        <f>INDIRECT(ADDRESS(1137,31))+INDIRECT(ADDRESS(1135,32))-INDIRECT(ADDRESS(1136,32))</f>
        <v>0</v>
      </c>
      <c r="AG1137">
        <f>INDIRECT(ADDRESS(1137,32))+INDIRECT(ADDRESS(1135,33))-INDIRECT(ADDRESS(1136,33))</f>
        <v>0</v>
      </c>
      <c r="AH1137">
        <f>INDIRECT(ADDRESS(1137,33))+INDIRECT(ADDRESS(1135,34))-INDIRECT(ADDRESS(1136,34))</f>
        <v>0</v>
      </c>
      <c r="AI1137">
        <f>INDIRECT(ADDRESS(1137,34))+INDIRECT(ADDRESS(1135,35))-INDIRECT(ADDRESS(1136,35))</f>
        <v>0</v>
      </c>
      <c r="AJ1137">
        <f>INDIRECT(ADDRESS(1137,35))+INDIRECT(ADDRESS(1135,36))-INDIRECT(ADDRESS(1136,36))</f>
        <v>0</v>
      </c>
      <c r="AK1137">
        <f>INDIRECT(ADDRESS(1137,36))+INDIRECT(ADDRESS(1135,37))-INDIRECT(ADDRESS(1136,37))</f>
        <v>0</v>
      </c>
      <c r="AL1137">
        <f>INDIRECT(ADDRESS(1137,37))+INDIRECT(ADDRESS(1135,38))-INDIRECT(ADDRESS(1136,38))</f>
        <v>0</v>
      </c>
      <c r="AM1137">
        <f>INDIRECT(ADDRESS(1137,38))+INDIRECT(ADDRESS(1135,39))-INDIRECT(ADDRESS(1136,39))</f>
        <v>0</v>
      </c>
      <c r="AN1137">
        <f>INDIRECT(ADDRESS(1137,39))+INDIRECT(ADDRESS(1135,40))-INDIRECT(ADDRESS(1136,40))</f>
        <v>0</v>
      </c>
      <c r="AO1137">
        <f>SUM(INDIRECT(ADDRESS(1136,8)):INDIRECT(ADDRESS(1136,39)))</f>
        <v>0</v>
      </c>
    </row>
    <row r="1138" spans="1:41">
      <c r="A1138" t="s">
        <v>180</v>
      </c>
      <c r="B1138" t="s">
        <v>572</v>
      </c>
      <c r="C1138" t="s">
        <v>573</v>
      </c>
      <c r="E1138">
        <v>1</v>
      </c>
      <c r="I1138" t="s">
        <v>177</v>
      </c>
    </row>
    <row r="1139" spans="1:41">
      <c r="I1139" t="s">
        <v>178</v>
      </c>
      <c r="J1139">
        <f>IFERROR(VLOOKUP("906-286000-110",B:AB,1+8,0),0)</f>
        <v>0</v>
      </c>
      <c r="K1139">
        <f>IFERROR(VLOOKUP("906-286000-110",B:AB,2+8,0),0)</f>
        <v>0</v>
      </c>
      <c r="L1139">
        <f>IFERROR(VLOOKUP("906-286000-110",B:AB,3+8,0),0)</f>
        <v>0</v>
      </c>
      <c r="M1139">
        <f>IFERROR(VLOOKUP("906-286000-110",B:AB,4+8,0),0)</f>
        <v>0</v>
      </c>
      <c r="N1139">
        <f>IFERROR(VLOOKUP("906-286000-110",B:AB,5+8,0),0)</f>
        <v>0</v>
      </c>
      <c r="O1139">
        <f>IFERROR(VLOOKUP("906-286000-110",B:AB,6+8,0),0)</f>
        <v>0</v>
      </c>
      <c r="P1139">
        <f>IFERROR(VLOOKUP("906-286000-110",B:AB,7+8,0),0)</f>
        <v>0</v>
      </c>
      <c r="Q1139">
        <f>IFERROR(VLOOKUP("906-286000-110",B:AB,8+8,0),0)</f>
        <v>0</v>
      </c>
      <c r="R1139">
        <f>IFERROR(VLOOKUP("906-286000-110",B:AB,9+8,0),0)</f>
        <v>0</v>
      </c>
      <c r="S1139">
        <f>IFERROR(VLOOKUP("906-286000-110",B:AB,10+8,0),0)</f>
        <v>0</v>
      </c>
      <c r="T1139">
        <f>IFERROR(VLOOKUP("906-286000-110",B:AB,11+8,0),0)</f>
        <v>0</v>
      </c>
      <c r="U1139">
        <f>IFERROR(VLOOKUP("906-286000-110",B:AB,12+8,0),0)</f>
        <v>0</v>
      </c>
      <c r="V1139">
        <f>IFERROR(VLOOKUP("906-286000-110",B:AB,13+8,0),0)</f>
        <v>0</v>
      </c>
      <c r="W1139">
        <f>IFERROR(VLOOKUP("906-286000-110",B:AB,14+8,0),0)</f>
        <v>0</v>
      </c>
      <c r="X1139">
        <f>IFERROR(VLOOKUP("906-286000-110",B:AB,15+8,0),0)</f>
        <v>0</v>
      </c>
      <c r="Y1139">
        <f>IFERROR(VLOOKUP("906-286000-110",B:AB,16+8,0),0)</f>
        <v>0</v>
      </c>
      <c r="Z1139">
        <f>IFERROR(VLOOKUP("906-286000-110",B:AB,17+8,0),0)</f>
        <v>0</v>
      </c>
      <c r="AA1139">
        <f>IFERROR(VLOOKUP("906-286000-110",B:AB,18+8,0),0)</f>
        <v>0</v>
      </c>
      <c r="AB1139">
        <f>IFERROR(VLOOKUP("906-286000-110",B:AB,19+8,0),0)</f>
        <v>0</v>
      </c>
      <c r="AC1139">
        <f>IFERROR(VLOOKUP("906-286000-110",B:AB,20+8,0),0)</f>
        <v>0</v>
      </c>
      <c r="AD1139">
        <f>IFERROR(VLOOKUP("906-286000-110",B:AB,21+8,0),0)</f>
        <v>0</v>
      </c>
      <c r="AE1139">
        <f>IFERROR(VLOOKUP("906-286000-110",B:AB,22+8,0),0)</f>
        <v>0</v>
      </c>
      <c r="AF1139">
        <f>IFERROR(VLOOKUP("906-286000-110",B:AB,23+8,0),0)</f>
        <v>0</v>
      </c>
      <c r="AG1139">
        <f>IFERROR(VLOOKUP("906-286000-110",B:AB,24+8,0),0)</f>
        <v>0</v>
      </c>
      <c r="AH1139">
        <f>IFERROR(VLOOKUP("906-286000-110",B:AB,25+8,0),0)</f>
        <v>0</v>
      </c>
      <c r="AI1139">
        <f>IFERROR(VLOOKUP("906-286000-110",B:AB,26+8,0),0)</f>
        <v>0</v>
      </c>
      <c r="AJ1139">
        <f>IFERROR(VLOOKUP("906-286000-110",B:AB,27+8,0),0)</f>
        <v>0</v>
      </c>
      <c r="AK1139">
        <f>IFERROR(VLOOKUP("906-286000-110",B:AB,28+8,0),0)</f>
        <v>0</v>
      </c>
      <c r="AL1139">
        <f>IFERROR(VLOOKUP("906-286000-110",B:AB,29+8,0),0)</f>
        <v>0</v>
      </c>
      <c r="AM1139">
        <f>IFERROR(VLOOKUP("906-286000-110",B:AB,30+8,0),0)</f>
        <v>0</v>
      </c>
      <c r="AN1139">
        <f>IFERROR(VLOOKUP("906-286000-110",B:AB,31+8,0),0)</f>
        <v>0</v>
      </c>
      <c r="AO1139">
        <f>SUN(INDIRECT(ADDRESS(1138,8)):INDIRECT(ADDRESS(1138,39)))</f>
        <v>0</v>
      </c>
    </row>
    <row r="1140" spans="1:41">
      <c r="H1140" t="s">
        <v>179</v>
      </c>
      <c r="J1140">
        <f>INDIRECT(ADDRESS(1140,9))+INDIRECT(ADDRESS(1138,10))-INDIRECT(ADDRESS(1139,10))</f>
        <v>0</v>
      </c>
      <c r="K1140">
        <f>INDIRECT(ADDRESS(1140,10))+INDIRECT(ADDRESS(1138,11))-INDIRECT(ADDRESS(1139,11))</f>
        <v>0</v>
      </c>
      <c r="L1140">
        <f>INDIRECT(ADDRESS(1140,11))+INDIRECT(ADDRESS(1138,12))-INDIRECT(ADDRESS(1139,12))</f>
        <v>0</v>
      </c>
      <c r="M1140">
        <f>INDIRECT(ADDRESS(1140,12))+INDIRECT(ADDRESS(1138,13))-INDIRECT(ADDRESS(1139,13))</f>
        <v>0</v>
      </c>
      <c r="N1140">
        <f>INDIRECT(ADDRESS(1140,13))+INDIRECT(ADDRESS(1138,14))-INDIRECT(ADDRESS(1139,14))</f>
        <v>0</v>
      </c>
      <c r="O1140">
        <f>INDIRECT(ADDRESS(1140,14))+INDIRECT(ADDRESS(1138,15))-INDIRECT(ADDRESS(1139,15))</f>
        <v>0</v>
      </c>
      <c r="P1140">
        <f>INDIRECT(ADDRESS(1140,15))+INDIRECT(ADDRESS(1138,16))-INDIRECT(ADDRESS(1139,16))</f>
        <v>0</v>
      </c>
      <c r="Q1140">
        <f>INDIRECT(ADDRESS(1140,16))+INDIRECT(ADDRESS(1138,17))-INDIRECT(ADDRESS(1139,17))</f>
        <v>0</v>
      </c>
      <c r="R1140">
        <f>INDIRECT(ADDRESS(1140,17))+INDIRECT(ADDRESS(1138,18))-INDIRECT(ADDRESS(1139,18))</f>
        <v>0</v>
      </c>
      <c r="S1140">
        <f>INDIRECT(ADDRESS(1140,18))+INDIRECT(ADDRESS(1138,19))-INDIRECT(ADDRESS(1139,19))</f>
        <v>0</v>
      </c>
      <c r="T1140">
        <f>INDIRECT(ADDRESS(1140,19))+INDIRECT(ADDRESS(1138,20))-INDIRECT(ADDRESS(1139,20))</f>
        <v>0</v>
      </c>
      <c r="U1140">
        <f>INDIRECT(ADDRESS(1140,20))+INDIRECT(ADDRESS(1138,21))-INDIRECT(ADDRESS(1139,21))</f>
        <v>0</v>
      </c>
      <c r="V1140">
        <f>INDIRECT(ADDRESS(1140,21))+INDIRECT(ADDRESS(1138,22))-INDIRECT(ADDRESS(1139,22))</f>
        <v>0</v>
      </c>
      <c r="W1140">
        <f>INDIRECT(ADDRESS(1140,22))+INDIRECT(ADDRESS(1138,23))-INDIRECT(ADDRESS(1139,23))</f>
        <v>0</v>
      </c>
      <c r="X1140">
        <f>INDIRECT(ADDRESS(1140,23))+INDIRECT(ADDRESS(1138,24))-INDIRECT(ADDRESS(1139,24))</f>
        <v>0</v>
      </c>
      <c r="Y1140">
        <f>INDIRECT(ADDRESS(1140,24))+INDIRECT(ADDRESS(1138,25))-INDIRECT(ADDRESS(1139,25))</f>
        <v>0</v>
      </c>
      <c r="Z1140">
        <f>INDIRECT(ADDRESS(1140,25))+INDIRECT(ADDRESS(1138,26))-INDIRECT(ADDRESS(1139,26))</f>
        <v>0</v>
      </c>
      <c r="AA1140">
        <f>INDIRECT(ADDRESS(1140,26))+INDIRECT(ADDRESS(1138,27))-INDIRECT(ADDRESS(1139,27))</f>
        <v>0</v>
      </c>
      <c r="AB1140">
        <f>INDIRECT(ADDRESS(1140,27))+INDIRECT(ADDRESS(1138,28))-INDIRECT(ADDRESS(1139,28))</f>
        <v>0</v>
      </c>
      <c r="AC1140">
        <f>INDIRECT(ADDRESS(1140,28))+INDIRECT(ADDRESS(1138,29))-INDIRECT(ADDRESS(1139,29))</f>
        <v>0</v>
      </c>
      <c r="AD1140">
        <f>INDIRECT(ADDRESS(1140,29))+INDIRECT(ADDRESS(1138,30))-INDIRECT(ADDRESS(1139,30))</f>
        <v>0</v>
      </c>
      <c r="AE1140">
        <f>INDIRECT(ADDRESS(1140,30))+INDIRECT(ADDRESS(1138,31))-INDIRECT(ADDRESS(1139,31))</f>
        <v>0</v>
      </c>
      <c r="AF1140">
        <f>INDIRECT(ADDRESS(1140,31))+INDIRECT(ADDRESS(1138,32))-INDIRECT(ADDRESS(1139,32))</f>
        <v>0</v>
      </c>
      <c r="AG1140">
        <f>INDIRECT(ADDRESS(1140,32))+INDIRECT(ADDRESS(1138,33))-INDIRECT(ADDRESS(1139,33))</f>
        <v>0</v>
      </c>
      <c r="AH1140">
        <f>INDIRECT(ADDRESS(1140,33))+INDIRECT(ADDRESS(1138,34))-INDIRECT(ADDRESS(1139,34))</f>
        <v>0</v>
      </c>
      <c r="AI1140">
        <f>INDIRECT(ADDRESS(1140,34))+INDIRECT(ADDRESS(1138,35))-INDIRECT(ADDRESS(1139,35))</f>
        <v>0</v>
      </c>
      <c r="AJ1140">
        <f>INDIRECT(ADDRESS(1140,35))+INDIRECT(ADDRESS(1138,36))-INDIRECT(ADDRESS(1139,36))</f>
        <v>0</v>
      </c>
      <c r="AK1140">
        <f>INDIRECT(ADDRESS(1140,36))+INDIRECT(ADDRESS(1138,37))-INDIRECT(ADDRESS(1139,37))</f>
        <v>0</v>
      </c>
      <c r="AL1140">
        <f>INDIRECT(ADDRESS(1140,37))+INDIRECT(ADDRESS(1138,38))-INDIRECT(ADDRESS(1139,38))</f>
        <v>0</v>
      </c>
      <c r="AM1140">
        <f>INDIRECT(ADDRESS(1140,38))+INDIRECT(ADDRESS(1138,39))-INDIRECT(ADDRESS(1139,39))</f>
        <v>0</v>
      </c>
      <c r="AN1140">
        <f>INDIRECT(ADDRESS(1140,39))+INDIRECT(ADDRESS(1138,40))-INDIRECT(ADDRESS(1139,40))</f>
        <v>0</v>
      </c>
      <c r="AO1140">
        <f>SUM(INDIRECT(ADDRESS(1139,8)):INDIRECT(ADDRESS(1139,39)))</f>
        <v>0</v>
      </c>
    </row>
    <row r="1141" spans="1:41">
      <c r="A1141" t="s">
        <v>185</v>
      </c>
      <c r="B1141" t="s">
        <v>574</v>
      </c>
      <c r="C1141" t="s">
        <v>575</v>
      </c>
      <c r="E1141">
        <v>1</v>
      </c>
      <c r="I1141" t="s">
        <v>177</v>
      </c>
    </row>
    <row r="1142" spans="1:41">
      <c r="I1142" t="s">
        <v>178</v>
      </c>
      <c r="J1142">
        <f>IFERROR(VLOOKUP("906-286000-110",B:AB,1+8,0),0)</f>
        <v>0</v>
      </c>
      <c r="K1142">
        <f>IFERROR(VLOOKUP("906-286000-110",B:AB,2+8,0),0)</f>
        <v>0</v>
      </c>
      <c r="L1142">
        <f>IFERROR(VLOOKUP("906-286000-110",B:AB,3+8,0),0)</f>
        <v>0</v>
      </c>
      <c r="M1142">
        <f>IFERROR(VLOOKUP("906-286000-110",B:AB,4+8,0),0)</f>
        <v>0</v>
      </c>
      <c r="N1142">
        <f>IFERROR(VLOOKUP("906-286000-110",B:AB,5+8,0),0)</f>
        <v>0</v>
      </c>
      <c r="O1142">
        <f>IFERROR(VLOOKUP("906-286000-110",B:AB,6+8,0),0)</f>
        <v>0</v>
      </c>
      <c r="P1142">
        <f>IFERROR(VLOOKUP("906-286000-110",B:AB,7+8,0),0)</f>
        <v>0</v>
      </c>
      <c r="Q1142">
        <f>IFERROR(VLOOKUP("906-286000-110",B:AB,8+8,0),0)</f>
        <v>0</v>
      </c>
      <c r="R1142">
        <f>IFERROR(VLOOKUP("906-286000-110",B:AB,9+8,0),0)</f>
        <v>0</v>
      </c>
      <c r="S1142">
        <f>IFERROR(VLOOKUP("906-286000-110",B:AB,10+8,0),0)</f>
        <v>0</v>
      </c>
      <c r="T1142">
        <f>IFERROR(VLOOKUP("906-286000-110",B:AB,11+8,0),0)</f>
        <v>0</v>
      </c>
      <c r="U1142">
        <f>IFERROR(VLOOKUP("906-286000-110",B:AB,12+8,0),0)</f>
        <v>0</v>
      </c>
      <c r="V1142">
        <f>IFERROR(VLOOKUP("906-286000-110",B:AB,13+8,0),0)</f>
        <v>0</v>
      </c>
      <c r="W1142">
        <f>IFERROR(VLOOKUP("906-286000-110",B:AB,14+8,0),0)</f>
        <v>0</v>
      </c>
      <c r="X1142">
        <f>IFERROR(VLOOKUP("906-286000-110",B:AB,15+8,0),0)</f>
        <v>0</v>
      </c>
      <c r="Y1142">
        <f>IFERROR(VLOOKUP("906-286000-110",B:AB,16+8,0),0)</f>
        <v>0</v>
      </c>
      <c r="Z1142">
        <f>IFERROR(VLOOKUP("906-286000-110",B:AB,17+8,0),0)</f>
        <v>0</v>
      </c>
      <c r="AA1142">
        <f>IFERROR(VLOOKUP("906-286000-110",B:AB,18+8,0),0)</f>
        <v>0</v>
      </c>
      <c r="AB1142">
        <f>IFERROR(VLOOKUP("906-286000-110",B:AB,19+8,0),0)</f>
        <v>0</v>
      </c>
      <c r="AC1142">
        <f>IFERROR(VLOOKUP("906-286000-110",B:AB,20+8,0),0)</f>
        <v>0</v>
      </c>
      <c r="AD1142">
        <f>IFERROR(VLOOKUP("906-286000-110",B:AB,21+8,0),0)</f>
        <v>0</v>
      </c>
      <c r="AE1142">
        <f>IFERROR(VLOOKUP("906-286000-110",B:AB,22+8,0),0)</f>
        <v>0</v>
      </c>
      <c r="AF1142">
        <f>IFERROR(VLOOKUP("906-286000-110",B:AB,23+8,0),0)</f>
        <v>0</v>
      </c>
      <c r="AG1142">
        <f>IFERROR(VLOOKUP("906-286000-110",B:AB,24+8,0),0)</f>
        <v>0</v>
      </c>
      <c r="AH1142">
        <f>IFERROR(VLOOKUP("906-286000-110",B:AB,25+8,0),0)</f>
        <v>0</v>
      </c>
      <c r="AI1142">
        <f>IFERROR(VLOOKUP("906-286000-110",B:AB,26+8,0),0)</f>
        <v>0</v>
      </c>
      <c r="AJ1142">
        <f>IFERROR(VLOOKUP("906-286000-110",B:AB,27+8,0),0)</f>
        <v>0</v>
      </c>
      <c r="AK1142">
        <f>IFERROR(VLOOKUP("906-286000-110",B:AB,28+8,0),0)</f>
        <v>0</v>
      </c>
      <c r="AL1142">
        <f>IFERROR(VLOOKUP("906-286000-110",B:AB,29+8,0),0)</f>
        <v>0</v>
      </c>
      <c r="AM1142">
        <f>IFERROR(VLOOKUP("906-286000-110",B:AB,30+8,0),0)</f>
        <v>0</v>
      </c>
      <c r="AN1142">
        <f>IFERROR(VLOOKUP("906-286000-110",B:AB,31+8,0),0)</f>
        <v>0</v>
      </c>
      <c r="AO1142">
        <f>SUN(INDIRECT(ADDRESS(1141,8)):INDIRECT(ADDRESS(1141,39)))</f>
        <v>0</v>
      </c>
    </row>
    <row r="1143" spans="1:41">
      <c r="H1143" t="s">
        <v>179</v>
      </c>
      <c r="J1143">
        <f>INDIRECT(ADDRESS(1143,9))+INDIRECT(ADDRESS(1141,10))-INDIRECT(ADDRESS(1142,10))</f>
        <v>0</v>
      </c>
      <c r="K1143">
        <f>INDIRECT(ADDRESS(1143,10))+INDIRECT(ADDRESS(1141,11))-INDIRECT(ADDRESS(1142,11))</f>
        <v>0</v>
      </c>
      <c r="L1143">
        <f>INDIRECT(ADDRESS(1143,11))+INDIRECT(ADDRESS(1141,12))-INDIRECT(ADDRESS(1142,12))</f>
        <v>0</v>
      </c>
      <c r="M1143">
        <f>INDIRECT(ADDRESS(1143,12))+INDIRECT(ADDRESS(1141,13))-INDIRECT(ADDRESS(1142,13))</f>
        <v>0</v>
      </c>
      <c r="N1143">
        <f>INDIRECT(ADDRESS(1143,13))+INDIRECT(ADDRESS(1141,14))-INDIRECT(ADDRESS(1142,14))</f>
        <v>0</v>
      </c>
      <c r="O1143">
        <f>INDIRECT(ADDRESS(1143,14))+INDIRECT(ADDRESS(1141,15))-INDIRECT(ADDRESS(1142,15))</f>
        <v>0</v>
      </c>
      <c r="P1143">
        <f>INDIRECT(ADDRESS(1143,15))+INDIRECT(ADDRESS(1141,16))-INDIRECT(ADDRESS(1142,16))</f>
        <v>0</v>
      </c>
      <c r="Q1143">
        <f>INDIRECT(ADDRESS(1143,16))+INDIRECT(ADDRESS(1141,17))-INDIRECT(ADDRESS(1142,17))</f>
        <v>0</v>
      </c>
      <c r="R1143">
        <f>INDIRECT(ADDRESS(1143,17))+INDIRECT(ADDRESS(1141,18))-INDIRECT(ADDRESS(1142,18))</f>
        <v>0</v>
      </c>
      <c r="S1143">
        <f>INDIRECT(ADDRESS(1143,18))+INDIRECT(ADDRESS(1141,19))-INDIRECT(ADDRESS(1142,19))</f>
        <v>0</v>
      </c>
      <c r="T1143">
        <f>INDIRECT(ADDRESS(1143,19))+INDIRECT(ADDRESS(1141,20))-INDIRECT(ADDRESS(1142,20))</f>
        <v>0</v>
      </c>
      <c r="U1143">
        <f>INDIRECT(ADDRESS(1143,20))+INDIRECT(ADDRESS(1141,21))-INDIRECT(ADDRESS(1142,21))</f>
        <v>0</v>
      </c>
      <c r="V1143">
        <f>INDIRECT(ADDRESS(1143,21))+INDIRECT(ADDRESS(1141,22))-INDIRECT(ADDRESS(1142,22))</f>
        <v>0</v>
      </c>
      <c r="W1143">
        <f>INDIRECT(ADDRESS(1143,22))+INDIRECT(ADDRESS(1141,23))-INDIRECT(ADDRESS(1142,23))</f>
        <v>0</v>
      </c>
      <c r="X1143">
        <f>INDIRECT(ADDRESS(1143,23))+INDIRECT(ADDRESS(1141,24))-INDIRECT(ADDRESS(1142,24))</f>
        <v>0</v>
      </c>
      <c r="Y1143">
        <f>INDIRECT(ADDRESS(1143,24))+INDIRECT(ADDRESS(1141,25))-INDIRECT(ADDRESS(1142,25))</f>
        <v>0</v>
      </c>
      <c r="Z1143">
        <f>INDIRECT(ADDRESS(1143,25))+INDIRECT(ADDRESS(1141,26))-INDIRECT(ADDRESS(1142,26))</f>
        <v>0</v>
      </c>
      <c r="AA1143">
        <f>INDIRECT(ADDRESS(1143,26))+INDIRECT(ADDRESS(1141,27))-INDIRECT(ADDRESS(1142,27))</f>
        <v>0</v>
      </c>
      <c r="AB1143">
        <f>INDIRECT(ADDRESS(1143,27))+INDIRECT(ADDRESS(1141,28))-INDIRECT(ADDRESS(1142,28))</f>
        <v>0</v>
      </c>
      <c r="AC1143">
        <f>INDIRECT(ADDRESS(1143,28))+INDIRECT(ADDRESS(1141,29))-INDIRECT(ADDRESS(1142,29))</f>
        <v>0</v>
      </c>
      <c r="AD1143">
        <f>INDIRECT(ADDRESS(1143,29))+INDIRECT(ADDRESS(1141,30))-INDIRECT(ADDRESS(1142,30))</f>
        <v>0</v>
      </c>
      <c r="AE1143">
        <f>INDIRECT(ADDRESS(1143,30))+INDIRECT(ADDRESS(1141,31))-INDIRECT(ADDRESS(1142,31))</f>
        <v>0</v>
      </c>
      <c r="AF1143">
        <f>INDIRECT(ADDRESS(1143,31))+INDIRECT(ADDRESS(1141,32))-INDIRECT(ADDRESS(1142,32))</f>
        <v>0</v>
      </c>
      <c r="AG1143">
        <f>INDIRECT(ADDRESS(1143,32))+INDIRECT(ADDRESS(1141,33))-INDIRECT(ADDRESS(1142,33))</f>
        <v>0</v>
      </c>
      <c r="AH1143">
        <f>INDIRECT(ADDRESS(1143,33))+INDIRECT(ADDRESS(1141,34))-INDIRECT(ADDRESS(1142,34))</f>
        <v>0</v>
      </c>
      <c r="AI1143">
        <f>INDIRECT(ADDRESS(1143,34))+INDIRECT(ADDRESS(1141,35))-INDIRECT(ADDRESS(1142,35))</f>
        <v>0</v>
      </c>
      <c r="AJ1143">
        <f>INDIRECT(ADDRESS(1143,35))+INDIRECT(ADDRESS(1141,36))-INDIRECT(ADDRESS(1142,36))</f>
        <v>0</v>
      </c>
      <c r="AK1143">
        <f>INDIRECT(ADDRESS(1143,36))+INDIRECT(ADDRESS(1141,37))-INDIRECT(ADDRESS(1142,37))</f>
        <v>0</v>
      </c>
      <c r="AL1143">
        <f>INDIRECT(ADDRESS(1143,37))+INDIRECT(ADDRESS(1141,38))-INDIRECT(ADDRESS(1142,38))</f>
        <v>0</v>
      </c>
      <c r="AM1143">
        <f>INDIRECT(ADDRESS(1143,38))+INDIRECT(ADDRESS(1141,39))-INDIRECT(ADDRESS(1142,39))</f>
        <v>0</v>
      </c>
      <c r="AN1143">
        <f>INDIRECT(ADDRESS(1143,39))+INDIRECT(ADDRESS(1141,40))-INDIRECT(ADDRESS(1142,40))</f>
        <v>0</v>
      </c>
      <c r="AO1143">
        <f>SUM(INDIRECT(ADDRESS(1142,8)):INDIRECT(ADDRESS(1142,39)))</f>
        <v>0</v>
      </c>
    </row>
    <row r="1144" spans="1:41">
      <c r="A1144" t="s">
        <v>185</v>
      </c>
      <c r="B1144" t="s">
        <v>576</v>
      </c>
      <c r="C1144" t="s">
        <v>577</v>
      </c>
      <c r="E1144">
        <v>1</v>
      </c>
      <c r="I1144" t="s">
        <v>177</v>
      </c>
    </row>
    <row r="1145" spans="1:41">
      <c r="I1145" t="s">
        <v>178</v>
      </c>
      <c r="J1145">
        <f>IFERROR(VLOOKUP("906-286000-110",B:AB,1+8,0),0)</f>
        <v>0</v>
      </c>
      <c r="K1145">
        <f>IFERROR(VLOOKUP("906-286000-110",B:AB,2+8,0),0)</f>
        <v>0</v>
      </c>
      <c r="L1145">
        <f>IFERROR(VLOOKUP("906-286000-110",B:AB,3+8,0),0)</f>
        <v>0</v>
      </c>
      <c r="M1145">
        <f>IFERROR(VLOOKUP("906-286000-110",B:AB,4+8,0),0)</f>
        <v>0</v>
      </c>
      <c r="N1145">
        <f>IFERROR(VLOOKUP("906-286000-110",B:AB,5+8,0),0)</f>
        <v>0</v>
      </c>
      <c r="O1145">
        <f>IFERROR(VLOOKUP("906-286000-110",B:AB,6+8,0),0)</f>
        <v>0</v>
      </c>
      <c r="P1145">
        <f>IFERROR(VLOOKUP("906-286000-110",B:AB,7+8,0),0)</f>
        <v>0</v>
      </c>
      <c r="Q1145">
        <f>IFERROR(VLOOKUP("906-286000-110",B:AB,8+8,0),0)</f>
        <v>0</v>
      </c>
      <c r="R1145">
        <f>IFERROR(VLOOKUP("906-286000-110",B:AB,9+8,0),0)</f>
        <v>0</v>
      </c>
      <c r="S1145">
        <f>IFERROR(VLOOKUP("906-286000-110",B:AB,10+8,0),0)</f>
        <v>0</v>
      </c>
      <c r="T1145">
        <f>IFERROR(VLOOKUP("906-286000-110",B:AB,11+8,0),0)</f>
        <v>0</v>
      </c>
      <c r="U1145">
        <f>IFERROR(VLOOKUP("906-286000-110",B:AB,12+8,0),0)</f>
        <v>0</v>
      </c>
      <c r="V1145">
        <f>IFERROR(VLOOKUP("906-286000-110",B:AB,13+8,0),0)</f>
        <v>0</v>
      </c>
      <c r="W1145">
        <f>IFERROR(VLOOKUP("906-286000-110",B:AB,14+8,0),0)</f>
        <v>0</v>
      </c>
      <c r="X1145">
        <f>IFERROR(VLOOKUP("906-286000-110",B:AB,15+8,0),0)</f>
        <v>0</v>
      </c>
      <c r="Y1145">
        <f>IFERROR(VLOOKUP("906-286000-110",B:AB,16+8,0),0)</f>
        <v>0</v>
      </c>
      <c r="Z1145">
        <f>IFERROR(VLOOKUP("906-286000-110",B:AB,17+8,0),0)</f>
        <v>0</v>
      </c>
      <c r="AA1145">
        <f>IFERROR(VLOOKUP("906-286000-110",B:AB,18+8,0),0)</f>
        <v>0</v>
      </c>
      <c r="AB1145">
        <f>IFERROR(VLOOKUP("906-286000-110",B:AB,19+8,0),0)</f>
        <v>0</v>
      </c>
      <c r="AC1145">
        <f>IFERROR(VLOOKUP("906-286000-110",B:AB,20+8,0),0)</f>
        <v>0</v>
      </c>
      <c r="AD1145">
        <f>IFERROR(VLOOKUP("906-286000-110",B:AB,21+8,0),0)</f>
        <v>0</v>
      </c>
      <c r="AE1145">
        <f>IFERROR(VLOOKUP("906-286000-110",B:AB,22+8,0),0)</f>
        <v>0</v>
      </c>
      <c r="AF1145">
        <f>IFERROR(VLOOKUP("906-286000-110",B:AB,23+8,0),0)</f>
        <v>0</v>
      </c>
      <c r="AG1145">
        <f>IFERROR(VLOOKUP("906-286000-110",B:AB,24+8,0),0)</f>
        <v>0</v>
      </c>
      <c r="AH1145">
        <f>IFERROR(VLOOKUP("906-286000-110",B:AB,25+8,0),0)</f>
        <v>0</v>
      </c>
      <c r="AI1145">
        <f>IFERROR(VLOOKUP("906-286000-110",B:AB,26+8,0),0)</f>
        <v>0</v>
      </c>
      <c r="AJ1145">
        <f>IFERROR(VLOOKUP("906-286000-110",B:AB,27+8,0),0)</f>
        <v>0</v>
      </c>
      <c r="AK1145">
        <f>IFERROR(VLOOKUP("906-286000-110",B:AB,28+8,0),0)</f>
        <v>0</v>
      </c>
      <c r="AL1145">
        <f>IFERROR(VLOOKUP("906-286000-110",B:AB,29+8,0),0)</f>
        <v>0</v>
      </c>
      <c r="AM1145">
        <f>IFERROR(VLOOKUP("906-286000-110",B:AB,30+8,0),0)</f>
        <v>0</v>
      </c>
      <c r="AN1145">
        <f>IFERROR(VLOOKUP("906-286000-110",B:AB,31+8,0),0)</f>
        <v>0</v>
      </c>
      <c r="AO1145">
        <f>SUN(INDIRECT(ADDRESS(1144,8)):INDIRECT(ADDRESS(1144,39)))</f>
        <v>0</v>
      </c>
    </row>
    <row r="1146" spans="1:41">
      <c r="H1146" t="s">
        <v>179</v>
      </c>
      <c r="J1146">
        <f>INDIRECT(ADDRESS(1146,9))+INDIRECT(ADDRESS(1144,10))-INDIRECT(ADDRESS(1145,10))</f>
        <v>0</v>
      </c>
      <c r="K1146">
        <f>INDIRECT(ADDRESS(1146,10))+INDIRECT(ADDRESS(1144,11))-INDIRECT(ADDRESS(1145,11))</f>
        <v>0</v>
      </c>
      <c r="L1146">
        <f>INDIRECT(ADDRESS(1146,11))+INDIRECT(ADDRESS(1144,12))-INDIRECT(ADDRESS(1145,12))</f>
        <v>0</v>
      </c>
      <c r="M1146">
        <f>INDIRECT(ADDRESS(1146,12))+INDIRECT(ADDRESS(1144,13))-INDIRECT(ADDRESS(1145,13))</f>
        <v>0</v>
      </c>
      <c r="N1146">
        <f>INDIRECT(ADDRESS(1146,13))+INDIRECT(ADDRESS(1144,14))-INDIRECT(ADDRESS(1145,14))</f>
        <v>0</v>
      </c>
      <c r="O1146">
        <f>INDIRECT(ADDRESS(1146,14))+INDIRECT(ADDRESS(1144,15))-INDIRECT(ADDRESS(1145,15))</f>
        <v>0</v>
      </c>
      <c r="P1146">
        <f>INDIRECT(ADDRESS(1146,15))+INDIRECT(ADDRESS(1144,16))-INDIRECT(ADDRESS(1145,16))</f>
        <v>0</v>
      </c>
      <c r="Q1146">
        <f>INDIRECT(ADDRESS(1146,16))+INDIRECT(ADDRESS(1144,17))-INDIRECT(ADDRESS(1145,17))</f>
        <v>0</v>
      </c>
      <c r="R1146">
        <f>INDIRECT(ADDRESS(1146,17))+INDIRECT(ADDRESS(1144,18))-INDIRECT(ADDRESS(1145,18))</f>
        <v>0</v>
      </c>
      <c r="S1146">
        <f>INDIRECT(ADDRESS(1146,18))+INDIRECT(ADDRESS(1144,19))-INDIRECT(ADDRESS(1145,19))</f>
        <v>0</v>
      </c>
      <c r="T1146">
        <f>INDIRECT(ADDRESS(1146,19))+INDIRECT(ADDRESS(1144,20))-INDIRECT(ADDRESS(1145,20))</f>
        <v>0</v>
      </c>
      <c r="U1146">
        <f>INDIRECT(ADDRESS(1146,20))+INDIRECT(ADDRESS(1144,21))-INDIRECT(ADDRESS(1145,21))</f>
        <v>0</v>
      </c>
      <c r="V1146">
        <f>INDIRECT(ADDRESS(1146,21))+INDIRECT(ADDRESS(1144,22))-INDIRECT(ADDRESS(1145,22))</f>
        <v>0</v>
      </c>
      <c r="W1146">
        <f>INDIRECT(ADDRESS(1146,22))+INDIRECT(ADDRESS(1144,23))-INDIRECT(ADDRESS(1145,23))</f>
        <v>0</v>
      </c>
      <c r="X1146">
        <f>INDIRECT(ADDRESS(1146,23))+INDIRECT(ADDRESS(1144,24))-INDIRECT(ADDRESS(1145,24))</f>
        <v>0</v>
      </c>
      <c r="Y1146">
        <f>INDIRECT(ADDRESS(1146,24))+INDIRECT(ADDRESS(1144,25))-INDIRECT(ADDRESS(1145,25))</f>
        <v>0</v>
      </c>
      <c r="Z1146">
        <f>INDIRECT(ADDRESS(1146,25))+INDIRECT(ADDRESS(1144,26))-INDIRECT(ADDRESS(1145,26))</f>
        <v>0</v>
      </c>
      <c r="AA1146">
        <f>INDIRECT(ADDRESS(1146,26))+INDIRECT(ADDRESS(1144,27))-INDIRECT(ADDRESS(1145,27))</f>
        <v>0</v>
      </c>
      <c r="AB1146">
        <f>INDIRECT(ADDRESS(1146,27))+INDIRECT(ADDRESS(1144,28))-INDIRECT(ADDRESS(1145,28))</f>
        <v>0</v>
      </c>
      <c r="AC1146">
        <f>INDIRECT(ADDRESS(1146,28))+INDIRECT(ADDRESS(1144,29))-INDIRECT(ADDRESS(1145,29))</f>
        <v>0</v>
      </c>
      <c r="AD1146">
        <f>INDIRECT(ADDRESS(1146,29))+INDIRECT(ADDRESS(1144,30))-INDIRECT(ADDRESS(1145,30))</f>
        <v>0</v>
      </c>
      <c r="AE1146">
        <f>INDIRECT(ADDRESS(1146,30))+INDIRECT(ADDRESS(1144,31))-INDIRECT(ADDRESS(1145,31))</f>
        <v>0</v>
      </c>
      <c r="AF1146">
        <f>INDIRECT(ADDRESS(1146,31))+INDIRECT(ADDRESS(1144,32))-INDIRECT(ADDRESS(1145,32))</f>
        <v>0</v>
      </c>
      <c r="AG1146">
        <f>INDIRECT(ADDRESS(1146,32))+INDIRECT(ADDRESS(1144,33))-INDIRECT(ADDRESS(1145,33))</f>
        <v>0</v>
      </c>
      <c r="AH1146">
        <f>INDIRECT(ADDRESS(1146,33))+INDIRECT(ADDRESS(1144,34))-INDIRECT(ADDRESS(1145,34))</f>
        <v>0</v>
      </c>
      <c r="AI1146">
        <f>INDIRECT(ADDRESS(1146,34))+INDIRECT(ADDRESS(1144,35))-INDIRECT(ADDRESS(1145,35))</f>
        <v>0</v>
      </c>
      <c r="AJ1146">
        <f>INDIRECT(ADDRESS(1146,35))+INDIRECT(ADDRESS(1144,36))-INDIRECT(ADDRESS(1145,36))</f>
        <v>0</v>
      </c>
      <c r="AK1146">
        <f>INDIRECT(ADDRESS(1146,36))+INDIRECT(ADDRESS(1144,37))-INDIRECT(ADDRESS(1145,37))</f>
        <v>0</v>
      </c>
      <c r="AL1146">
        <f>INDIRECT(ADDRESS(1146,37))+INDIRECT(ADDRESS(1144,38))-INDIRECT(ADDRESS(1145,38))</f>
        <v>0</v>
      </c>
      <c r="AM1146">
        <f>INDIRECT(ADDRESS(1146,38))+INDIRECT(ADDRESS(1144,39))-INDIRECT(ADDRESS(1145,39))</f>
        <v>0</v>
      </c>
      <c r="AN1146">
        <f>INDIRECT(ADDRESS(1146,39))+INDIRECT(ADDRESS(1144,40))-INDIRECT(ADDRESS(1145,40))</f>
        <v>0</v>
      </c>
      <c r="AO1146">
        <f>SUM(INDIRECT(ADDRESS(1145,8)):INDIRECT(ADDRESS(1145,39)))</f>
        <v>0</v>
      </c>
    </row>
    <row r="1147" spans="1:41">
      <c r="A1147" t="s">
        <v>185</v>
      </c>
      <c r="B1147" t="s">
        <v>578</v>
      </c>
      <c r="C1147" t="s">
        <v>579</v>
      </c>
      <c r="E1147">
        <v>1</v>
      </c>
      <c r="I1147" t="s">
        <v>177</v>
      </c>
    </row>
    <row r="1148" spans="1:41">
      <c r="I1148" t="s">
        <v>178</v>
      </c>
      <c r="J1148">
        <f>IFERROR(VLOOKUP("906-286000-110",B:AB,1+8,0),0)</f>
        <v>0</v>
      </c>
      <c r="K1148">
        <f>IFERROR(VLOOKUP("906-286000-110",B:AB,2+8,0),0)</f>
        <v>0</v>
      </c>
      <c r="L1148">
        <f>IFERROR(VLOOKUP("906-286000-110",B:AB,3+8,0),0)</f>
        <v>0</v>
      </c>
      <c r="M1148">
        <f>IFERROR(VLOOKUP("906-286000-110",B:AB,4+8,0),0)</f>
        <v>0</v>
      </c>
      <c r="N1148">
        <f>IFERROR(VLOOKUP("906-286000-110",B:AB,5+8,0),0)</f>
        <v>0</v>
      </c>
      <c r="O1148">
        <f>IFERROR(VLOOKUP("906-286000-110",B:AB,6+8,0),0)</f>
        <v>0</v>
      </c>
      <c r="P1148">
        <f>IFERROR(VLOOKUP("906-286000-110",B:AB,7+8,0),0)</f>
        <v>0</v>
      </c>
      <c r="Q1148">
        <f>IFERROR(VLOOKUP("906-286000-110",B:AB,8+8,0),0)</f>
        <v>0</v>
      </c>
      <c r="R1148">
        <f>IFERROR(VLOOKUP("906-286000-110",B:AB,9+8,0),0)</f>
        <v>0</v>
      </c>
      <c r="S1148">
        <f>IFERROR(VLOOKUP("906-286000-110",B:AB,10+8,0),0)</f>
        <v>0</v>
      </c>
      <c r="T1148">
        <f>IFERROR(VLOOKUP("906-286000-110",B:AB,11+8,0),0)</f>
        <v>0</v>
      </c>
      <c r="U1148">
        <f>IFERROR(VLOOKUP("906-286000-110",B:AB,12+8,0),0)</f>
        <v>0</v>
      </c>
      <c r="V1148">
        <f>IFERROR(VLOOKUP("906-286000-110",B:AB,13+8,0),0)</f>
        <v>0</v>
      </c>
      <c r="W1148">
        <f>IFERROR(VLOOKUP("906-286000-110",B:AB,14+8,0),0)</f>
        <v>0</v>
      </c>
      <c r="X1148">
        <f>IFERROR(VLOOKUP("906-286000-110",B:AB,15+8,0),0)</f>
        <v>0</v>
      </c>
      <c r="Y1148">
        <f>IFERROR(VLOOKUP("906-286000-110",B:AB,16+8,0),0)</f>
        <v>0</v>
      </c>
      <c r="Z1148">
        <f>IFERROR(VLOOKUP("906-286000-110",B:AB,17+8,0),0)</f>
        <v>0</v>
      </c>
      <c r="AA1148">
        <f>IFERROR(VLOOKUP("906-286000-110",B:AB,18+8,0),0)</f>
        <v>0</v>
      </c>
      <c r="AB1148">
        <f>IFERROR(VLOOKUP("906-286000-110",B:AB,19+8,0),0)</f>
        <v>0</v>
      </c>
      <c r="AC1148">
        <f>IFERROR(VLOOKUP("906-286000-110",B:AB,20+8,0),0)</f>
        <v>0</v>
      </c>
      <c r="AD1148">
        <f>IFERROR(VLOOKUP("906-286000-110",B:AB,21+8,0),0)</f>
        <v>0</v>
      </c>
      <c r="AE1148">
        <f>IFERROR(VLOOKUP("906-286000-110",B:AB,22+8,0),0)</f>
        <v>0</v>
      </c>
      <c r="AF1148">
        <f>IFERROR(VLOOKUP("906-286000-110",B:AB,23+8,0),0)</f>
        <v>0</v>
      </c>
      <c r="AG1148">
        <f>IFERROR(VLOOKUP("906-286000-110",B:AB,24+8,0),0)</f>
        <v>0</v>
      </c>
      <c r="AH1148">
        <f>IFERROR(VLOOKUP("906-286000-110",B:AB,25+8,0),0)</f>
        <v>0</v>
      </c>
      <c r="AI1148">
        <f>IFERROR(VLOOKUP("906-286000-110",B:AB,26+8,0),0)</f>
        <v>0</v>
      </c>
      <c r="AJ1148">
        <f>IFERROR(VLOOKUP("906-286000-110",B:AB,27+8,0),0)</f>
        <v>0</v>
      </c>
      <c r="AK1148">
        <f>IFERROR(VLOOKUP("906-286000-110",B:AB,28+8,0),0)</f>
        <v>0</v>
      </c>
      <c r="AL1148">
        <f>IFERROR(VLOOKUP("906-286000-110",B:AB,29+8,0),0)</f>
        <v>0</v>
      </c>
      <c r="AM1148">
        <f>IFERROR(VLOOKUP("906-286000-110",B:AB,30+8,0),0)</f>
        <v>0</v>
      </c>
      <c r="AN1148">
        <f>IFERROR(VLOOKUP("906-286000-110",B:AB,31+8,0),0)</f>
        <v>0</v>
      </c>
      <c r="AO1148">
        <f>SUN(INDIRECT(ADDRESS(1147,8)):INDIRECT(ADDRESS(1147,39)))</f>
        <v>0</v>
      </c>
    </row>
    <row r="1149" spans="1:41">
      <c r="H1149" t="s">
        <v>179</v>
      </c>
      <c r="J1149">
        <f>INDIRECT(ADDRESS(1149,9))+INDIRECT(ADDRESS(1147,10))-INDIRECT(ADDRESS(1148,10))</f>
        <v>0</v>
      </c>
      <c r="K1149">
        <f>INDIRECT(ADDRESS(1149,10))+INDIRECT(ADDRESS(1147,11))-INDIRECT(ADDRESS(1148,11))</f>
        <v>0</v>
      </c>
      <c r="L1149">
        <f>INDIRECT(ADDRESS(1149,11))+INDIRECT(ADDRESS(1147,12))-INDIRECT(ADDRESS(1148,12))</f>
        <v>0</v>
      </c>
      <c r="M1149">
        <f>INDIRECT(ADDRESS(1149,12))+INDIRECT(ADDRESS(1147,13))-INDIRECT(ADDRESS(1148,13))</f>
        <v>0</v>
      </c>
      <c r="N1149">
        <f>INDIRECT(ADDRESS(1149,13))+INDIRECT(ADDRESS(1147,14))-INDIRECT(ADDRESS(1148,14))</f>
        <v>0</v>
      </c>
      <c r="O1149">
        <f>INDIRECT(ADDRESS(1149,14))+INDIRECT(ADDRESS(1147,15))-INDIRECT(ADDRESS(1148,15))</f>
        <v>0</v>
      </c>
      <c r="P1149">
        <f>INDIRECT(ADDRESS(1149,15))+INDIRECT(ADDRESS(1147,16))-INDIRECT(ADDRESS(1148,16))</f>
        <v>0</v>
      </c>
      <c r="Q1149">
        <f>INDIRECT(ADDRESS(1149,16))+INDIRECT(ADDRESS(1147,17))-INDIRECT(ADDRESS(1148,17))</f>
        <v>0</v>
      </c>
      <c r="R1149">
        <f>INDIRECT(ADDRESS(1149,17))+INDIRECT(ADDRESS(1147,18))-INDIRECT(ADDRESS(1148,18))</f>
        <v>0</v>
      </c>
      <c r="S1149">
        <f>INDIRECT(ADDRESS(1149,18))+INDIRECT(ADDRESS(1147,19))-INDIRECT(ADDRESS(1148,19))</f>
        <v>0</v>
      </c>
      <c r="T1149">
        <f>INDIRECT(ADDRESS(1149,19))+INDIRECT(ADDRESS(1147,20))-INDIRECT(ADDRESS(1148,20))</f>
        <v>0</v>
      </c>
      <c r="U1149">
        <f>INDIRECT(ADDRESS(1149,20))+INDIRECT(ADDRESS(1147,21))-INDIRECT(ADDRESS(1148,21))</f>
        <v>0</v>
      </c>
      <c r="V1149">
        <f>INDIRECT(ADDRESS(1149,21))+INDIRECT(ADDRESS(1147,22))-INDIRECT(ADDRESS(1148,22))</f>
        <v>0</v>
      </c>
      <c r="W1149">
        <f>INDIRECT(ADDRESS(1149,22))+INDIRECT(ADDRESS(1147,23))-INDIRECT(ADDRESS(1148,23))</f>
        <v>0</v>
      </c>
      <c r="X1149">
        <f>INDIRECT(ADDRESS(1149,23))+INDIRECT(ADDRESS(1147,24))-INDIRECT(ADDRESS(1148,24))</f>
        <v>0</v>
      </c>
      <c r="Y1149">
        <f>INDIRECT(ADDRESS(1149,24))+INDIRECT(ADDRESS(1147,25))-INDIRECT(ADDRESS(1148,25))</f>
        <v>0</v>
      </c>
      <c r="Z1149">
        <f>INDIRECT(ADDRESS(1149,25))+INDIRECT(ADDRESS(1147,26))-INDIRECT(ADDRESS(1148,26))</f>
        <v>0</v>
      </c>
      <c r="AA1149">
        <f>INDIRECT(ADDRESS(1149,26))+INDIRECT(ADDRESS(1147,27))-INDIRECT(ADDRESS(1148,27))</f>
        <v>0</v>
      </c>
      <c r="AB1149">
        <f>INDIRECT(ADDRESS(1149,27))+INDIRECT(ADDRESS(1147,28))-INDIRECT(ADDRESS(1148,28))</f>
        <v>0</v>
      </c>
      <c r="AC1149">
        <f>INDIRECT(ADDRESS(1149,28))+INDIRECT(ADDRESS(1147,29))-INDIRECT(ADDRESS(1148,29))</f>
        <v>0</v>
      </c>
      <c r="AD1149">
        <f>INDIRECT(ADDRESS(1149,29))+INDIRECT(ADDRESS(1147,30))-INDIRECT(ADDRESS(1148,30))</f>
        <v>0</v>
      </c>
      <c r="AE1149">
        <f>INDIRECT(ADDRESS(1149,30))+INDIRECT(ADDRESS(1147,31))-INDIRECT(ADDRESS(1148,31))</f>
        <v>0</v>
      </c>
      <c r="AF1149">
        <f>INDIRECT(ADDRESS(1149,31))+INDIRECT(ADDRESS(1147,32))-INDIRECT(ADDRESS(1148,32))</f>
        <v>0</v>
      </c>
      <c r="AG1149">
        <f>INDIRECT(ADDRESS(1149,32))+INDIRECT(ADDRESS(1147,33))-INDIRECT(ADDRESS(1148,33))</f>
        <v>0</v>
      </c>
      <c r="AH1149">
        <f>INDIRECT(ADDRESS(1149,33))+INDIRECT(ADDRESS(1147,34))-INDIRECT(ADDRESS(1148,34))</f>
        <v>0</v>
      </c>
      <c r="AI1149">
        <f>INDIRECT(ADDRESS(1149,34))+INDIRECT(ADDRESS(1147,35))-INDIRECT(ADDRESS(1148,35))</f>
        <v>0</v>
      </c>
      <c r="AJ1149">
        <f>INDIRECT(ADDRESS(1149,35))+INDIRECT(ADDRESS(1147,36))-INDIRECT(ADDRESS(1148,36))</f>
        <v>0</v>
      </c>
      <c r="AK1149">
        <f>INDIRECT(ADDRESS(1149,36))+INDIRECT(ADDRESS(1147,37))-INDIRECT(ADDRESS(1148,37))</f>
        <v>0</v>
      </c>
      <c r="AL1149">
        <f>INDIRECT(ADDRESS(1149,37))+INDIRECT(ADDRESS(1147,38))-INDIRECT(ADDRESS(1148,38))</f>
        <v>0</v>
      </c>
      <c r="AM1149">
        <f>INDIRECT(ADDRESS(1149,38))+INDIRECT(ADDRESS(1147,39))-INDIRECT(ADDRESS(1148,39))</f>
        <v>0</v>
      </c>
      <c r="AN1149">
        <f>INDIRECT(ADDRESS(1149,39))+INDIRECT(ADDRESS(1147,40))-INDIRECT(ADDRESS(1148,40))</f>
        <v>0</v>
      </c>
      <c r="AO1149">
        <f>SUM(INDIRECT(ADDRESS(1148,8)):INDIRECT(ADDRESS(1148,39)))</f>
        <v>0</v>
      </c>
    </row>
    <row r="1150" spans="1:41">
      <c r="A1150" t="s">
        <v>238</v>
      </c>
      <c r="B1150" t="s">
        <v>580</v>
      </c>
      <c r="C1150" t="s">
        <v>581</v>
      </c>
      <c r="E1150">
        <v>0.03125</v>
      </c>
      <c r="I1150" t="s">
        <v>177</v>
      </c>
    </row>
    <row r="1151" spans="1:41">
      <c r="I1151" t="s">
        <v>178</v>
      </c>
      <c r="J1151">
        <f>IFERROR(VLOOKUP("906-286000-110",B:AB,1+8,0),0)</f>
        <v>0</v>
      </c>
      <c r="K1151">
        <f>IFERROR(VLOOKUP("906-286000-110",B:AB,2+8,0),0)</f>
        <v>0</v>
      </c>
      <c r="L1151">
        <f>IFERROR(VLOOKUP("906-286000-110",B:AB,3+8,0),0)</f>
        <v>0</v>
      </c>
      <c r="M1151">
        <f>IFERROR(VLOOKUP("906-286000-110",B:AB,4+8,0),0)</f>
        <v>0</v>
      </c>
      <c r="N1151">
        <f>IFERROR(VLOOKUP("906-286000-110",B:AB,5+8,0),0)</f>
        <v>0</v>
      </c>
      <c r="O1151">
        <f>IFERROR(VLOOKUP("906-286000-110",B:AB,6+8,0),0)</f>
        <v>0</v>
      </c>
      <c r="P1151">
        <f>IFERROR(VLOOKUP("906-286000-110",B:AB,7+8,0),0)</f>
        <v>0</v>
      </c>
      <c r="Q1151">
        <f>IFERROR(VLOOKUP("906-286000-110",B:AB,8+8,0),0)</f>
        <v>0</v>
      </c>
      <c r="R1151">
        <f>IFERROR(VLOOKUP("906-286000-110",B:AB,9+8,0),0)</f>
        <v>0</v>
      </c>
      <c r="S1151">
        <f>IFERROR(VLOOKUP("906-286000-110",B:AB,10+8,0),0)</f>
        <v>0</v>
      </c>
      <c r="T1151">
        <f>IFERROR(VLOOKUP("906-286000-110",B:AB,11+8,0),0)</f>
        <v>0</v>
      </c>
      <c r="U1151">
        <f>IFERROR(VLOOKUP("906-286000-110",B:AB,12+8,0),0)</f>
        <v>0</v>
      </c>
      <c r="V1151">
        <f>IFERROR(VLOOKUP("906-286000-110",B:AB,13+8,0),0)</f>
        <v>0</v>
      </c>
      <c r="W1151">
        <f>IFERROR(VLOOKUP("906-286000-110",B:AB,14+8,0),0)</f>
        <v>0</v>
      </c>
      <c r="X1151">
        <f>IFERROR(VLOOKUP("906-286000-110",B:AB,15+8,0),0)</f>
        <v>0</v>
      </c>
      <c r="Y1151">
        <f>IFERROR(VLOOKUP("906-286000-110",B:AB,16+8,0),0)</f>
        <v>0</v>
      </c>
      <c r="Z1151">
        <f>IFERROR(VLOOKUP("906-286000-110",B:AB,17+8,0),0)</f>
        <v>0</v>
      </c>
      <c r="AA1151">
        <f>IFERROR(VLOOKUP("906-286000-110",B:AB,18+8,0),0)</f>
        <v>0</v>
      </c>
      <c r="AB1151">
        <f>IFERROR(VLOOKUP("906-286000-110",B:AB,19+8,0),0)</f>
        <v>0</v>
      </c>
      <c r="AC1151">
        <f>IFERROR(VLOOKUP("906-286000-110",B:AB,20+8,0),0)</f>
        <v>0</v>
      </c>
      <c r="AD1151">
        <f>IFERROR(VLOOKUP("906-286000-110",B:AB,21+8,0),0)</f>
        <v>0</v>
      </c>
      <c r="AE1151">
        <f>IFERROR(VLOOKUP("906-286000-110",B:AB,22+8,0),0)</f>
        <v>0</v>
      </c>
      <c r="AF1151">
        <f>IFERROR(VLOOKUP("906-286000-110",B:AB,23+8,0),0)</f>
        <v>0</v>
      </c>
      <c r="AG1151">
        <f>IFERROR(VLOOKUP("906-286000-110",B:AB,24+8,0),0)</f>
        <v>0</v>
      </c>
      <c r="AH1151">
        <f>IFERROR(VLOOKUP("906-286000-110",B:AB,25+8,0),0)</f>
        <v>0</v>
      </c>
      <c r="AI1151">
        <f>IFERROR(VLOOKUP("906-286000-110",B:AB,26+8,0),0)</f>
        <v>0</v>
      </c>
      <c r="AJ1151">
        <f>IFERROR(VLOOKUP("906-286000-110",B:AB,27+8,0),0)</f>
        <v>0</v>
      </c>
      <c r="AK1151">
        <f>IFERROR(VLOOKUP("906-286000-110",B:AB,28+8,0),0)</f>
        <v>0</v>
      </c>
      <c r="AL1151">
        <f>IFERROR(VLOOKUP("906-286000-110",B:AB,29+8,0),0)</f>
        <v>0</v>
      </c>
      <c r="AM1151">
        <f>IFERROR(VLOOKUP("906-286000-110",B:AB,30+8,0),0)</f>
        <v>0</v>
      </c>
      <c r="AN1151">
        <f>IFERROR(VLOOKUP("906-286000-110",B:AB,31+8,0),0)</f>
        <v>0</v>
      </c>
      <c r="AO1151">
        <f>SUN(INDIRECT(ADDRESS(1150,8)):INDIRECT(ADDRESS(1150,39)))</f>
        <v>0</v>
      </c>
    </row>
    <row r="1152" spans="1:41">
      <c r="H1152" t="s">
        <v>179</v>
      </c>
      <c r="J1152">
        <f>INDIRECT(ADDRESS(1152,9))+INDIRECT(ADDRESS(1150,10))-INDIRECT(ADDRESS(1151,10))</f>
        <v>0</v>
      </c>
      <c r="K1152">
        <f>INDIRECT(ADDRESS(1152,10))+INDIRECT(ADDRESS(1150,11))-INDIRECT(ADDRESS(1151,11))</f>
        <v>0</v>
      </c>
      <c r="L1152">
        <f>INDIRECT(ADDRESS(1152,11))+INDIRECT(ADDRESS(1150,12))-INDIRECT(ADDRESS(1151,12))</f>
        <v>0</v>
      </c>
      <c r="M1152">
        <f>INDIRECT(ADDRESS(1152,12))+INDIRECT(ADDRESS(1150,13))-INDIRECT(ADDRESS(1151,13))</f>
        <v>0</v>
      </c>
      <c r="N1152">
        <f>INDIRECT(ADDRESS(1152,13))+INDIRECT(ADDRESS(1150,14))-INDIRECT(ADDRESS(1151,14))</f>
        <v>0</v>
      </c>
      <c r="O1152">
        <f>INDIRECT(ADDRESS(1152,14))+INDIRECT(ADDRESS(1150,15))-INDIRECT(ADDRESS(1151,15))</f>
        <v>0</v>
      </c>
      <c r="P1152">
        <f>INDIRECT(ADDRESS(1152,15))+INDIRECT(ADDRESS(1150,16))-INDIRECT(ADDRESS(1151,16))</f>
        <v>0</v>
      </c>
      <c r="Q1152">
        <f>INDIRECT(ADDRESS(1152,16))+INDIRECT(ADDRESS(1150,17))-INDIRECT(ADDRESS(1151,17))</f>
        <v>0</v>
      </c>
      <c r="R1152">
        <f>INDIRECT(ADDRESS(1152,17))+INDIRECT(ADDRESS(1150,18))-INDIRECT(ADDRESS(1151,18))</f>
        <v>0</v>
      </c>
      <c r="S1152">
        <f>INDIRECT(ADDRESS(1152,18))+INDIRECT(ADDRESS(1150,19))-INDIRECT(ADDRESS(1151,19))</f>
        <v>0</v>
      </c>
      <c r="T1152">
        <f>INDIRECT(ADDRESS(1152,19))+INDIRECT(ADDRESS(1150,20))-INDIRECT(ADDRESS(1151,20))</f>
        <v>0</v>
      </c>
      <c r="U1152">
        <f>INDIRECT(ADDRESS(1152,20))+INDIRECT(ADDRESS(1150,21))-INDIRECT(ADDRESS(1151,21))</f>
        <v>0</v>
      </c>
      <c r="V1152">
        <f>INDIRECT(ADDRESS(1152,21))+INDIRECT(ADDRESS(1150,22))-INDIRECT(ADDRESS(1151,22))</f>
        <v>0</v>
      </c>
      <c r="W1152">
        <f>INDIRECT(ADDRESS(1152,22))+INDIRECT(ADDRESS(1150,23))-INDIRECT(ADDRESS(1151,23))</f>
        <v>0</v>
      </c>
      <c r="X1152">
        <f>INDIRECT(ADDRESS(1152,23))+INDIRECT(ADDRESS(1150,24))-INDIRECT(ADDRESS(1151,24))</f>
        <v>0</v>
      </c>
      <c r="Y1152">
        <f>INDIRECT(ADDRESS(1152,24))+INDIRECT(ADDRESS(1150,25))-INDIRECT(ADDRESS(1151,25))</f>
        <v>0</v>
      </c>
      <c r="Z1152">
        <f>INDIRECT(ADDRESS(1152,25))+INDIRECT(ADDRESS(1150,26))-INDIRECT(ADDRESS(1151,26))</f>
        <v>0</v>
      </c>
      <c r="AA1152">
        <f>INDIRECT(ADDRESS(1152,26))+INDIRECT(ADDRESS(1150,27))-INDIRECT(ADDRESS(1151,27))</f>
        <v>0</v>
      </c>
      <c r="AB1152">
        <f>INDIRECT(ADDRESS(1152,27))+INDIRECT(ADDRESS(1150,28))-INDIRECT(ADDRESS(1151,28))</f>
        <v>0</v>
      </c>
      <c r="AC1152">
        <f>INDIRECT(ADDRESS(1152,28))+INDIRECT(ADDRESS(1150,29))-INDIRECT(ADDRESS(1151,29))</f>
        <v>0</v>
      </c>
      <c r="AD1152">
        <f>INDIRECT(ADDRESS(1152,29))+INDIRECT(ADDRESS(1150,30))-INDIRECT(ADDRESS(1151,30))</f>
        <v>0</v>
      </c>
      <c r="AE1152">
        <f>INDIRECT(ADDRESS(1152,30))+INDIRECT(ADDRESS(1150,31))-INDIRECT(ADDRESS(1151,31))</f>
        <v>0</v>
      </c>
      <c r="AF1152">
        <f>INDIRECT(ADDRESS(1152,31))+INDIRECT(ADDRESS(1150,32))-INDIRECT(ADDRESS(1151,32))</f>
        <v>0</v>
      </c>
      <c r="AG1152">
        <f>INDIRECT(ADDRESS(1152,32))+INDIRECT(ADDRESS(1150,33))-INDIRECT(ADDRESS(1151,33))</f>
        <v>0</v>
      </c>
      <c r="AH1152">
        <f>INDIRECT(ADDRESS(1152,33))+INDIRECT(ADDRESS(1150,34))-INDIRECT(ADDRESS(1151,34))</f>
        <v>0</v>
      </c>
      <c r="AI1152">
        <f>INDIRECT(ADDRESS(1152,34))+INDIRECT(ADDRESS(1150,35))-INDIRECT(ADDRESS(1151,35))</f>
        <v>0</v>
      </c>
      <c r="AJ1152">
        <f>INDIRECT(ADDRESS(1152,35))+INDIRECT(ADDRESS(1150,36))-INDIRECT(ADDRESS(1151,36))</f>
        <v>0</v>
      </c>
      <c r="AK1152">
        <f>INDIRECT(ADDRESS(1152,36))+INDIRECT(ADDRESS(1150,37))-INDIRECT(ADDRESS(1151,37))</f>
        <v>0</v>
      </c>
      <c r="AL1152">
        <f>INDIRECT(ADDRESS(1152,37))+INDIRECT(ADDRESS(1150,38))-INDIRECT(ADDRESS(1151,38))</f>
        <v>0</v>
      </c>
      <c r="AM1152">
        <f>INDIRECT(ADDRESS(1152,38))+INDIRECT(ADDRESS(1150,39))-INDIRECT(ADDRESS(1151,39))</f>
        <v>0</v>
      </c>
      <c r="AN1152">
        <f>INDIRECT(ADDRESS(1152,39))+INDIRECT(ADDRESS(1150,40))-INDIRECT(ADDRESS(1151,40))</f>
        <v>0</v>
      </c>
      <c r="AO1152">
        <f>SUM(INDIRECT(ADDRESS(1151,8)):INDIRECT(ADDRESS(1151,39)))</f>
        <v>0</v>
      </c>
    </row>
    <row r="1153" spans="1:41">
      <c r="A1153" t="s">
        <v>238</v>
      </c>
      <c r="B1153" t="s">
        <v>582</v>
      </c>
      <c r="C1153" t="s">
        <v>583</v>
      </c>
      <c r="E1153">
        <v>0.21875</v>
      </c>
      <c r="I1153" t="s">
        <v>177</v>
      </c>
    </row>
    <row r="1154" spans="1:41">
      <c r="I1154" t="s">
        <v>178</v>
      </c>
      <c r="J1154">
        <f>IFERROR(VLOOKUP("906-286000-110",B:AB,1+8,0),0)</f>
        <v>0</v>
      </c>
      <c r="K1154">
        <f>IFERROR(VLOOKUP("906-286000-110",B:AB,2+8,0),0)</f>
        <v>0</v>
      </c>
      <c r="L1154">
        <f>IFERROR(VLOOKUP("906-286000-110",B:AB,3+8,0),0)</f>
        <v>0</v>
      </c>
      <c r="M1154">
        <f>IFERROR(VLOOKUP("906-286000-110",B:AB,4+8,0),0)</f>
        <v>0</v>
      </c>
      <c r="N1154">
        <f>IFERROR(VLOOKUP("906-286000-110",B:AB,5+8,0),0)</f>
        <v>0</v>
      </c>
      <c r="O1154">
        <f>IFERROR(VLOOKUP("906-286000-110",B:AB,6+8,0),0)</f>
        <v>0</v>
      </c>
      <c r="P1154">
        <f>IFERROR(VLOOKUP("906-286000-110",B:AB,7+8,0),0)</f>
        <v>0</v>
      </c>
      <c r="Q1154">
        <f>IFERROR(VLOOKUP("906-286000-110",B:AB,8+8,0),0)</f>
        <v>0</v>
      </c>
      <c r="R1154">
        <f>IFERROR(VLOOKUP("906-286000-110",B:AB,9+8,0),0)</f>
        <v>0</v>
      </c>
      <c r="S1154">
        <f>IFERROR(VLOOKUP("906-286000-110",B:AB,10+8,0),0)</f>
        <v>0</v>
      </c>
      <c r="T1154">
        <f>IFERROR(VLOOKUP("906-286000-110",B:AB,11+8,0),0)</f>
        <v>0</v>
      </c>
      <c r="U1154">
        <f>IFERROR(VLOOKUP("906-286000-110",B:AB,12+8,0),0)</f>
        <v>0</v>
      </c>
      <c r="V1154">
        <f>IFERROR(VLOOKUP("906-286000-110",B:AB,13+8,0),0)</f>
        <v>0</v>
      </c>
      <c r="W1154">
        <f>IFERROR(VLOOKUP("906-286000-110",B:AB,14+8,0),0)</f>
        <v>0</v>
      </c>
      <c r="X1154">
        <f>IFERROR(VLOOKUP("906-286000-110",B:AB,15+8,0),0)</f>
        <v>0</v>
      </c>
      <c r="Y1154">
        <f>IFERROR(VLOOKUP("906-286000-110",B:AB,16+8,0),0)</f>
        <v>0</v>
      </c>
      <c r="Z1154">
        <f>IFERROR(VLOOKUP("906-286000-110",B:AB,17+8,0),0)</f>
        <v>0</v>
      </c>
      <c r="AA1154">
        <f>IFERROR(VLOOKUP("906-286000-110",B:AB,18+8,0),0)</f>
        <v>0</v>
      </c>
      <c r="AB1154">
        <f>IFERROR(VLOOKUP("906-286000-110",B:AB,19+8,0),0)</f>
        <v>0</v>
      </c>
      <c r="AC1154">
        <f>IFERROR(VLOOKUP("906-286000-110",B:AB,20+8,0),0)</f>
        <v>0</v>
      </c>
      <c r="AD1154">
        <f>IFERROR(VLOOKUP("906-286000-110",B:AB,21+8,0),0)</f>
        <v>0</v>
      </c>
      <c r="AE1154">
        <f>IFERROR(VLOOKUP("906-286000-110",B:AB,22+8,0),0)</f>
        <v>0</v>
      </c>
      <c r="AF1154">
        <f>IFERROR(VLOOKUP("906-286000-110",B:AB,23+8,0),0)</f>
        <v>0</v>
      </c>
      <c r="AG1154">
        <f>IFERROR(VLOOKUP("906-286000-110",B:AB,24+8,0),0)</f>
        <v>0</v>
      </c>
      <c r="AH1154">
        <f>IFERROR(VLOOKUP("906-286000-110",B:AB,25+8,0),0)</f>
        <v>0</v>
      </c>
      <c r="AI1154">
        <f>IFERROR(VLOOKUP("906-286000-110",B:AB,26+8,0),0)</f>
        <v>0</v>
      </c>
      <c r="AJ1154">
        <f>IFERROR(VLOOKUP("906-286000-110",B:AB,27+8,0),0)</f>
        <v>0</v>
      </c>
      <c r="AK1154">
        <f>IFERROR(VLOOKUP("906-286000-110",B:AB,28+8,0),0)</f>
        <v>0</v>
      </c>
      <c r="AL1154">
        <f>IFERROR(VLOOKUP("906-286000-110",B:AB,29+8,0),0)</f>
        <v>0</v>
      </c>
      <c r="AM1154">
        <f>IFERROR(VLOOKUP("906-286000-110",B:AB,30+8,0),0)</f>
        <v>0</v>
      </c>
      <c r="AN1154">
        <f>IFERROR(VLOOKUP("906-286000-110",B:AB,31+8,0),0)</f>
        <v>0</v>
      </c>
      <c r="AO1154">
        <f>SUN(INDIRECT(ADDRESS(1153,8)):INDIRECT(ADDRESS(1153,39)))</f>
        <v>0</v>
      </c>
    </row>
    <row r="1155" spans="1:41">
      <c r="H1155" t="s">
        <v>179</v>
      </c>
      <c r="J1155">
        <f>INDIRECT(ADDRESS(1155,9))+INDIRECT(ADDRESS(1153,10))-INDIRECT(ADDRESS(1154,10))</f>
        <v>0</v>
      </c>
      <c r="K1155">
        <f>INDIRECT(ADDRESS(1155,10))+INDIRECT(ADDRESS(1153,11))-INDIRECT(ADDRESS(1154,11))</f>
        <v>0</v>
      </c>
      <c r="L1155">
        <f>INDIRECT(ADDRESS(1155,11))+INDIRECT(ADDRESS(1153,12))-INDIRECT(ADDRESS(1154,12))</f>
        <v>0</v>
      </c>
      <c r="M1155">
        <f>INDIRECT(ADDRESS(1155,12))+INDIRECT(ADDRESS(1153,13))-INDIRECT(ADDRESS(1154,13))</f>
        <v>0</v>
      </c>
      <c r="N1155">
        <f>INDIRECT(ADDRESS(1155,13))+INDIRECT(ADDRESS(1153,14))-INDIRECT(ADDRESS(1154,14))</f>
        <v>0</v>
      </c>
      <c r="O1155">
        <f>INDIRECT(ADDRESS(1155,14))+INDIRECT(ADDRESS(1153,15))-INDIRECT(ADDRESS(1154,15))</f>
        <v>0</v>
      </c>
      <c r="P1155">
        <f>INDIRECT(ADDRESS(1155,15))+INDIRECT(ADDRESS(1153,16))-INDIRECT(ADDRESS(1154,16))</f>
        <v>0</v>
      </c>
      <c r="Q1155">
        <f>INDIRECT(ADDRESS(1155,16))+INDIRECT(ADDRESS(1153,17))-INDIRECT(ADDRESS(1154,17))</f>
        <v>0</v>
      </c>
      <c r="R1155">
        <f>INDIRECT(ADDRESS(1155,17))+INDIRECT(ADDRESS(1153,18))-INDIRECT(ADDRESS(1154,18))</f>
        <v>0</v>
      </c>
      <c r="S1155">
        <f>INDIRECT(ADDRESS(1155,18))+INDIRECT(ADDRESS(1153,19))-INDIRECT(ADDRESS(1154,19))</f>
        <v>0</v>
      </c>
      <c r="T1155">
        <f>INDIRECT(ADDRESS(1155,19))+INDIRECT(ADDRESS(1153,20))-INDIRECT(ADDRESS(1154,20))</f>
        <v>0</v>
      </c>
      <c r="U1155">
        <f>INDIRECT(ADDRESS(1155,20))+INDIRECT(ADDRESS(1153,21))-INDIRECT(ADDRESS(1154,21))</f>
        <v>0</v>
      </c>
      <c r="V1155">
        <f>INDIRECT(ADDRESS(1155,21))+INDIRECT(ADDRESS(1153,22))-INDIRECT(ADDRESS(1154,22))</f>
        <v>0</v>
      </c>
      <c r="W1155">
        <f>INDIRECT(ADDRESS(1155,22))+INDIRECT(ADDRESS(1153,23))-INDIRECT(ADDRESS(1154,23))</f>
        <v>0</v>
      </c>
      <c r="X1155">
        <f>INDIRECT(ADDRESS(1155,23))+INDIRECT(ADDRESS(1153,24))-INDIRECT(ADDRESS(1154,24))</f>
        <v>0</v>
      </c>
      <c r="Y1155">
        <f>INDIRECT(ADDRESS(1155,24))+INDIRECT(ADDRESS(1153,25))-INDIRECT(ADDRESS(1154,25))</f>
        <v>0</v>
      </c>
      <c r="Z1155">
        <f>INDIRECT(ADDRESS(1155,25))+INDIRECT(ADDRESS(1153,26))-INDIRECT(ADDRESS(1154,26))</f>
        <v>0</v>
      </c>
      <c r="AA1155">
        <f>INDIRECT(ADDRESS(1155,26))+INDIRECT(ADDRESS(1153,27))-INDIRECT(ADDRESS(1154,27))</f>
        <v>0</v>
      </c>
      <c r="AB1155">
        <f>INDIRECT(ADDRESS(1155,27))+INDIRECT(ADDRESS(1153,28))-INDIRECT(ADDRESS(1154,28))</f>
        <v>0</v>
      </c>
      <c r="AC1155">
        <f>INDIRECT(ADDRESS(1155,28))+INDIRECT(ADDRESS(1153,29))-INDIRECT(ADDRESS(1154,29))</f>
        <v>0</v>
      </c>
      <c r="AD1155">
        <f>INDIRECT(ADDRESS(1155,29))+INDIRECT(ADDRESS(1153,30))-INDIRECT(ADDRESS(1154,30))</f>
        <v>0</v>
      </c>
      <c r="AE1155">
        <f>INDIRECT(ADDRESS(1155,30))+INDIRECT(ADDRESS(1153,31))-INDIRECT(ADDRESS(1154,31))</f>
        <v>0</v>
      </c>
      <c r="AF1155">
        <f>INDIRECT(ADDRESS(1155,31))+INDIRECT(ADDRESS(1153,32))-INDIRECT(ADDRESS(1154,32))</f>
        <v>0</v>
      </c>
      <c r="AG1155">
        <f>INDIRECT(ADDRESS(1155,32))+INDIRECT(ADDRESS(1153,33))-INDIRECT(ADDRESS(1154,33))</f>
        <v>0</v>
      </c>
      <c r="AH1155">
        <f>INDIRECT(ADDRESS(1155,33))+INDIRECT(ADDRESS(1153,34))-INDIRECT(ADDRESS(1154,34))</f>
        <v>0</v>
      </c>
      <c r="AI1155">
        <f>INDIRECT(ADDRESS(1155,34))+INDIRECT(ADDRESS(1153,35))-INDIRECT(ADDRESS(1154,35))</f>
        <v>0</v>
      </c>
      <c r="AJ1155">
        <f>INDIRECT(ADDRESS(1155,35))+INDIRECT(ADDRESS(1153,36))-INDIRECT(ADDRESS(1154,36))</f>
        <v>0</v>
      </c>
      <c r="AK1155">
        <f>INDIRECT(ADDRESS(1155,36))+INDIRECT(ADDRESS(1153,37))-INDIRECT(ADDRESS(1154,37))</f>
        <v>0</v>
      </c>
      <c r="AL1155">
        <f>INDIRECT(ADDRESS(1155,37))+INDIRECT(ADDRESS(1153,38))-INDIRECT(ADDRESS(1154,38))</f>
        <v>0</v>
      </c>
      <c r="AM1155">
        <f>INDIRECT(ADDRESS(1155,38))+INDIRECT(ADDRESS(1153,39))-INDIRECT(ADDRESS(1154,39))</f>
        <v>0</v>
      </c>
      <c r="AN1155">
        <f>INDIRECT(ADDRESS(1155,39))+INDIRECT(ADDRESS(1153,40))-INDIRECT(ADDRESS(1154,40))</f>
        <v>0</v>
      </c>
      <c r="AO1155">
        <f>SUM(INDIRECT(ADDRESS(1154,8)):INDIRECT(ADDRESS(1154,39)))</f>
        <v>0</v>
      </c>
    </row>
    <row r="1156" spans="1:41">
      <c r="A1156" t="s">
        <v>8</v>
      </c>
      <c r="B1156" t="s">
        <v>95</v>
      </c>
      <c r="C1156" t="s">
        <v>96</v>
      </c>
      <c r="E1156">
        <v>1</v>
      </c>
      <c r="I1156" t="s">
        <v>177</v>
      </c>
    </row>
    <row r="1157" spans="1:41">
      <c r="I1157" t="s">
        <v>178</v>
      </c>
      <c r="J1157">
        <f>IFERROR(VLOOKUP("906-376348-210",Out!B:AB,1+8,0),0)</f>
        <v>0</v>
      </c>
      <c r="K1157">
        <f>IFERROR(VLOOKUP("906-376348-210",Out!B:AB,2+8,0),0)</f>
        <v>0</v>
      </c>
      <c r="L1157">
        <f>IFERROR(VLOOKUP("906-376348-210",Out!B:AB,3+8,0),0)</f>
        <v>0</v>
      </c>
      <c r="M1157">
        <f>IFERROR(VLOOKUP("906-376348-210",Out!B:AB,4+8,0),0)</f>
        <v>0</v>
      </c>
      <c r="N1157">
        <f>IFERROR(VLOOKUP("906-376348-210",Out!B:AB,5+8,0),0)</f>
        <v>0</v>
      </c>
      <c r="O1157">
        <f>IFERROR(VLOOKUP("906-376348-210",Out!B:AB,6+8,0),0)</f>
        <v>0</v>
      </c>
      <c r="P1157">
        <f>IFERROR(VLOOKUP("906-376348-210",Out!B:AB,7+8,0),0)</f>
        <v>0</v>
      </c>
      <c r="Q1157">
        <f>IFERROR(VLOOKUP("906-376348-210",Out!B:AB,8+8,0),0)</f>
        <v>0</v>
      </c>
      <c r="R1157">
        <f>IFERROR(VLOOKUP("906-376348-210",Out!B:AB,9+8,0),0)</f>
        <v>0</v>
      </c>
      <c r="S1157">
        <f>IFERROR(VLOOKUP("906-376348-210",Out!B:AB,10+8,0),0)</f>
        <v>0</v>
      </c>
      <c r="T1157">
        <f>IFERROR(VLOOKUP("906-376348-210",Out!B:AB,11+8,0),0)</f>
        <v>0</v>
      </c>
      <c r="U1157">
        <f>IFERROR(VLOOKUP("906-376348-210",Out!B:AB,12+8,0),0)</f>
        <v>0</v>
      </c>
      <c r="V1157">
        <f>IFERROR(VLOOKUP("906-376348-210",Out!B:AB,13+8,0),0)</f>
        <v>0</v>
      </c>
      <c r="W1157">
        <f>IFERROR(VLOOKUP("906-376348-210",Out!B:AB,14+8,0),0)</f>
        <v>0</v>
      </c>
      <c r="X1157">
        <f>IFERROR(VLOOKUP("906-376348-210",Out!B:AB,15+8,0),0)</f>
        <v>0</v>
      </c>
      <c r="Y1157">
        <f>IFERROR(VLOOKUP("906-376348-210",Out!B:AB,16+8,0),0)</f>
        <v>0</v>
      </c>
      <c r="Z1157">
        <f>IFERROR(VLOOKUP("906-376348-210",Out!B:AB,17+8,0),0)</f>
        <v>0</v>
      </c>
      <c r="AA1157">
        <f>IFERROR(VLOOKUP("906-376348-210",Out!B:AB,18+8,0),0)</f>
        <v>0</v>
      </c>
      <c r="AB1157">
        <f>IFERROR(VLOOKUP("906-376348-210",Out!B:AB,19+8,0),0)</f>
        <v>0</v>
      </c>
      <c r="AC1157">
        <f>IFERROR(VLOOKUP("906-376348-210",Out!B:AB,20+8,0),0)</f>
        <v>0</v>
      </c>
      <c r="AD1157">
        <f>IFERROR(VLOOKUP("906-376348-210",Out!B:AB,21+8,0),0)</f>
        <v>0</v>
      </c>
      <c r="AE1157">
        <f>IFERROR(VLOOKUP("906-376348-210",Out!B:AB,22+8,0),0)</f>
        <v>0</v>
      </c>
      <c r="AF1157">
        <f>IFERROR(VLOOKUP("906-376348-210",Out!B:AB,23+8,0),0)</f>
        <v>0</v>
      </c>
      <c r="AG1157">
        <f>IFERROR(VLOOKUP("906-376348-210",Out!B:AB,24+8,0),0)</f>
        <v>0</v>
      </c>
      <c r="AH1157">
        <f>IFERROR(VLOOKUP("906-376348-210",Out!B:AB,25+8,0),0)</f>
        <v>0</v>
      </c>
      <c r="AI1157">
        <f>IFERROR(VLOOKUP("906-376348-210",Out!B:AB,26+8,0),0)</f>
        <v>0</v>
      </c>
      <c r="AJ1157">
        <f>IFERROR(VLOOKUP("906-376348-210",Out!B:AB,27+8,0),0)</f>
        <v>0</v>
      </c>
      <c r="AK1157">
        <f>IFERROR(VLOOKUP("906-376348-210",Out!B:AB,28+8,0),0)</f>
        <v>0</v>
      </c>
      <c r="AL1157">
        <f>IFERROR(VLOOKUP("906-376348-210",Out!B:AB,29+8,0),0)</f>
        <v>0</v>
      </c>
      <c r="AM1157">
        <f>IFERROR(VLOOKUP("906-376348-210",Out!B:AB,30+8,0),0)</f>
        <v>0</v>
      </c>
      <c r="AN1157">
        <f>IFERROR(VLOOKUP("906-376348-210",Out!B:AB,31+8,0),0)</f>
        <v>0</v>
      </c>
      <c r="AO1157">
        <f>SUN(INDIRECT(ADDRESS(1156,8)):INDIRECT(ADDRESS(1156,39)))</f>
        <v>0</v>
      </c>
    </row>
    <row r="1158" spans="1:41">
      <c r="H1158" t="s">
        <v>179</v>
      </c>
      <c r="J1158">
        <f>INDIRECT(ADDRESS(1158,9))+INDIRECT(ADDRESS(1156,10))-INDIRECT(ADDRESS(1157,10))</f>
        <v>0</v>
      </c>
      <c r="K1158">
        <f>INDIRECT(ADDRESS(1158,10))+INDIRECT(ADDRESS(1156,11))-INDIRECT(ADDRESS(1157,11))</f>
        <v>0</v>
      </c>
      <c r="L1158">
        <f>INDIRECT(ADDRESS(1158,11))+INDIRECT(ADDRESS(1156,12))-INDIRECT(ADDRESS(1157,12))</f>
        <v>0</v>
      </c>
      <c r="M1158">
        <f>INDIRECT(ADDRESS(1158,12))+INDIRECT(ADDRESS(1156,13))-INDIRECT(ADDRESS(1157,13))</f>
        <v>0</v>
      </c>
      <c r="N1158">
        <f>INDIRECT(ADDRESS(1158,13))+INDIRECT(ADDRESS(1156,14))-INDIRECT(ADDRESS(1157,14))</f>
        <v>0</v>
      </c>
      <c r="O1158">
        <f>INDIRECT(ADDRESS(1158,14))+INDIRECT(ADDRESS(1156,15))-INDIRECT(ADDRESS(1157,15))</f>
        <v>0</v>
      </c>
      <c r="P1158">
        <f>INDIRECT(ADDRESS(1158,15))+INDIRECT(ADDRESS(1156,16))-INDIRECT(ADDRESS(1157,16))</f>
        <v>0</v>
      </c>
      <c r="Q1158">
        <f>INDIRECT(ADDRESS(1158,16))+INDIRECT(ADDRESS(1156,17))-INDIRECT(ADDRESS(1157,17))</f>
        <v>0</v>
      </c>
      <c r="R1158">
        <f>INDIRECT(ADDRESS(1158,17))+INDIRECT(ADDRESS(1156,18))-INDIRECT(ADDRESS(1157,18))</f>
        <v>0</v>
      </c>
      <c r="S1158">
        <f>INDIRECT(ADDRESS(1158,18))+INDIRECT(ADDRESS(1156,19))-INDIRECT(ADDRESS(1157,19))</f>
        <v>0</v>
      </c>
      <c r="T1158">
        <f>INDIRECT(ADDRESS(1158,19))+INDIRECT(ADDRESS(1156,20))-INDIRECT(ADDRESS(1157,20))</f>
        <v>0</v>
      </c>
      <c r="U1158">
        <f>INDIRECT(ADDRESS(1158,20))+INDIRECT(ADDRESS(1156,21))-INDIRECT(ADDRESS(1157,21))</f>
        <v>0</v>
      </c>
      <c r="V1158">
        <f>INDIRECT(ADDRESS(1158,21))+INDIRECT(ADDRESS(1156,22))-INDIRECT(ADDRESS(1157,22))</f>
        <v>0</v>
      </c>
      <c r="W1158">
        <f>INDIRECT(ADDRESS(1158,22))+INDIRECT(ADDRESS(1156,23))-INDIRECT(ADDRESS(1157,23))</f>
        <v>0</v>
      </c>
      <c r="X1158">
        <f>INDIRECT(ADDRESS(1158,23))+INDIRECT(ADDRESS(1156,24))-INDIRECT(ADDRESS(1157,24))</f>
        <v>0</v>
      </c>
      <c r="Y1158">
        <f>INDIRECT(ADDRESS(1158,24))+INDIRECT(ADDRESS(1156,25))-INDIRECT(ADDRESS(1157,25))</f>
        <v>0</v>
      </c>
      <c r="Z1158">
        <f>INDIRECT(ADDRESS(1158,25))+INDIRECT(ADDRESS(1156,26))-INDIRECT(ADDRESS(1157,26))</f>
        <v>0</v>
      </c>
      <c r="AA1158">
        <f>INDIRECT(ADDRESS(1158,26))+INDIRECT(ADDRESS(1156,27))-INDIRECT(ADDRESS(1157,27))</f>
        <v>0</v>
      </c>
      <c r="AB1158">
        <f>INDIRECT(ADDRESS(1158,27))+INDIRECT(ADDRESS(1156,28))-INDIRECT(ADDRESS(1157,28))</f>
        <v>0</v>
      </c>
      <c r="AC1158">
        <f>INDIRECT(ADDRESS(1158,28))+INDIRECT(ADDRESS(1156,29))-INDIRECT(ADDRESS(1157,29))</f>
        <v>0</v>
      </c>
      <c r="AD1158">
        <f>INDIRECT(ADDRESS(1158,29))+INDIRECT(ADDRESS(1156,30))-INDIRECT(ADDRESS(1157,30))</f>
        <v>0</v>
      </c>
      <c r="AE1158">
        <f>INDIRECT(ADDRESS(1158,30))+INDIRECT(ADDRESS(1156,31))-INDIRECT(ADDRESS(1157,31))</f>
        <v>0</v>
      </c>
      <c r="AF1158">
        <f>INDIRECT(ADDRESS(1158,31))+INDIRECT(ADDRESS(1156,32))-INDIRECT(ADDRESS(1157,32))</f>
        <v>0</v>
      </c>
      <c r="AG1158">
        <f>INDIRECT(ADDRESS(1158,32))+INDIRECT(ADDRESS(1156,33))-INDIRECT(ADDRESS(1157,33))</f>
        <v>0</v>
      </c>
      <c r="AH1158">
        <f>INDIRECT(ADDRESS(1158,33))+INDIRECT(ADDRESS(1156,34))-INDIRECT(ADDRESS(1157,34))</f>
        <v>0</v>
      </c>
      <c r="AI1158">
        <f>INDIRECT(ADDRESS(1158,34))+INDIRECT(ADDRESS(1156,35))-INDIRECT(ADDRESS(1157,35))</f>
        <v>0</v>
      </c>
      <c r="AJ1158">
        <f>INDIRECT(ADDRESS(1158,35))+INDIRECT(ADDRESS(1156,36))-INDIRECT(ADDRESS(1157,36))</f>
        <v>0</v>
      </c>
      <c r="AK1158">
        <f>INDIRECT(ADDRESS(1158,36))+INDIRECT(ADDRESS(1156,37))-INDIRECT(ADDRESS(1157,37))</f>
        <v>0</v>
      </c>
      <c r="AL1158">
        <f>INDIRECT(ADDRESS(1158,37))+INDIRECT(ADDRESS(1156,38))-INDIRECT(ADDRESS(1157,38))</f>
        <v>0</v>
      </c>
      <c r="AM1158">
        <f>INDIRECT(ADDRESS(1158,38))+INDIRECT(ADDRESS(1156,39))-INDIRECT(ADDRESS(1157,39))</f>
        <v>0</v>
      </c>
      <c r="AN1158">
        <f>INDIRECT(ADDRESS(1158,39))+INDIRECT(ADDRESS(1156,40))-INDIRECT(ADDRESS(1157,40))</f>
        <v>0</v>
      </c>
      <c r="AO1158">
        <f>SUM(INDIRECT(ADDRESS(1157,8)):INDIRECT(ADDRESS(1157,39)))</f>
        <v>0</v>
      </c>
    </row>
    <row r="1159" spans="1:41">
      <c r="A1159" t="s">
        <v>180</v>
      </c>
      <c r="B1159" t="s">
        <v>584</v>
      </c>
      <c r="C1159" t="s">
        <v>585</v>
      </c>
      <c r="E1159">
        <v>1</v>
      </c>
      <c r="I1159" t="s">
        <v>177</v>
      </c>
    </row>
    <row r="1160" spans="1:41">
      <c r="I1160" t="s">
        <v>178</v>
      </c>
      <c r="J1160">
        <f>IFERROR(VLOOKUP("906-376348-210",B:AB,1+8,0),0)</f>
        <v>0</v>
      </c>
      <c r="K1160">
        <f>IFERROR(VLOOKUP("906-376348-210",B:AB,2+8,0),0)</f>
        <v>0</v>
      </c>
      <c r="L1160">
        <f>IFERROR(VLOOKUP("906-376348-210",B:AB,3+8,0),0)</f>
        <v>0</v>
      </c>
      <c r="M1160">
        <f>IFERROR(VLOOKUP("906-376348-210",B:AB,4+8,0),0)</f>
        <v>0</v>
      </c>
      <c r="N1160">
        <f>IFERROR(VLOOKUP("906-376348-210",B:AB,5+8,0),0)</f>
        <v>0</v>
      </c>
      <c r="O1160">
        <f>IFERROR(VLOOKUP("906-376348-210",B:AB,6+8,0),0)</f>
        <v>0</v>
      </c>
      <c r="P1160">
        <f>IFERROR(VLOOKUP("906-376348-210",B:AB,7+8,0),0)</f>
        <v>0</v>
      </c>
      <c r="Q1160">
        <f>IFERROR(VLOOKUP("906-376348-210",B:AB,8+8,0),0)</f>
        <v>0</v>
      </c>
      <c r="R1160">
        <f>IFERROR(VLOOKUP("906-376348-210",B:AB,9+8,0),0)</f>
        <v>0</v>
      </c>
      <c r="S1160">
        <f>IFERROR(VLOOKUP("906-376348-210",B:AB,10+8,0),0)</f>
        <v>0</v>
      </c>
      <c r="T1160">
        <f>IFERROR(VLOOKUP("906-376348-210",B:AB,11+8,0),0)</f>
        <v>0</v>
      </c>
      <c r="U1160">
        <f>IFERROR(VLOOKUP("906-376348-210",B:AB,12+8,0),0)</f>
        <v>0</v>
      </c>
      <c r="V1160">
        <f>IFERROR(VLOOKUP("906-376348-210",B:AB,13+8,0),0)</f>
        <v>0</v>
      </c>
      <c r="W1160">
        <f>IFERROR(VLOOKUP("906-376348-210",B:AB,14+8,0),0)</f>
        <v>0</v>
      </c>
      <c r="X1160">
        <f>IFERROR(VLOOKUP("906-376348-210",B:AB,15+8,0),0)</f>
        <v>0</v>
      </c>
      <c r="Y1160">
        <f>IFERROR(VLOOKUP("906-376348-210",B:AB,16+8,0),0)</f>
        <v>0</v>
      </c>
      <c r="Z1160">
        <f>IFERROR(VLOOKUP("906-376348-210",B:AB,17+8,0),0)</f>
        <v>0</v>
      </c>
      <c r="AA1160">
        <f>IFERROR(VLOOKUP("906-376348-210",B:AB,18+8,0),0)</f>
        <v>0</v>
      </c>
      <c r="AB1160">
        <f>IFERROR(VLOOKUP("906-376348-210",B:AB,19+8,0),0)</f>
        <v>0</v>
      </c>
      <c r="AC1160">
        <f>IFERROR(VLOOKUP("906-376348-210",B:AB,20+8,0),0)</f>
        <v>0</v>
      </c>
      <c r="AD1160">
        <f>IFERROR(VLOOKUP("906-376348-210",B:AB,21+8,0),0)</f>
        <v>0</v>
      </c>
      <c r="AE1160">
        <f>IFERROR(VLOOKUP("906-376348-210",B:AB,22+8,0),0)</f>
        <v>0</v>
      </c>
      <c r="AF1160">
        <f>IFERROR(VLOOKUP("906-376348-210",B:AB,23+8,0),0)</f>
        <v>0</v>
      </c>
      <c r="AG1160">
        <f>IFERROR(VLOOKUP("906-376348-210",B:AB,24+8,0),0)</f>
        <v>0</v>
      </c>
      <c r="AH1160">
        <f>IFERROR(VLOOKUP("906-376348-210",B:AB,25+8,0),0)</f>
        <v>0</v>
      </c>
      <c r="AI1160">
        <f>IFERROR(VLOOKUP("906-376348-210",B:AB,26+8,0),0)</f>
        <v>0</v>
      </c>
      <c r="AJ1160">
        <f>IFERROR(VLOOKUP("906-376348-210",B:AB,27+8,0),0)</f>
        <v>0</v>
      </c>
      <c r="AK1160">
        <f>IFERROR(VLOOKUP("906-376348-210",B:AB,28+8,0),0)</f>
        <v>0</v>
      </c>
      <c r="AL1160">
        <f>IFERROR(VLOOKUP("906-376348-210",B:AB,29+8,0),0)</f>
        <v>0</v>
      </c>
      <c r="AM1160">
        <f>IFERROR(VLOOKUP("906-376348-210",B:AB,30+8,0),0)</f>
        <v>0</v>
      </c>
      <c r="AN1160">
        <f>IFERROR(VLOOKUP("906-376348-210",B:AB,31+8,0),0)</f>
        <v>0</v>
      </c>
      <c r="AO1160">
        <f>SUN(INDIRECT(ADDRESS(1159,8)):INDIRECT(ADDRESS(1159,39)))</f>
        <v>0</v>
      </c>
    </row>
    <row r="1161" spans="1:41">
      <c r="H1161" t="s">
        <v>179</v>
      </c>
      <c r="J1161">
        <f>INDIRECT(ADDRESS(1161,9))+INDIRECT(ADDRESS(1159,10))-INDIRECT(ADDRESS(1160,10))</f>
        <v>0</v>
      </c>
      <c r="K1161">
        <f>INDIRECT(ADDRESS(1161,10))+INDIRECT(ADDRESS(1159,11))-INDIRECT(ADDRESS(1160,11))</f>
        <v>0</v>
      </c>
      <c r="L1161">
        <f>INDIRECT(ADDRESS(1161,11))+INDIRECT(ADDRESS(1159,12))-INDIRECT(ADDRESS(1160,12))</f>
        <v>0</v>
      </c>
      <c r="M1161">
        <f>INDIRECT(ADDRESS(1161,12))+INDIRECT(ADDRESS(1159,13))-INDIRECT(ADDRESS(1160,13))</f>
        <v>0</v>
      </c>
      <c r="N1161">
        <f>INDIRECT(ADDRESS(1161,13))+INDIRECT(ADDRESS(1159,14))-INDIRECT(ADDRESS(1160,14))</f>
        <v>0</v>
      </c>
      <c r="O1161">
        <f>INDIRECT(ADDRESS(1161,14))+INDIRECT(ADDRESS(1159,15))-INDIRECT(ADDRESS(1160,15))</f>
        <v>0</v>
      </c>
      <c r="P1161">
        <f>INDIRECT(ADDRESS(1161,15))+INDIRECT(ADDRESS(1159,16))-INDIRECT(ADDRESS(1160,16))</f>
        <v>0</v>
      </c>
      <c r="Q1161">
        <f>INDIRECT(ADDRESS(1161,16))+INDIRECT(ADDRESS(1159,17))-INDIRECT(ADDRESS(1160,17))</f>
        <v>0</v>
      </c>
      <c r="R1161">
        <f>INDIRECT(ADDRESS(1161,17))+INDIRECT(ADDRESS(1159,18))-INDIRECT(ADDRESS(1160,18))</f>
        <v>0</v>
      </c>
      <c r="S1161">
        <f>INDIRECT(ADDRESS(1161,18))+INDIRECT(ADDRESS(1159,19))-INDIRECT(ADDRESS(1160,19))</f>
        <v>0</v>
      </c>
      <c r="T1161">
        <f>INDIRECT(ADDRESS(1161,19))+INDIRECT(ADDRESS(1159,20))-INDIRECT(ADDRESS(1160,20))</f>
        <v>0</v>
      </c>
      <c r="U1161">
        <f>INDIRECT(ADDRESS(1161,20))+INDIRECT(ADDRESS(1159,21))-INDIRECT(ADDRESS(1160,21))</f>
        <v>0</v>
      </c>
      <c r="V1161">
        <f>INDIRECT(ADDRESS(1161,21))+INDIRECT(ADDRESS(1159,22))-INDIRECT(ADDRESS(1160,22))</f>
        <v>0</v>
      </c>
      <c r="W1161">
        <f>INDIRECT(ADDRESS(1161,22))+INDIRECT(ADDRESS(1159,23))-INDIRECT(ADDRESS(1160,23))</f>
        <v>0</v>
      </c>
      <c r="X1161">
        <f>INDIRECT(ADDRESS(1161,23))+INDIRECT(ADDRESS(1159,24))-INDIRECT(ADDRESS(1160,24))</f>
        <v>0</v>
      </c>
      <c r="Y1161">
        <f>INDIRECT(ADDRESS(1161,24))+INDIRECT(ADDRESS(1159,25))-INDIRECT(ADDRESS(1160,25))</f>
        <v>0</v>
      </c>
      <c r="Z1161">
        <f>INDIRECT(ADDRESS(1161,25))+INDIRECT(ADDRESS(1159,26))-INDIRECT(ADDRESS(1160,26))</f>
        <v>0</v>
      </c>
      <c r="AA1161">
        <f>INDIRECT(ADDRESS(1161,26))+INDIRECT(ADDRESS(1159,27))-INDIRECT(ADDRESS(1160,27))</f>
        <v>0</v>
      </c>
      <c r="AB1161">
        <f>INDIRECT(ADDRESS(1161,27))+INDIRECT(ADDRESS(1159,28))-INDIRECT(ADDRESS(1160,28))</f>
        <v>0</v>
      </c>
      <c r="AC1161">
        <f>INDIRECT(ADDRESS(1161,28))+INDIRECT(ADDRESS(1159,29))-INDIRECT(ADDRESS(1160,29))</f>
        <v>0</v>
      </c>
      <c r="AD1161">
        <f>INDIRECT(ADDRESS(1161,29))+INDIRECT(ADDRESS(1159,30))-INDIRECT(ADDRESS(1160,30))</f>
        <v>0</v>
      </c>
      <c r="AE1161">
        <f>INDIRECT(ADDRESS(1161,30))+INDIRECT(ADDRESS(1159,31))-INDIRECT(ADDRESS(1160,31))</f>
        <v>0</v>
      </c>
      <c r="AF1161">
        <f>INDIRECT(ADDRESS(1161,31))+INDIRECT(ADDRESS(1159,32))-INDIRECT(ADDRESS(1160,32))</f>
        <v>0</v>
      </c>
      <c r="AG1161">
        <f>INDIRECT(ADDRESS(1161,32))+INDIRECT(ADDRESS(1159,33))-INDIRECT(ADDRESS(1160,33))</f>
        <v>0</v>
      </c>
      <c r="AH1161">
        <f>INDIRECT(ADDRESS(1161,33))+INDIRECT(ADDRESS(1159,34))-INDIRECT(ADDRESS(1160,34))</f>
        <v>0</v>
      </c>
      <c r="AI1161">
        <f>INDIRECT(ADDRESS(1161,34))+INDIRECT(ADDRESS(1159,35))-INDIRECT(ADDRESS(1160,35))</f>
        <v>0</v>
      </c>
      <c r="AJ1161">
        <f>INDIRECT(ADDRESS(1161,35))+INDIRECT(ADDRESS(1159,36))-INDIRECT(ADDRESS(1160,36))</f>
        <v>0</v>
      </c>
      <c r="AK1161">
        <f>INDIRECT(ADDRESS(1161,36))+INDIRECT(ADDRESS(1159,37))-INDIRECT(ADDRESS(1160,37))</f>
        <v>0</v>
      </c>
      <c r="AL1161">
        <f>INDIRECT(ADDRESS(1161,37))+INDIRECT(ADDRESS(1159,38))-INDIRECT(ADDRESS(1160,38))</f>
        <v>0</v>
      </c>
      <c r="AM1161">
        <f>INDIRECT(ADDRESS(1161,38))+INDIRECT(ADDRESS(1159,39))-INDIRECT(ADDRESS(1160,39))</f>
        <v>0</v>
      </c>
      <c r="AN1161">
        <f>INDIRECT(ADDRESS(1161,39))+INDIRECT(ADDRESS(1159,40))-INDIRECT(ADDRESS(1160,40))</f>
        <v>0</v>
      </c>
      <c r="AO1161">
        <f>SUM(INDIRECT(ADDRESS(1160,8)):INDIRECT(ADDRESS(1160,39)))</f>
        <v>0</v>
      </c>
    </row>
    <row r="1162" spans="1:41">
      <c r="A1162" t="s">
        <v>180</v>
      </c>
      <c r="B1162" t="s">
        <v>586</v>
      </c>
      <c r="C1162" t="s">
        <v>587</v>
      </c>
      <c r="E1162">
        <v>1</v>
      </c>
      <c r="I1162" t="s">
        <v>177</v>
      </c>
    </row>
    <row r="1163" spans="1:41">
      <c r="I1163" t="s">
        <v>178</v>
      </c>
      <c r="J1163">
        <f>IFERROR(VLOOKUP("906-376348-210",B:AB,1+8,0),0)</f>
        <v>0</v>
      </c>
      <c r="K1163">
        <f>IFERROR(VLOOKUP("906-376348-210",B:AB,2+8,0),0)</f>
        <v>0</v>
      </c>
      <c r="L1163">
        <f>IFERROR(VLOOKUP("906-376348-210",B:AB,3+8,0),0)</f>
        <v>0</v>
      </c>
      <c r="M1163">
        <f>IFERROR(VLOOKUP("906-376348-210",B:AB,4+8,0),0)</f>
        <v>0</v>
      </c>
      <c r="N1163">
        <f>IFERROR(VLOOKUP("906-376348-210",B:AB,5+8,0),0)</f>
        <v>0</v>
      </c>
      <c r="O1163">
        <f>IFERROR(VLOOKUP("906-376348-210",B:AB,6+8,0),0)</f>
        <v>0</v>
      </c>
      <c r="P1163">
        <f>IFERROR(VLOOKUP("906-376348-210",B:AB,7+8,0),0)</f>
        <v>0</v>
      </c>
      <c r="Q1163">
        <f>IFERROR(VLOOKUP("906-376348-210",B:AB,8+8,0),0)</f>
        <v>0</v>
      </c>
      <c r="R1163">
        <f>IFERROR(VLOOKUP("906-376348-210",B:AB,9+8,0),0)</f>
        <v>0</v>
      </c>
      <c r="S1163">
        <f>IFERROR(VLOOKUP("906-376348-210",B:AB,10+8,0),0)</f>
        <v>0</v>
      </c>
      <c r="T1163">
        <f>IFERROR(VLOOKUP("906-376348-210",B:AB,11+8,0),0)</f>
        <v>0</v>
      </c>
      <c r="U1163">
        <f>IFERROR(VLOOKUP("906-376348-210",B:AB,12+8,0),0)</f>
        <v>0</v>
      </c>
      <c r="V1163">
        <f>IFERROR(VLOOKUP("906-376348-210",B:AB,13+8,0),0)</f>
        <v>0</v>
      </c>
      <c r="W1163">
        <f>IFERROR(VLOOKUP("906-376348-210",B:AB,14+8,0),0)</f>
        <v>0</v>
      </c>
      <c r="X1163">
        <f>IFERROR(VLOOKUP("906-376348-210",B:AB,15+8,0),0)</f>
        <v>0</v>
      </c>
      <c r="Y1163">
        <f>IFERROR(VLOOKUP("906-376348-210",B:AB,16+8,0),0)</f>
        <v>0</v>
      </c>
      <c r="Z1163">
        <f>IFERROR(VLOOKUP("906-376348-210",B:AB,17+8,0),0)</f>
        <v>0</v>
      </c>
      <c r="AA1163">
        <f>IFERROR(VLOOKUP("906-376348-210",B:AB,18+8,0),0)</f>
        <v>0</v>
      </c>
      <c r="AB1163">
        <f>IFERROR(VLOOKUP("906-376348-210",B:AB,19+8,0),0)</f>
        <v>0</v>
      </c>
      <c r="AC1163">
        <f>IFERROR(VLOOKUP("906-376348-210",B:AB,20+8,0),0)</f>
        <v>0</v>
      </c>
      <c r="AD1163">
        <f>IFERROR(VLOOKUP("906-376348-210",B:AB,21+8,0),0)</f>
        <v>0</v>
      </c>
      <c r="AE1163">
        <f>IFERROR(VLOOKUP("906-376348-210",B:AB,22+8,0),0)</f>
        <v>0</v>
      </c>
      <c r="AF1163">
        <f>IFERROR(VLOOKUP("906-376348-210",B:AB,23+8,0),0)</f>
        <v>0</v>
      </c>
      <c r="AG1163">
        <f>IFERROR(VLOOKUP("906-376348-210",B:AB,24+8,0),0)</f>
        <v>0</v>
      </c>
      <c r="AH1163">
        <f>IFERROR(VLOOKUP("906-376348-210",B:AB,25+8,0),0)</f>
        <v>0</v>
      </c>
      <c r="AI1163">
        <f>IFERROR(VLOOKUP("906-376348-210",B:AB,26+8,0),0)</f>
        <v>0</v>
      </c>
      <c r="AJ1163">
        <f>IFERROR(VLOOKUP("906-376348-210",B:AB,27+8,0),0)</f>
        <v>0</v>
      </c>
      <c r="AK1163">
        <f>IFERROR(VLOOKUP("906-376348-210",B:AB,28+8,0),0)</f>
        <v>0</v>
      </c>
      <c r="AL1163">
        <f>IFERROR(VLOOKUP("906-376348-210",B:AB,29+8,0),0)</f>
        <v>0</v>
      </c>
      <c r="AM1163">
        <f>IFERROR(VLOOKUP("906-376348-210",B:AB,30+8,0),0)</f>
        <v>0</v>
      </c>
      <c r="AN1163">
        <f>IFERROR(VLOOKUP("906-376348-210",B:AB,31+8,0),0)</f>
        <v>0</v>
      </c>
      <c r="AO1163">
        <f>SUN(INDIRECT(ADDRESS(1162,8)):INDIRECT(ADDRESS(1162,39)))</f>
        <v>0</v>
      </c>
    </row>
    <row r="1164" spans="1:41">
      <c r="H1164" t="s">
        <v>179</v>
      </c>
      <c r="J1164">
        <f>INDIRECT(ADDRESS(1164,9))+INDIRECT(ADDRESS(1162,10))-INDIRECT(ADDRESS(1163,10))</f>
        <v>0</v>
      </c>
      <c r="K1164">
        <f>INDIRECT(ADDRESS(1164,10))+INDIRECT(ADDRESS(1162,11))-INDIRECT(ADDRESS(1163,11))</f>
        <v>0</v>
      </c>
      <c r="L1164">
        <f>INDIRECT(ADDRESS(1164,11))+INDIRECT(ADDRESS(1162,12))-INDIRECT(ADDRESS(1163,12))</f>
        <v>0</v>
      </c>
      <c r="M1164">
        <f>INDIRECT(ADDRESS(1164,12))+INDIRECT(ADDRESS(1162,13))-INDIRECT(ADDRESS(1163,13))</f>
        <v>0</v>
      </c>
      <c r="N1164">
        <f>INDIRECT(ADDRESS(1164,13))+INDIRECT(ADDRESS(1162,14))-INDIRECT(ADDRESS(1163,14))</f>
        <v>0</v>
      </c>
      <c r="O1164">
        <f>INDIRECT(ADDRESS(1164,14))+INDIRECT(ADDRESS(1162,15))-INDIRECT(ADDRESS(1163,15))</f>
        <v>0</v>
      </c>
      <c r="P1164">
        <f>INDIRECT(ADDRESS(1164,15))+INDIRECT(ADDRESS(1162,16))-INDIRECT(ADDRESS(1163,16))</f>
        <v>0</v>
      </c>
      <c r="Q1164">
        <f>INDIRECT(ADDRESS(1164,16))+INDIRECT(ADDRESS(1162,17))-INDIRECT(ADDRESS(1163,17))</f>
        <v>0</v>
      </c>
      <c r="R1164">
        <f>INDIRECT(ADDRESS(1164,17))+INDIRECT(ADDRESS(1162,18))-INDIRECT(ADDRESS(1163,18))</f>
        <v>0</v>
      </c>
      <c r="S1164">
        <f>INDIRECT(ADDRESS(1164,18))+INDIRECT(ADDRESS(1162,19))-INDIRECT(ADDRESS(1163,19))</f>
        <v>0</v>
      </c>
      <c r="T1164">
        <f>INDIRECT(ADDRESS(1164,19))+INDIRECT(ADDRESS(1162,20))-INDIRECT(ADDRESS(1163,20))</f>
        <v>0</v>
      </c>
      <c r="U1164">
        <f>INDIRECT(ADDRESS(1164,20))+INDIRECT(ADDRESS(1162,21))-INDIRECT(ADDRESS(1163,21))</f>
        <v>0</v>
      </c>
      <c r="V1164">
        <f>INDIRECT(ADDRESS(1164,21))+INDIRECT(ADDRESS(1162,22))-INDIRECT(ADDRESS(1163,22))</f>
        <v>0</v>
      </c>
      <c r="W1164">
        <f>INDIRECT(ADDRESS(1164,22))+INDIRECT(ADDRESS(1162,23))-INDIRECT(ADDRESS(1163,23))</f>
        <v>0</v>
      </c>
      <c r="X1164">
        <f>INDIRECT(ADDRESS(1164,23))+INDIRECT(ADDRESS(1162,24))-INDIRECT(ADDRESS(1163,24))</f>
        <v>0</v>
      </c>
      <c r="Y1164">
        <f>INDIRECT(ADDRESS(1164,24))+INDIRECT(ADDRESS(1162,25))-INDIRECT(ADDRESS(1163,25))</f>
        <v>0</v>
      </c>
      <c r="Z1164">
        <f>INDIRECT(ADDRESS(1164,25))+INDIRECT(ADDRESS(1162,26))-INDIRECT(ADDRESS(1163,26))</f>
        <v>0</v>
      </c>
      <c r="AA1164">
        <f>INDIRECT(ADDRESS(1164,26))+INDIRECT(ADDRESS(1162,27))-INDIRECT(ADDRESS(1163,27))</f>
        <v>0</v>
      </c>
      <c r="AB1164">
        <f>INDIRECT(ADDRESS(1164,27))+INDIRECT(ADDRESS(1162,28))-INDIRECT(ADDRESS(1163,28))</f>
        <v>0</v>
      </c>
      <c r="AC1164">
        <f>INDIRECT(ADDRESS(1164,28))+INDIRECT(ADDRESS(1162,29))-INDIRECT(ADDRESS(1163,29))</f>
        <v>0</v>
      </c>
      <c r="AD1164">
        <f>INDIRECT(ADDRESS(1164,29))+INDIRECT(ADDRESS(1162,30))-INDIRECT(ADDRESS(1163,30))</f>
        <v>0</v>
      </c>
      <c r="AE1164">
        <f>INDIRECT(ADDRESS(1164,30))+INDIRECT(ADDRESS(1162,31))-INDIRECT(ADDRESS(1163,31))</f>
        <v>0</v>
      </c>
      <c r="AF1164">
        <f>INDIRECT(ADDRESS(1164,31))+INDIRECT(ADDRESS(1162,32))-INDIRECT(ADDRESS(1163,32))</f>
        <v>0</v>
      </c>
      <c r="AG1164">
        <f>INDIRECT(ADDRESS(1164,32))+INDIRECT(ADDRESS(1162,33))-INDIRECT(ADDRESS(1163,33))</f>
        <v>0</v>
      </c>
      <c r="AH1164">
        <f>INDIRECT(ADDRESS(1164,33))+INDIRECT(ADDRESS(1162,34))-INDIRECT(ADDRESS(1163,34))</f>
        <v>0</v>
      </c>
      <c r="AI1164">
        <f>INDIRECT(ADDRESS(1164,34))+INDIRECT(ADDRESS(1162,35))-INDIRECT(ADDRESS(1163,35))</f>
        <v>0</v>
      </c>
      <c r="AJ1164">
        <f>INDIRECT(ADDRESS(1164,35))+INDIRECT(ADDRESS(1162,36))-INDIRECT(ADDRESS(1163,36))</f>
        <v>0</v>
      </c>
      <c r="AK1164">
        <f>INDIRECT(ADDRESS(1164,36))+INDIRECT(ADDRESS(1162,37))-INDIRECT(ADDRESS(1163,37))</f>
        <v>0</v>
      </c>
      <c r="AL1164">
        <f>INDIRECT(ADDRESS(1164,37))+INDIRECT(ADDRESS(1162,38))-INDIRECT(ADDRESS(1163,38))</f>
        <v>0</v>
      </c>
      <c r="AM1164">
        <f>INDIRECT(ADDRESS(1164,38))+INDIRECT(ADDRESS(1162,39))-INDIRECT(ADDRESS(1163,39))</f>
        <v>0</v>
      </c>
      <c r="AN1164">
        <f>INDIRECT(ADDRESS(1164,39))+INDIRECT(ADDRESS(1162,40))-INDIRECT(ADDRESS(1163,40))</f>
        <v>0</v>
      </c>
      <c r="AO1164">
        <f>SUM(INDIRECT(ADDRESS(1163,8)):INDIRECT(ADDRESS(1163,39)))</f>
        <v>0</v>
      </c>
    </row>
    <row r="1165" spans="1:41">
      <c r="A1165" t="s">
        <v>185</v>
      </c>
      <c r="B1165" t="s">
        <v>588</v>
      </c>
      <c r="C1165" t="s">
        <v>589</v>
      </c>
      <c r="E1165">
        <v>2</v>
      </c>
      <c r="I1165" t="s">
        <v>177</v>
      </c>
    </row>
    <row r="1166" spans="1:41">
      <c r="I1166" t="s">
        <v>178</v>
      </c>
      <c r="J1166">
        <f>IFERROR(VLOOKUP("906-376348-210",B:AB,1+8,0),0)</f>
        <v>0</v>
      </c>
      <c r="K1166">
        <f>IFERROR(VLOOKUP("906-376348-210",B:AB,2+8,0),0)</f>
        <v>0</v>
      </c>
      <c r="L1166">
        <f>IFERROR(VLOOKUP("906-376348-210",B:AB,3+8,0),0)</f>
        <v>0</v>
      </c>
      <c r="M1166">
        <f>IFERROR(VLOOKUP("906-376348-210",B:AB,4+8,0),0)</f>
        <v>0</v>
      </c>
      <c r="N1166">
        <f>IFERROR(VLOOKUP("906-376348-210",B:AB,5+8,0),0)</f>
        <v>0</v>
      </c>
      <c r="O1166">
        <f>IFERROR(VLOOKUP("906-376348-210",B:AB,6+8,0),0)</f>
        <v>0</v>
      </c>
      <c r="P1166">
        <f>IFERROR(VLOOKUP("906-376348-210",B:AB,7+8,0),0)</f>
        <v>0</v>
      </c>
      <c r="Q1166">
        <f>IFERROR(VLOOKUP("906-376348-210",B:AB,8+8,0),0)</f>
        <v>0</v>
      </c>
      <c r="R1166">
        <f>IFERROR(VLOOKUP("906-376348-210",B:AB,9+8,0),0)</f>
        <v>0</v>
      </c>
      <c r="S1166">
        <f>IFERROR(VLOOKUP("906-376348-210",B:AB,10+8,0),0)</f>
        <v>0</v>
      </c>
      <c r="T1166">
        <f>IFERROR(VLOOKUP("906-376348-210",B:AB,11+8,0),0)</f>
        <v>0</v>
      </c>
      <c r="U1166">
        <f>IFERROR(VLOOKUP("906-376348-210",B:AB,12+8,0),0)</f>
        <v>0</v>
      </c>
      <c r="V1166">
        <f>IFERROR(VLOOKUP("906-376348-210",B:AB,13+8,0),0)</f>
        <v>0</v>
      </c>
      <c r="W1166">
        <f>IFERROR(VLOOKUP("906-376348-210",B:AB,14+8,0),0)</f>
        <v>0</v>
      </c>
      <c r="X1166">
        <f>IFERROR(VLOOKUP("906-376348-210",B:AB,15+8,0),0)</f>
        <v>0</v>
      </c>
      <c r="Y1166">
        <f>IFERROR(VLOOKUP("906-376348-210",B:AB,16+8,0),0)</f>
        <v>0</v>
      </c>
      <c r="Z1166">
        <f>IFERROR(VLOOKUP("906-376348-210",B:AB,17+8,0),0)</f>
        <v>0</v>
      </c>
      <c r="AA1166">
        <f>IFERROR(VLOOKUP("906-376348-210",B:AB,18+8,0),0)</f>
        <v>0</v>
      </c>
      <c r="AB1166">
        <f>IFERROR(VLOOKUP("906-376348-210",B:AB,19+8,0),0)</f>
        <v>0</v>
      </c>
      <c r="AC1166">
        <f>IFERROR(VLOOKUP("906-376348-210",B:AB,20+8,0),0)</f>
        <v>0</v>
      </c>
      <c r="AD1166">
        <f>IFERROR(VLOOKUP("906-376348-210",B:AB,21+8,0),0)</f>
        <v>0</v>
      </c>
      <c r="AE1166">
        <f>IFERROR(VLOOKUP("906-376348-210",B:AB,22+8,0),0)</f>
        <v>0</v>
      </c>
      <c r="AF1166">
        <f>IFERROR(VLOOKUP("906-376348-210",B:AB,23+8,0),0)</f>
        <v>0</v>
      </c>
      <c r="AG1166">
        <f>IFERROR(VLOOKUP("906-376348-210",B:AB,24+8,0),0)</f>
        <v>0</v>
      </c>
      <c r="AH1166">
        <f>IFERROR(VLOOKUP("906-376348-210",B:AB,25+8,0),0)</f>
        <v>0</v>
      </c>
      <c r="AI1166">
        <f>IFERROR(VLOOKUP("906-376348-210",B:AB,26+8,0),0)</f>
        <v>0</v>
      </c>
      <c r="AJ1166">
        <f>IFERROR(VLOOKUP("906-376348-210",B:AB,27+8,0),0)</f>
        <v>0</v>
      </c>
      <c r="AK1166">
        <f>IFERROR(VLOOKUP("906-376348-210",B:AB,28+8,0),0)</f>
        <v>0</v>
      </c>
      <c r="AL1166">
        <f>IFERROR(VLOOKUP("906-376348-210",B:AB,29+8,0),0)</f>
        <v>0</v>
      </c>
      <c r="AM1166">
        <f>IFERROR(VLOOKUP("906-376348-210",B:AB,30+8,0),0)</f>
        <v>0</v>
      </c>
      <c r="AN1166">
        <f>IFERROR(VLOOKUP("906-376348-210",B:AB,31+8,0),0)</f>
        <v>0</v>
      </c>
      <c r="AO1166">
        <f>SUN(INDIRECT(ADDRESS(1165,8)):INDIRECT(ADDRESS(1165,39)))</f>
        <v>0</v>
      </c>
    </row>
    <row r="1167" spans="1:41">
      <c r="H1167" t="s">
        <v>179</v>
      </c>
      <c r="J1167">
        <f>INDIRECT(ADDRESS(1167,9))+INDIRECT(ADDRESS(1165,10))-INDIRECT(ADDRESS(1166,10))</f>
        <v>0</v>
      </c>
      <c r="K1167">
        <f>INDIRECT(ADDRESS(1167,10))+INDIRECT(ADDRESS(1165,11))-INDIRECT(ADDRESS(1166,11))</f>
        <v>0</v>
      </c>
      <c r="L1167">
        <f>INDIRECT(ADDRESS(1167,11))+INDIRECT(ADDRESS(1165,12))-INDIRECT(ADDRESS(1166,12))</f>
        <v>0</v>
      </c>
      <c r="M1167">
        <f>INDIRECT(ADDRESS(1167,12))+INDIRECT(ADDRESS(1165,13))-INDIRECT(ADDRESS(1166,13))</f>
        <v>0</v>
      </c>
      <c r="N1167">
        <f>INDIRECT(ADDRESS(1167,13))+INDIRECT(ADDRESS(1165,14))-INDIRECT(ADDRESS(1166,14))</f>
        <v>0</v>
      </c>
      <c r="O1167">
        <f>INDIRECT(ADDRESS(1167,14))+INDIRECT(ADDRESS(1165,15))-INDIRECT(ADDRESS(1166,15))</f>
        <v>0</v>
      </c>
      <c r="P1167">
        <f>INDIRECT(ADDRESS(1167,15))+INDIRECT(ADDRESS(1165,16))-INDIRECT(ADDRESS(1166,16))</f>
        <v>0</v>
      </c>
      <c r="Q1167">
        <f>INDIRECT(ADDRESS(1167,16))+INDIRECT(ADDRESS(1165,17))-INDIRECT(ADDRESS(1166,17))</f>
        <v>0</v>
      </c>
      <c r="R1167">
        <f>INDIRECT(ADDRESS(1167,17))+INDIRECT(ADDRESS(1165,18))-INDIRECT(ADDRESS(1166,18))</f>
        <v>0</v>
      </c>
      <c r="S1167">
        <f>INDIRECT(ADDRESS(1167,18))+INDIRECT(ADDRESS(1165,19))-INDIRECT(ADDRESS(1166,19))</f>
        <v>0</v>
      </c>
      <c r="T1167">
        <f>INDIRECT(ADDRESS(1167,19))+INDIRECT(ADDRESS(1165,20))-INDIRECT(ADDRESS(1166,20))</f>
        <v>0</v>
      </c>
      <c r="U1167">
        <f>INDIRECT(ADDRESS(1167,20))+INDIRECT(ADDRESS(1165,21))-INDIRECT(ADDRESS(1166,21))</f>
        <v>0</v>
      </c>
      <c r="V1167">
        <f>INDIRECT(ADDRESS(1167,21))+INDIRECT(ADDRESS(1165,22))-INDIRECT(ADDRESS(1166,22))</f>
        <v>0</v>
      </c>
      <c r="W1167">
        <f>INDIRECT(ADDRESS(1167,22))+INDIRECT(ADDRESS(1165,23))-INDIRECT(ADDRESS(1166,23))</f>
        <v>0</v>
      </c>
      <c r="X1167">
        <f>INDIRECT(ADDRESS(1167,23))+INDIRECT(ADDRESS(1165,24))-INDIRECT(ADDRESS(1166,24))</f>
        <v>0</v>
      </c>
      <c r="Y1167">
        <f>INDIRECT(ADDRESS(1167,24))+INDIRECT(ADDRESS(1165,25))-INDIRECT(ADDRESS(1166,25))</f>
        <v>0</v>
      </c>
      <c r="Z1167">
        <f>INDIRECT(ADDRESS(1167,25))+INDIRECT(ADDRESS(1165,26))-INDIRECT(ADDRESS(1166,26))</f>
        <v>0</v>
      </c>
      <c r="AA1167">
        <f>INDIRECT(ADDRESS(1167,26))+INDIRECT(ADDRESS(1165,27))-INDIRECT(ADDRESS(1166,27))</f>
        <v>0</v>
      </c>
      <c r="AB1167">
        <f>INDIRECT(ADDRESS(1167,27))+INDIRECT(ADDRESS(1165,28))-INDIRECT(ADDRESS(1166,28))</f>
        <v>0</v>
      </c>
      <c r="AC1167">
        <f>INDIRECT(ADDRESS(1167,28))+INDIRECT(ADDRESS(1165,29))-INDIRECT(ADDRESS(1166,29))</f>
        <v>0</v>
      </c>
      <c r="AD1167">
        <f>INDIRECT(ADDRESS(1167,29))+INDIRECT(ADDRESS(1165,30))-INDIRECT(ADDRESS(1166,30))</f>
        <v>0</v>
      </c>
      <c r="AE1167">
        <f>INDIRECT(ADDRESS(1167,30))+INDIRECT(ADDRESS(1165,31))-INDIRECT(ADDRESS(1166,31))</f>
        <v>0</v>
      </c>
      <c r="AF1167">
        <f>INDIRECT(ADDRESS(1167,31))+INDIRECT(ADDRESS(1165,32))-INDIRECT(ADDRESS(1166,32))</f>
        <v>0</v>
      </c>
      <c r="AG1167">
        <f>INDIRECT(ADDRESS(1167,32))+INDIRECT(ADDRESS(1165,33))-INDIRECT(ADDRESS(1166,33))</f>
        <v>0</v>
      </c>
      <c r="AH1167">
        <f>INDIRECT(ADDRESS(1167,33))+INDIRECT(ADDRESS(1165,34))-INDIRECT(ADDRESS(1166,34))</f>
        <v>0</v>
      </c>
      <c r="AI1167">
        <f>INDIRECT(ADDRESS(1167,34))+INDIRECT(ADDRESS(1165,35))-INDIRECT(ADDRESS(1166,35))</f>
        <v>0</v>
      </c>
      <c r="AJ1167">
        <f>INDIRECT(ADDRESS(1167,35))+INDIRECT(ADDRESS(1165,36))-INDIRECT(ADDRESS(1166,36))</f>
        <v>0</v>
      </c>
      <c r="AK1167">
        <f>INDIRECT(ADDRESS(1167,36))+INDIRECT(ADDRESS(1165,37))-INDIRECT(ADDRESS(1166,37))</f>
        <v>0</v>
      </c>
      <c r="AL1167">
        <f>INDIRECT(ADDRESS(1167,37))+INDIRECT(ADDRESS(1165,38))-INDIRECT(ADDRESS(1166,38))</f>
        <v>0</v>
      </c>
      <c r="AM1167">
        <f>INDIRECT(ADDRESS(1167,38))+INDIRECT(ADDRESS(1165,39))-INDIRECT(ADDRESS(1166,39))</f>
        <v>0</v>
      </c>
      <c r="AN1167">
        <f>INDIRECT(ADDRESS(1167,39))+INDIRECT(ADDRESS(1165,40))-INDIRECT(ADDRESS(1166,40))</f>
        <v>0</v>
      </c>
      <c r="AO1167">
        <f>SUM(INDIRECT(ADDRESS(1166,8)):INDIRECT(ADDRESS(1166,39)))</f>
        <v>0</v>
      </c>
    </row>
    <row r="1168" spans="1:41">
      <c r="A1168" t="s">
        <v>185</v>
      </c>
      <c r="B1168" t="s">
        <v>590</v>
      </c>
      <c r="C1168" t="s">
        <v>591</v>
      </c>
      <c r="E1168">
        <v>7</v>
      </c>
      <c r="I1168" t="s">
        <v>177</v>
      </c>
    </row>
    <row r="1169" spans="1:41">
      <c r="I1169" t="s">
        <v>178</v>
      </c>
      <c r="J1169">
        <f>IFERROR(VLOOKUP("906-376348-210",B:AB,1+8,0),0)</f>
        <v>0</v>
      </c>
      <c r="K1169">
        <f>IFERROR(VLOOKUP("906-376348-210",B:AB,2+8,0),0)</f>
        <v>0</v>
      </c>
      <c r="L1169">
        <f>IFERROR(VLOOKUP("906-376348-210",B:AB,3+8,0),0)</f>
        <v>0</v>
      </c>
      <c r="M1169">
        <f>IFERROR(VLOOKUP("906-376348-210",B:AB,4+8,0),0)</f>
        <v>0</v>
      </c>
      <c r="N1169">
        <f>IFERROR(VLOOKUP("906-376348-210",B:AB,5+8,0),0)</f>
        <v>0</v>
      </c>
      <c r="O1169">
        <f>IFERROR(VLOOKUP("906-376348-210",B:AB,6+8,0),0)</f>
        <v>0</v>
      </c>
      <c r="P1169">
        <f>IFERROR(VLOOKUP("906-376348-210",B:AB,7+8,0),0)</f>
        <v>0</v>
      </c>
      <c r="Q1169">
        <f>IFERROR(VLOOKUP("906-376348-210",B:AB,8+8,0),0)</f>
        <v>0</v>
      </c>
      <c r="R1169">
        <f>IFERROR(VLOOKUP("906-376348-210",B:AB,9+8,0),0)</f>
        <v>0</v>
      </c>
      <c r="S1169">
        <f>IFERROR(VLOOKUP("906-376348-210",B:AB,10+8,0),0)</f>
        <v>0</v>
      </c>
      <c r="T1169">
        <f>IFERROR(VLOOKUP("906-376348-210",B:AB,11+8,0),0)</f>
        <v>0</v>
      </c>
      <c r="U1169">
        <f>IFERROR(VLOOKUP("906-376348-210",B:AB,12+8,0),0)</f>
        <v>0</v>
      </c>
      <c r="V1169">
        <f>IFERROR(VLOOKUP("906-376348-210",B:AB,13+8,0),0)</f>
        <v>0</v>
      </c>
      <c r="W1169">
        <f>IFERROR(VLOOKUP("906-376348-210",B:AB,14+8,0),0)</f>
        <v>0</v>
      </c>
      <c r="X1169">
        <f>IFERROR(VLOOKUP("906-376348-210",B:AB,15+8,0),0)</f>
        <v>0</v>
      </c>
      <c r="Y1169">
        <f>IFERROR(VLOOKUP("906-376348-210",B:AB,16+8,0),0)</f>
        <v>0</v>
      </c>
      <c r="Z1169">
        <f>IFERROR(VLOOKUP("906-376348-210",B:AB,17+8,0),0)</f>
        <v>0</v>
      </c>
      <c r="AA1169">
        <f>IFERROR(VLOOKUP("906-376348-210",B:AB,18+8,0),0)</f>
        <v>0</v>
      </c>
      <c r="AB1169">
        <f>IFERROR(VLOOKUP("906-376348-210",B:AB,19+8,0),0)</f>
        <v>0</v>
      </c>
      <c r="AC1169">
        <f>IFERROR(VLOOKUP("906-376348-210",B:AB,20+8,0),0)</f>
        <v>0</v>
      </c>
      <c r="AD1169">
        <f>IFERROR(VLOOKUP("906-376348-210",B:AB,21+8,0),0)</f>
        <v>0</v>
      </c>
      <c r="AE1169">
        <f>IFERROR(VLOOKUP("906-376348-210",B:AB,22+8,0),0)</f>
        <v>0</v>
      </c>
      <c r="AF1169">
        <f>IFERROR(VLOOKUP("906-376348-210",B:AB,23+8,0),0)</f>
        <v>0</v>
      </c>
      <c r="AG1169">
        <f>IFERROR(VLOOKUP("906-376348-210",B:AB,24+8,0),0)</f>
        <v>0</v>
      </c>
      <c r="AH1169">
        <f>IFERROR(VLOOKUP("906-376348-210",B:AB,25+8,0),0)</f>
        <v>0</v>
      </c>
      <c r="AI1169">
        <f>IFERROR(VLOOKUP("906-376348-210",B:AB,26+8,0),0)</f>
        <v>0</v>
      </c>
      <c r="AJ1169">
        <f>IFERROR(VLOOKUP("906-376348-210",B:AB,27+8,0),0)</f>
        <v>0</v>
      </c>
      <c r="AK1169">
        <f>IFERROR(VLOOKUP("906-376348-210",B:AB,28+8,0),0)</f>
        <v>0</v>
      </c>
      <c r="AL1169">
        <f>IFERROR(VLOOKUP("906-376348-210",B:AB,29+8,0),0)</f>
        <v>0</v>
      </c>
      <c r="AM1169">
        <f>IFERROR(VLOOKUP("906-376348-210",B:AB,30+8,0),0)</f>
        <v>0</v>
      </c>
      <c r="AN1169">
        <f>IFERROR(VLOOKUP("906-376348-210",B:AB,31+8,0),0)</f>
        <v>0</v>
      </c>
      <c r="AO1169">
        <f>SUN(INDIRECT(ADDRESS(1168,8)):INDIRECT(ADDRESS(1168,39)))</f>
        <v>0</v>
      </c>
    </row>
    <row r="1170" spans="1:41">
      <c r="H1170" t="s">
        <v>179</v>
      </c>
      <c r="J1170">
        <f>INDIRECT(ADDRESS(1170,9))+INDIRECT(ADDRESS(1168,10))-INDIRECT(ADDRESS(1169,10))</f>
        <v>0</v>
      </c>
      <c r="K1170">
        <f>INDIRECT(ADDRESS(1170,10))+INDIRECT(ADDRESS(1168,11))-INDIRECT(ADDRESS(1169,11))</f>
        <v>0</v>
      </c>
      <c r="L1170">
        <f>INDIRECT(ADDRESS(1170,11))+INDIRECT(ADDRESS(1168,12))-INDIRECT(ADDRESS(1169,12))</f>
        <v>0</v>
      </c>
      <c r="M1170">
        <f>INDIRECT(ADDRESS(1170,12))+INDIRECT(ADDRESS(1168,13))-INDIRECT(ADDRESS(1169,13))</f>
        <v>0</v>
      </c>
      <c r="N1170">
        <f>INDIRECT(ADDRESS(1170,13))+INDIRECT(ADDRESS(1168,14))-INDIRECT(ADDRESS(1169,14))</f>
        <v>0</v>
      </c>
      <c r="O1170">
        <f>INDIRECT(ADDRESS(1170,14))+INDIRECT(ADDRESS(1168,15))-INDIRECT(ADDRESS(1169,15))</f>
        <v>0</v>
      </c>
      <c r="P1170">
        <f>INDIRECT(ADDRESS(1170,15))+INDIRECT(ADDRESS(1168,16))-INDIRECT(ADDRESS(1169,16))</f>
        <v>0</v>
      </c>
      <c r="Q1170">
        <f>INDIRECT(ADDRESS(1170,16))+INDIRECT(ADDRESS(1168,17))-INDIRECT(ADDRESS(1169,17))</f>
        <v>0</v>
      </c>
      <c r="R1170">
        <f>INDIRECT(ADDRESS(1170,17))+INDIRECT(ADDRESS(1168,18))-INDIRECT(ADDRESS(1169,18))</f>
        <v>0</v>
      </c>
      <c r="S1170">
        <f>INDIRECT(ADDRESS(1170,18))+INDIRECT(ADDRESS(1168,19))-INDIRECT(ADDRESS(1169,19))</f>
        <v>0</v>
      </c>
      <c r="T1170">
        <f>INDIRECT(ADDRESS(1170,19))+INDIRECT(ADDRESS(1168,20))-INDIRECT(ADDRESS(1169,20))</f>
        <v>0</v>
      </c>
      <c r="U1170">
        <f>INDIRECT(ADDRESS(1170,20))+INDIRECT(ADDRESS(1168,21))-INDIRECT(ADDRESS(1169,21))</f>
        <v>0</v>
      </c>
      <c r="V1170">
        <f>INDIRECT(ADDRESS(1170,21))+INDIRECT(ADDRESS(1168,22))-INDIRECT(ADDRESS(1169,22))</f>
        <v>0</v>
      </c>
      <c r="W1170">
        <f>INDIRECT(ADDRESS(1170,22))+INDIRECT(ADDRESS(1168,23))-INDIRECT(ADDRESS(1169,23))</f>
        <v>0</v>
      </c>
      <c r="X1170">
        <f>INDIRECT(ADDRESS(1170,23))+INDIRECT(ADDRESS(1168,24))-INDIRECT(ADDRESS(1169,24))</f>
        <v>0</v>
      </c>
      <c r="Y1170">
        <f>INDIRECT(ADDRESS(1170,24))+INDIRECT(ADDRESS(1168,25))-INDIRECT(ADDRESS(1169,25))</f>
        <v>0</v>
      </c>
      <c r="Z1170">
        <f>INDIRECT(ADDRESS(1170,25))+INDIRECT(ADDRESS(1168,26))-INDIRECT(ADDRESS(1169,26))</f>
        <v>0</v>
      </c>
      <c r="AA1170">
        <f>INDIRECT(ADDRESS(1170,26))+INDIRECT(ADDRESS(1168,27))-INDIRECT(ADDRESS(1169,27))</f>
        <v>0</v>
      </c>
      <c r="AB1170">
        <f>INDIRECT(ADDRESS(1170,27))+INDIRECT(ADDRESS(1168,28))-INDIRECT(ADDRESS(1169,28))</f>
        <v>0</v>
      </c>
      <c r="AC1170">
        <f>INDIRECT(ADDRESS(1170,28))+INDIRECT(ADDRESS(1168,29))-INDIRECT(ADDRESS(1169,29))</f>
        <v>0</v>
      </c>
      <c r="AD1170">
        <f>INDIRECT(ADDRESS(1170,29))+INDIRECT(ADDRESS(1168,30))-INDIRECT(ADDRESS(1169,30))</f>
        <v>0</v>
      </c>
      <c r="AE1170">
        <f>INDIRECT(ADDRESS(1170,30))+INDIRECT(ADDRESS(1168,31))-INDIRECT(ADDRESS(1169,31))</f>
        <v>0</v>
      </c>
      <c r="AF1170">
        <f>INDIRECT(ADDRESS(1170,31))+INDIRECT(ADDRESS(1168,32))-INDIRECT(ADDRESS(1169,32))</f>
        <v>0</v>
      </c>
      <c r="AG1170">
        <f>INDIRECT(ADDRESS(1170,32))+INDIRECT(ADDRESS(1168,33))-INDIRECT(ADDRESS(1169,33))</f>
        <v>0</v>
      </c>
      <c r="AH1170">
        <f>INDIRECT(ADDRESS(1170,33))+INDIRECT(ADDRESS(1168,34))-INDIRECT(ADDRESS(1169,34))</f>
        <v>0</v>
      </c>
      <c r="AI1170">
        <f>INDIRECT(ADDRESS(1170,34))+INDIRECT(ADDRESS(1168,35))-INDIRECT(ADDRESS(1169,35))</f>
        <v>0</v>
      </c>
      <c r="AJ1170">
        <f>INDIRECT(ADDRESS(1170,35))+INDIRECT(ADDRESS(1168,36))-INDIRECT(ADDRESS(1169,36))</f>
        <v>0</v>
      </c>
      <c r="AK1170">
        <f>INDIRECT(ADDRESS(1170,36))+INDIRECT(ADDRESS(1168,37))-INDIRECT(ADDRESS(1169,37))</f>
        <v>0</v>
      </c>
      <c r="AL1170">
        <f>INDIRECT(ADDRESS(1170,37))+INDIRECT(ADDRESS(1168,38))-INDIRECT(ADDRESS(1169,38))</f>
        <v>0</v>
      </c>
      <c r="AM1170">
        <f>INDIRECT(ADDRESS(1170,38))+INDIRECT(ADDRESS(1168,39))-INDIRECT(ADDRESS(1169,39))</f>
        <v>0</v>
      </c>
      <c r="AN1170">
        <f>INDIRECT(ADDRESS(1170,39))+INDIRECT(ADDRESS(1168,40))-INDIRECT(ADDRESS(1169,40))</f>
        <v>0</v>
      </c>
      <c r="AO1170">
        <f>SUM(INDIRECT(ADDRESS(1169,8)):INDIRECT(ADDRESS(1169,39)))</f>
        <v>0</v>
      </c>
    </row>
    <row r="1171" spans="1:41">
      <c r="A1171" t="s">
        <v>185</v>
      </c>
      <c r="B1171" t="s">
        <v>592</v>
      </c>
      <c r="C1171" t="s">
        <v>593</v>
      </c>
      <c r="E1171">
        <v>1</v>
      </c>
      <c r="I1171" t="s">
        <v>177</v>
      </c>
    </row>
    <row r="1172" spans="1:41">
      <c r="I1172" t="s">
        <v>178</v>
      </c>
      <c r="J1172">
        <f>IFERROR(VLOOKUP("906-376348-210",B:AB,1+8,0),0)</f>
        <v>0</v>
      </c>
      <c r="K1172">
        <f>IFERROR(VLOOKUP("906-376348-210",B:AB,2+8,0),0)</f>
        <v>0</v>
      </c>
      <c r="L1172">
        <f>IFERROR(VLOOKUP("906-376348-210",B:AB,3+8,0),0)</f>
        <v>0</v>
      </c>
      <c r="M1172">
        <f>IFERROR(VLOOKUP("906-376348-210",B:AB,4+8,0),0)</f>
        <v>0</v>
      </c>
      <c r="N1172">
        <f>IFERROR(VLOOKUP("906-376348-210",B:AB,5+8,0),0)</f>
        <v>0</v>
      </c>
      <c r="O1172">
        <f>IFERROR(VLOOKUP("906-376348-210",B:AB,6+8,0),0)</f>
        <v>0</v>
      </c>
      <c r="P1172">
        <f>IFERROR(VLOOKUP("906-376348-210",B:AB,7+8,0),0)</f>
        <v>0</v>
      </c>
      <c r="Q1172">
        <f>IFERROR(VLOOKUP("906-376348-210",B:AB,8+8,0),0)</f>
        <v>0</v>
      </c>
      <c r="R1172">
        <f>IFERROR(VLOOKUP("906-376348-210",B:AB,9+8,0),0)</f>
        <v>0</v>
      </c>
      <c r="S1172">
        <f>IFERROR(VLOOKUP("906-376348-210",B:AB,10+8,0),0)</f>
        <v>0</v>
      </c>
      <c r="T1172">
        <f>IFERROR(VLOOKUP("906-376348-210",B:AB,11+8,0),0)</f>
        <v>0</v>
      </c>
      <c r="U1172">
        <f>IFERROR(VLOOKUP("906-376348-210",B:AB,12+8,0),0)</f>
        <v>0</v>
      </c>
      <c r="V1172">
        <f>IFERROR(VLOOKUP("906-376348-210",B:AB,13+8,0),0)</f>
        <v>0</v>
      </c>
      <c r="W1172">
        <f>IFERROR(VLOOKUP("906-376348-210",B:AB,14+8,0),0)</f>
        <v>0</v>
      </c>
      <c r="X1172">
        <f>IFERROR(VLOOKUP("906-376348-210",B:AB,15+8,0),0)</f>
        <v>0</v>
      </c>
      <c r="Y1172">
        <f>IFERROR(VLOOKUP("906-376348-210",B:AB,16+8,0),0)</f>
        <v>0</v>
      </c>
      <c r="Z1172">
        <f>IFERROR(VLOOKUP("906-376348-210",B:AB,17+8,0),0)</f>
        <v>0</v>
      </c>
      <c r="AA1172">
        <f>IFERROR(VLOOKUP("906-376348-210",B:AB,18+8,0),0)</f>
        <v>0</v>
      </c>
      <c r="AB1172">
        <f>IFERROR(VLOOKUP("906-376348-210",B:AB,19+8,0),0)</f>
        <v>0</v>
      </c>
      <c r="AC1172">
        <f>IFERROR(VLOOKUP("906-376348-210",B:AB,20+8,0),0)</f>
        <v>0</v>
      </c>
      <c r="AD1172">
        <f>IFERROR(VLOOKUP("906-376348-210",B:AB,21+8,0),0)</f>
        <v>0</v>
      </c>
      <c r="AE1172">
        <f>IFERROR(VLOOKUP("906-376348-210",B:AB,22+8,0),0)</f>
        <v>0</v>
      </c>
      <c r="AF1172">
        <f>IFERROR(VLOOKUP("906-376348-210",B:AB,23+8,0),0)</f>
        <v>0</v>
      </c>
      <c r="AG1172">
        <f>IFERROR(VLOOKUP("906-376348-210",B:AB,24+8,0),0)</f>
        <v>0</v>
      </c>
      <c r="AH1172">
        <f>IFERROR(VLOOKUP("906-376348-210",B:AB,25+8,0),0)</f>
        <v>0</v>
      </c>
      <c r="AI1172">
        <f>IFERROR(VLOOKUP("906-376348-210",B:AB,26+8,0),0)</f>
        <v>0</v>
      </c>
      <c r="AJ1172">
        <f>IFERROR(VLOOKUP("906-376348-210",B:AB,27+8,0),0)</f>
        <v>0</v>
      </c>
      <c r="AK1172">
        <f>IFERROR(VLOOKUP("906-376348-210",B:AB,28+8,0),0)</f>
        <v>0</v>
      </c>
      <c r="AL1172">
        <f>IFERROR(VLOOKUP("906-376348-210",B:AB,29+8,0),0)</f>
        <v>0</v>
      </c>
      <c r="AM1172">
        <f>IFERROR(VLOOKUP("906-376348-210",B:AB,30+8,0),0)</f>
        <v>0</v>
      </c>
      <c r="AN1172">
        <f>IFERROR(VLOOKUP("906-376348-210",B:AB,31+8,0),0)</f>
        <v>0</v>
      </c>
      <c r="AO1172">
        <f>SUN(INDIRECT(ADDRESS(1171,8)):INDIRECT(ADDRESS(1171,39)))</f>
        <v>0</v>
      </c>
    </row>
    <row r="1173" spans="1:41">
      <c r="H1173" t="s">
        <v>179</v>
      </c>
      <c r="J1173">
        <f>INDIRECT(ADDRESS(1173,9))+INDIRECT(ADDRESS(1171,10))-INDIRECT(ADDRESS(1172,10))</f>
        <v>0</v>
      </c>
      <c r="K1173">
        <f>INDIRECT(ADDRESS(1173,10))+INDIRECT(ADDRESS(1171,11))-INDIRECT(ADDRESS(1172,11))</f>
        <v>0</v>
      </c>
      <c r="L1173">
        <f>INDIRECT(ADDRESS(1173,11))+INDIRECT(ADDRESS(1171,12))-INDIRECT(ADDRESS(1172,12))</f>
        <v>0</v>
      </c>
      <c r="M1173">
        <f>INDIRECT(ADDRESS(1173,12))+INDIRECT(ADDRESS(1171,13))-INDIRECT(ADDRESS(1172,13))</f>
        <v>0</v>
      </c>
      <c r="N1173">
        <f>INDIRECT(ADDRESS(1173,13))+INDIRECT(ADDRESS(1171,14))-INDIRECT(ADDRESS(1172,14))</f>
        <v>0</v>
      </c>
      <c r="O1173">
        <f>INDIRECT(ADDRESS(1173,14))+INDIRECT(ADDRESS(1171,15))-INDIRECT(ADDRESS(1172,15))</f>
        <v>0</v>
      </c>
      <c r="P1173">
        <f>INDIRECT(ADDRESS(1173,15))+INDIRECT(ADDRESS(1171,16))-INDIRECT(ADDRESS(1172,16))</f>
        <v>0</v>
      </c>
      <c r="Q1173">
        <f>INDIRECT(ADDRESS(1173,16))+INDIRECT(ADDRESS(1171,17))-INDIRECT(ADDRESS(1172,17))</f>
        <v>0</v>
      </c>
      <c r="R1173">
        <f>INDIRECT(ADDRESS(1173,17))+INDIRECT(ADDRESS(1171,18))-INDIRECT(ADDRESS(1172,18))</f>
        <v>0</v>
      </c>
      <c r="S1173">
        <f>INDIRECT(ADDRESS(1173,18))+INDIRECT(ADDRESS(1171,19))-INDIRECT(ADDRESS(1172,19))</f>
        <v>0</v>
      </c>
      <c r="T1173">
        <f>INDIRECT(ADDRESS(1173,19))+INDIRECT(ADDRESS(1171,20))-INDIRECT(ADDRESS(1172,20))</f>
        <v>0</v>
      </c>
      <c r="U1173">
        <f>INDIRECT(ADDRESS(1173,20))+INDIRECT(ADDRESS(1171,21))-INDIRECT(ADDRESS(1172,21))</f>
        <v>0</v>
      </c>
      <c r="V1173">
        <f>INDIRECT(ADDRESS(1173,21))+INDIRECT(ADDRESS(1171,22))-INDIRECT(ADDRESS(1172,22))</f>
        <v>0</v>
      </c>
      <c r="W1173">
        <f>INDIRECT(ADDRESS(1173,22))+INDIRECT(ADDRESS(1171,23))-INDIRECT(ADDRESS(1172,23))</f>
        <v>0</v>
      </c>
      <c r="X1173">
        <f>INDIRECT(ADDRESS(1173,23))+INDIRECT(ADDRESS(1171,24))-INDIRECT(ADDRESS(1172,24))</f>
        <v>0</v>
      </c>
      <c r="Y1173">
        <f>INDIRECT(ADDRESS(1173,24))+INDIRECT(ADDRESS(1171,25))-INDIRECT(ADDRESS(1172,25))</f>
        <v>0</v>
      </c>
      <c r="Z1173">
        <f>INDIRECT(ADDRESS(1173,25))+INDIRECT(ADDRESS(1171,26))-INDIRECT(ADDRESS(1172,26))</f>
        <v>0</v>
      </c>
      <c r="AA1173">
        <f>INDIRECT(ADDRESS(1173,26))+INDIRECT(ADDRESS(1171,27))-INDIRECT(ADDRESS(1172,27))</f>
        <v>0</v>
      </c>
      <c r="AB1173">
        <f>INDIRECT(ADDRESS(1173,27))+INDIRECT(ADDRESS(1171,28))-INDIRECT(ADDRESS(1172,28))</f>
        <v>0</v>
      </c>
      <c r="AC1173">
        <f>INDIRECT(ADDRESS(1173,28))+INDIRECT(ADDRESS(1171,29))-INDIRECT(ADDRESS(1172,29))</f>
        <v>0</v>
      </c>
      <c r="AD1173">
        <f>INDIRECT(ADDRESS(1173,29))+INDIRECT(ADDRESS(1171,30))-INDIRECT(ADDRESS(1172,30))</f>
        <v>0</v>
      </c>
      <c r="AE1173">
        <f>INDIRECT(ADDRESS(1173,30))+INDIRECT(ADDRESS(1171,31))-INDIRECT(ADDRESS(1172,31))</f>
        <v>0</v>
      </c>
      <c r="AF1173">
        <f>INDIRECT(ADDRESS(1173,31))+INDIRECT(ADDRESS(1171,32))-INDIRECT(ADDRESS(1172,32))</f>
        <v>0</v>
      </c>
      <c r="AG1173">
        <f>INDIRECT(ADDRESS(1173,32))+INDIRECT(ADDRESS(1171,33))-INDIRECT(ADDRESS(1172,33))</f>
        <v>0</v>
      </c>
      <c r="AH1173">
        <f>INDIRECT(ADDRESS(1173,33))+INDIRECT(ADDRESS(1171,34))-INDIRECT(ADDRESS(1172,34))</f>
        <v>0</v>
      </c>
      <c r="AI1173">
        <f>INDIRECT(ADDRESS(1173,34))+INDIRECT(ADDRESS(1171,35))-INDIRECT(ADDRESS(1172,35))</f>
        <v>0</v>
      </c>
      <c r="AJ1173">
        <f>INDIRECT(ADDRESS(1173,35))+INDIRECT(ADDRESS(1171,36))-INDIRECT(ADDRESS(1172,36))</f>
        <v>0</v>
      </c>
      <c r="AK1173">
        <f>INDIRECT(ADDRESS(1173,36))+INDIRECT(ADDRESS(1171,37))-INDIRECT(ADDRESS(1172,37))</f>
        <v>0</v>
      </c>
      <c r="AL1173">
        <f>INDIRECT(ADDRESS(1173,37))+INDIRECT(ADDRESS(1171,38))-INDIRECT(ADDRESS(1172,38))</f>
        <v>0</v>
      </c>
      <c r="AM1173">
        <f>INDIRECT(ADDRESS(1173,38))+INDIRECT(ADDRESS(1171,39))-INDIRECT(ADDRESS(1172,39))</f>
        <v>0</v>
      </c>
      <c r="AN1173">
        <f>INDIRECT(ADDRESS(1173,39))+INDIRECT(ADDRESS(1171,40))-INDIRECT(ADDRESS(1172,40))</f>
        <v>0</v>
      </c>
      <c r="AO1173">
        <f>SUM(INDIRECT(ADDRESS(1172,8)):INDIRECT(ADDRESS(1172,39)))</f>
        <v>0</v>
      </c>
    </row>
    <row r="1174" spans="1:41">
      <c r="A1174" t="s">
        <v>185</v>
      </c>
      <c r="B1174" t="s">
        <v>594</v>
      </c>
      <c r="C1174" t="s">
        <v>595</v>
      </c>
      <c r="E1174">
        <v>1</v>
      </c>
      <c r="I1174" t="s">
        <v>177</v>
      </c>
    </row>
    <row r="1175" spans="1:41">
      <c r="I1175" t="s">
        <v>178</v>
      </c>
      <c r="J1175">
        <f>IFERROR(VLOOKUP("906-376348-210",B:AB,1+8,0),0)</f>
        <v>0</v>
      </c>
      <c r="K1175">
        <f>IFERROR(VLOOKUP("906-376348-210",B:AB,2+8,0),0)</f>
        <v>0</v>
      </c>
      <c r="L1175">
        <f>IFERROR(VLOOKUP("906-376348-210",B:AB,3+8,0),0)</f>
        <v>0</v>
      </c>
      <c r="M1175">
        <f>IFERROR(VLOOKUP("906-376348-210",B:AB,4+8,0),0)</f>
        <v>0</v>
      </c>
      <c r="N1175">
        <f>IFERROR(VLOOKUP("906-376348-210",B:AB,5+8,0),0)</f>
        <v>0</v>
      </c>
      <c r="O1175">
        <f>IFERROR(VLOOKUP("906-376348-210",B:AB,6+8,0),0)</f>
        <v>0</v>
      </c>
      <c r="P1175">
        <f>IFERROR(VLOOKUP("906-376348-210",B:AB,7+8,0),0)</f>
        <v>0</v>
      </c>
      <c r="Q1175">
        <f>IFERROR(VLOOKUP("906-376348-210",B:AB,8+8,0),0)</f>
        <v>0</v>
      </c>
      <c r="R1175">
        <f>IFERROR(VLOOKUP("906-376348-210",B:AB,9+8,0),0)</f>
        <v>0</v>
      </c>
      <c r="S1175">
        <f>IFERROR(VLOOKUP("906-376348-210",B:AB,10+8,0),0)</f>
        <v>0</v>
      </c>
      <c r="T1175">
        <f>IFERROR(VLOOKUP("906-376348-210",B:AB,11+8,0),0)</f>
        <v>0</v>
      </c>
      <c r="U1175">
        <f>IFERROR(VLOOKUP("906-376348-210",B:AB,12+8,0),0)</f>
        <v>0</v>
      </c>
      <c r="V1175">
        <f>IFERROR(VLOOKUP("906-376348-210",B:AB,13+8,0),0)</f>
        <v>0</v>
      </c>
      <c r="W1175">
        <f>IFERROR(VLOOKUP("906-376348-210",B:AB,14+8,0),0)</f>
        <v>0</v>
      </c>
      <c r="X1175">
        <f>IFERROR(VLOOKUP("906-376348-210",B:AB,15+8,0),0)</f>
        <v>0</v>
      </c>
      <c r="Y1175">
        <f>IFERROR(VLOOKUP("906-376348-210",B:AB,16+8,0),0)</f>
        <v>0</v>
      </c>
      <c r="Z1175">
        <f>IFERROR(VLOOKUP("906-376348-210",B:AB,17+8,0),0)</f>
        <v>0</v>
      </c>
      <c r="AA1175">
        <f>IFERROR(VLOOKUP("906-376348-210",B:AB,18+8,0),0)</f>
        <v>0</v>
      </c>
      <c r="AB1175">
        <f>IFERROR(VLOOKUP("906-376348-210",B:AB,19+8,0),0)</f>
        <v>0</v>
      </c>
      <c r="AC1175">
        <f>IFERROR(VLOOKUP("906-376348-210",B:AB,20+8,0),0)</f>
        <v>0</v>
      </c>
      <c r="AD1175">
        <f>IFERROR(VLOOKUP("906-376348-210",B:AB,21+8,0),0)</f>
        <v>0</v>
      </c>
      <c r="AE1175">
        <f>IFERROR(VLOOKUP("906-376348-210",B:AB,22+8,0),0)</f>
        <v>0</v>
      </c>
      <c r="AF1175">
        <f>IFERROR(VLOOKUP("906-376348-210",B:AB,23+8,0),0)</f>
        <v>0</v>
      </c>
      <c r="AG1175">
        <f>IFERROR(VLOOKUP("906-376348-210",B:AB,24+8,0),0)</f>
        <v>0</v>
      </c>
      <c r="AH1175">
        <f>IFERROR(VLOOKUP("906-376348-210",B:AB,25+8,0),0)</f>
        <v>0</v>
      </c>
      <c r="AI1175">
        <f>IFERROR(VLOOKUP("906-376348-210",B:AB,26+8,0),0)</f>
        <v>0</v>
      </c>
      <c r="AJ1175">
        <f>IFERROR(VLOOKUP("906-376348-210",B:AB,27+8,0),0)</f>
        <v>0</v>
      </c>
      <c r="AK1175">
        <f>IFERROR(VLOOKUP("906-376348-210",B:AB,28+8,0),0)</f>
        <v>0</v>
      </c>
      <c r="AL1175">
        <f>IFERROR(VLOOKUP("906-376348-210",B:AB,29+8,0),0)</f>
        <v>0</v>
      </c>
      <c r="AM1175">
        <f>IFERROR(VLOOKUP("906-376348-210",B:AB,30+8,0),0)</f>
        <v>0</v>
      </c>
      <c r="AN1175">
        <f>IFERROR(VLOOKUP("906-376348-210",B:AB,31+8,0),0)</f>
        <v>0</v>
      </c>
      <c r="AO1175">
        <f>SUN(INDIRECT(ADDRESS(1174,8)):INDIRECT(ADDRESS(1174,39)))</f>
        <v>0</v>
      </c>
    </row>
    <row r="1176" spans="1:41">
      <c r="H1176" t="s">
        <v>179</v>
      </c>
      <c r="J1176">
        <f>INDIRECT(ADDRESS(1176,9))+INDIRECT(ADDRESS(1174,10))-INDIRECT(ADDRESS(1175,10))</f>
        <v>0</v>
      </c>
      <c r="K1176">
        <f>INDIRECT(ADDRESS(1176,10))+INDIRECT(ADDRESS(1174,11))-INDIRECT(ADDRESS(1175,11))</f>
        <v>0</v>
      </c>
      <c r="L1176">
        <f>INDIRECT(ADDRESS(1176,11))+INDIRECT(ADDRESS(1174,12))-INDIRECT(ADDRESS(1175,12))</f>
        <v>0</v>
      </c>
      <c r="M1176">
        <f>INDIRECT(ADDRESS(1176,12))+INDIRECT(ADDRESS(1174,13))-INDIRECT(ADDRESS(1175,13))</f>
        <v>0</v>
      </c>
      <c r="N1176">
        <f>INDIRECT(ADDRESS(1176,13))+INDIRECT(ADDRESS(1174,14))-INDIRECT(ADDRESS(1175,14))</f>
        <v>0</v>
      </c>
      <c r="O1176">
        <f>INDIRECT(ADDRESS(1176,14))+INDIRECT(ADDRESS(1174,15))-INDIRECT(ADDRESS(1175,15))</f>
        <v>0</v>
      </c>
      <c r="P1176">
        <f>INDIRECT(ADDRESS(1176,15))+INDIRECT(ADDRESS(1174,16))-INDIRECT(ADDRESS(1175,16))</f>
        <v>0</v>
      </c>
      <c r="Q1176">
        <f>INDIRECT(ADDRESS(1176,16))+INDIRECT(ADDRESS(1174,17))-INDIRECT(ADDRESS(1175,17))</f>
        <v>0</v>
      </c>
      <c r="R1176">
        <f>INDIRECT(ADDRESS(1176,17))+INDIRECT(ADDRESS(1174,18))-INDIRECT(ADDRESS(1175,18))</f>
        <v>0</v>
      </c>
      <c r="S1176">
        <f>INDIRECT(ADDRESS(1176,18))+INDIRECT(ADDRESS(1174,19))-INDIRECT(ADDRESS(1175,19))</f>
        <v>0</v>
      </c>
      <c r="T1176">
        <f>INDIRECT(ADDRESS(1176,19))+INDIRECT(ADDRESS(1174,20))-INDIRECT(ADDRESS(1175,20))</f>
        <v>0</v>
      </c>
      <c r="U1176">
        <f>INDIRECT(ADDRESS(1176,20))+INDIRECT(ADDRESS(1174,21))-INDIRECT(ADDRESS(1175,21))</f>
        <v>0</v>
      </c>
      <c r="V1176">
        <f>INDIRECT(ADDRESS(1176,21))+INDIRECT(ADDRESS(1174,22))-INDIRECT(ADDRESS(1175,22))</f>
        <v>0</v>
      </c>
      <c r="W1176">
        <f>INDIRECT(ADDRESS(1176,22))+INDIRECT(ADDRESS(1174,23))-INDIRECT(ADDRESS(1175,23))</f>
        <v>0</v>
      </c>
      <c r="X1176">
        <f>INDIRECT(ADDRESS(1176,23))+INDIRECT(ADDRESS(1174,24))-INDIRECT(ADDRESS(1175,24))</f>
        <v>0</v>
      </c>
      <c r="Y1176">
        <f>INDIRECT(ADDRESS(1176,24))+INDIRECT(ADDRESS(1174,25))-INDIRECT(ADDRESS(1175,25))</f>
        <v>0</v>
      </c>
      <c r="Z1176">
        <f>INDIRECT(ADDRESS(1176,25))+INDIRECT(ADDRESS(1174,26))-INDIRECT(ADDRESS(1175,26))</f>
        <v>0</v>
      </c>
      <c r="AA1176">
        <f>INDIRECT(ADDRESS(1176,26))+INDIRECT(ADDRESS(1174,27))-INDIRECT(ADDRESS(1175,27))</f>
        <v>0</v>
      </c>
      <c r="AB1176">
        <f>INDIRECT(ADDRESS(1176,27))+INDIRECT(ADDRESS(1174,28))-INDIRECT(ADDRESS(1175,28))</f>
        <v>0</v>
      </c>
      <c r="AC1176">
        <f>INDIRECT(ADDRESS(1176,28))+INDIRECT(ADDRESS(1174,29))-INDIRECT(ADDRESS(1175,29))</f>
        <v>0</v>
      </c>
      <c r="AD1176">
        <f>INDIRECT(ADDRESS(1176,29))+INDIRECT(ADDRESS(1174,30))-INDIRECT(ADDRESS(1175,30))</f>
        <v>0</v>
      </c>
      <c r="AE1176">
        <f>INDIRECT(ADDRESS(1176,30))+INDIRECT(ADDRESS(1174,31))-INDIRECT(ADDRESS(1175,31))</f>
        <v>0</v>
      </c>
      <c r="AF1176">
        <f>INDIRECT(ADDRESS(1176,31))+INDIRECT(ADDRESS(1174,32))-INDIRECT(ADDRESS(1175,32))</f>
        <v>0</v>
      </c>
      <c r="AG1176">
        <f>INDIRECT(ADDRESS(1176,32))+INDIRECT(ADDRESS(1174,33))-INDIRECT(ADDRESS(1175,33))</f>
        <v>0</v>
      </c>
      <c r="AH1176">
        <f>INDIRECT(ADDRESS(1176,33))+INDIRECT(ADDRESS(1174,34))-INDIRECT(ADDRESS(1175,34))</f>
        <v>0</v>
      </c>
      <c r="AI1176">
        <f>INDIRECT(ADDRESS(1176,34))+INDIRECT(ADDRESS(1174,35))-INDIRECT(ADDRESS(1175,35))</f>
        <v>0</v>
      </c>
      <c r="AJ1176">
        <f>INDIRECT(ADDRESS(1176,35))+INDIRECT(ADDRESS(1174,36))-INDIRECT(ADDRESS(1175,36))</f>
        <v>0</v>
      </c>
      <c r="AK1176">
        <f>INDIRECT(ADDRESS(1176,36))+INDIRECT(ADDRESS(1174,37))-INDIRECT(ADDRESS(1175,37))</f>
        <v>0</v>
      </c>
      <c r="AL1176">
        <f>INDIRECT(ADDRESS(1176,37))+INDIRECT(ADDRESS(1174,38))-INDIRECT(ADDRESS(1175,38))</f>
        <v>0</v>
      </c>
      <c r="AM1176">
        <f>INDIRECT(ADDRESS(1176,38))+INDIRECT(ADDRESS(1174,39))-INDIRECT(ADDRESS(1175,39))</f>
        <v>0</v>
      </c>
      <c r="AN1176">
        <f>INDIRECT(ADDRESS(1176,39))+INDIRECT(ADDRESS(1174,40))-INDIRECT(ADDRESS(1175,40))</f>
        <v>0</v>
      </c>
      <c r="AO1176">
        <f>SUM(INDIRECT(ADDRESS(1175,8)):INDIRECT(ADDRESS(1175,39)))</f>
        <v>0</v>
      </c>
    </row>
    <row r="1177" spans="1:41">
      <c r="A1177" t="s">
        <v>185</v>
      </c>
      <c r="B1177" t="s">
        <v>596</v>
      </c>
      <c r="C1177" t="s">
        <v>597</v>
      </c>
      <c r="E1177">
        <v>7</v>
      </c>
      <c r="I1177" t="s">
        <v>177</v>
      </c>
    </row>
    <row r="1178" spans="1:41">
      <c r="I1178" t="s">
        <v>178</v>
      </c>
      <c r="J1178">
        <f>IFERROR(VLOOKUP("906-376348-210",B:AB,1+8,0),0)</f>
        <v>0</v>
      </c>
      <c r="K1178">
        <f>IFERROR(VLOOKUP("906-376348-210",B:AB,2+8,0),0)</f>
        <v>0</v>
      </c>
      <c r="L1178">
        <f>IFERROR(VLOOKUP("906-376348-210",B:AB,3+8,0),0)</f>
        <v>0</v>
      </c>
      <c r="M1178">
        <f>IFERROR(VLOOKUP("906-376348-210",B:AB,4+8,0),0)</f>
        <v>0</v>
      </c>
      <c r="N1178">
        <f>IFERROR(VLOOKUP("906-376348-210",B:AB,5+8,0),0)</f>
        <v>0</v>
      </c>
      <c r="O1178">
        <f>IFERROR(VLOOKUP("906-376348-210",B:AB,6+8,0),0)</f>
        <v>0</v>
      </c>
      <c r="P1178">
        <f>IFERROR(VLOOKUP("906-376348-210",B:AB,7+8,0),0)</f>
        <v>0</v>
      </c>
      <c r="Q1178">
        <f>IFERROR(VLOOKUP("906-376348-210",B:AB,8+8,0),0)</f>
        <v>0</v>
      </c>
      <c r="R1178">
        <f>IFERROR(VLOOKUP("906-376348-210",B:AB,9+8,0),0)</f>
        <v>0</v>
      </c>
      <c r="S1178">
        <f>IFERROR(VLOOKUP("906-376348-210",B:AB,10+8,0),0)</f>
        <v>0</v>
      </c>
      <c r="T1178">
        <f>IFERROR(VLOOKUP("906-376348-210",B:AB,11+8,0),0)</f>
        <v>0</v>
      </c>
      <c r="U1178">
        <f>IFERROR(VLOOKUP("906-376348-210",B:AB,12+8,0),0)</f>
        <v>0</v>
      </c>
      <c r="V1178">
        <f>IFERROR(VLOOKUP("906-376348-210",B:AB,13+8,0),0)</f>
        <v>0</v>
      </c>
      <c r="W1178">
        <f>IFERROR(VLOOKUP("906-376348-210",B:AB,14+8,0),0)</f>
        <v>0</v>
      </c>
      <c r="X1178">
        <f>IFERROR(VLOOKUP("906-376348-210",B:AB,15+8,0),0)</f>
        <v>0</v>
      </c>
      <c r="Y1178">
        <f>IFERROR(VLOOKUP("906-376348-210",B:AB,16+8,0),0)</f>
        <v>0</v>
      </c>
      <c r="Z1178">
        <f>IFERROR(VLOOKUP("906-376348-210",B:AB,17+8,0),0)</f>
        <v>0</v>
      </c>
      <c r="AA1178">
        <f>IFERROR(VLOOKUP("906-376348-210",B:AB,18+8,0),0)</f>
        <v>0</v>
      </c>
      <c r="AB1178">
        <f>IFERROR(VLOOKUP("906-376348-210",B:AB,19+8,0),0)</f>
        <v>0</v>
      </c>
      <c r="AC1178">
        <f>IFERROR(VLOOKUP("906-376348-210",B:AB,20+8,0),0)</f>
        <v>0</v>
      </c>
      <c r="AD1178">
        <f>IFERROR(VLOOKUP("906-376348-210",B:AB,21+8,0),0)</f>
        <v>0</v>
      </c>
      <c r="AE1178">
        <f>IFERROR(VLOOKUP("906-376348-210",B:AB,22+8,0),0)</f>
        <v>0</v>
      </c>
      <c r="AF1178">
        <f>IFERROR(VLOOKUP("906-376348-210",B:AB,23+8,0),0)</f>
        <v>0</v>
      </c>
      <c r="AG1178">
        <f>IFERROR(VLOOKUP("906-376348-210",B:AB,24+8,0),0)</f>
        <v>0</v>
      </c>
      <c r="AH1178">
        <f>IFERROR(VLOOKUP("906-376348-210",B:AB,25+8,0),0)</f>
        <v>0</v>
      </c>
      <c r="AI1178">
        <f>IFERROR(VLOOKUP("906-376348-210",B:AB,26+8,0),0)</f>
        <v>0</v>
      </c>
      <c r="AJ1178">
        <f>IFERROR(VLOOKUP("906-376348-210",B:AB,27+8,0),0)</f>
        <v>0</v>
      </c>
      <c r="AK1178">
        <f>IFERROR(VLOOKUP("906-376348-210",B:AB,28+8,0),0)</f>
        <v>0</v>
      </c>
      <c r="AL1178">
        <f>IFERROR(VLOOKUP("906-376348-210",B:AB,29+8,0),0)</f>
        <v>0</v>
      </c>
      <c r="AM1178">
        <f>IFERROR(VLOOKUP("906-376348-210",B:AB,30+8,0),0)</f>
        <v>0</v>
      </c>
      <c r="AN1178">
        <f>IFERROR(VLOOKUP("906-376348-210",B:AB,31+8,0),0)</f>
        <v>0</v>
      </c>
      <c r="AO1178">
        <f>SUN(INDIRECT(ADDRESS(1177,8)):INDIRECT(ADDRESS(1177,39)))</f>
        <v>0</v>
      </c>
    </row>
    <row r="1179" spans="1:41">
      <c r="H1179" t="s">
        <v>179</v>
      </c>
      <c r="J1179">
        <f>INDIRECT(ADDRESS(1179,9))+INDIRECT(ADDRESS(1177,10))-INDIRECT(ADDRESS(1178,10))</f>
        <v>0</v>
      </c>
      <c r="K1179">
        <f>INDIRECT(ADDRESS(1179,10))+INDIRECT(ADDRESS(1177,11))-INDIRECT(ADDRESS(1178,11))</f>
        <v>0</v>
      </c>
      <c r="L1179">
        <f>INDIRECT(ADDRESS(1179,11))+INDIRECT(ADDRESS(1177,12))-INDIRECT(ADDRESS(1178,12))</f>
        <v>0</v>
      </c>
      <c r="M1179">
        <f>INDIRECT(ADDRESS(1179,12))+INDIRECT(ADDRESS(1177,13))-INDIRECT(ADDRESS(1178,13))</f>
        <v>0</v>
      </c>
      <c r="N1179">
        <f>INDIRECT(ADDRESS(1179,13))+INDIRECT(ADDRESS(1177,14))-INDIRECT(ADDRESS(1178,14))</f>
        <v>0</v>
      </c>
      <c r="O1179">
        <f>INDIRECT(ADDRESS(1179,14))+INDIRECT(ADDRESS(1177,15))-INDIRECT(ADDRESS(1178,15))</f>
        <v>0</v>
      </c>
      <c r="P1179">
        <f>INDIRECT(ADDRESS(1179,15))+INDIRECT(ADDRESS(1177,16))-INDIRECT(ADDRESS(1178,16))</f>
        <v>0</v>
      </c>
      <c r="Q1179">
        <f>INDIRECT(ADDRESS(1179,16))+INDIRECT(ADDRESS(1177,17))-INDIRECT(ADDRESS(1178,17))</f>
        <v>0</v>
      </c>
      <c r="R1179">
        <f>INDIRECT(ADDRESS(1179,17))+INDIRECT(ADDRESS(1177,18))-INDIRECT(ADDRESS(1178,18))</f>
        <v>0</v>
      </c>
      <c r="S1179">
        <f>INDIRECT(ADDRESS(1179,18))+INDIRECT(ADDRESS(1177,19))-INDIRECT(ADDRESS(1178,19))</f>
        <v>0</v>
      </c>
      <c r="T1179">
        <f>INDIRECT(ADDRESS(1179,19))+INDIRECT(ADDRESS(1177,20))-INDIRECT(ADDRESS(1178,20))</f>
        <v>0</v>
      </c>
      <c r="U1179">
        <f>INDIRECT(ADDRESS(1179,20))+INDIRECT(ADDRESS(1177,21))-INDIRECT(ADDRESS(1178,21))</f>
        <v>0</v>
      </c>
      <c r="V1179">
        <f>INDIRECT(ADDRESS(1179,21))+INDIRECT(ADDRESS(1177,22))-INDIRECT(ADDRESS(1178,22))</f>
        <v>0</v>
      </c>
      <c r="W1179">
        <f>INDIRECT(ADDRESS(1179,22))+INDIRECT(ADDRESS(1177,23))-INDIRECT(ADDRESS(1178,23))</f>
        <v>0</v>
      </c>
      <c r="X1179">
        <f>INDIRECT(ADDRESS(1179,23))+INDIRECT(ADDRESS(1177,24))-INDIRECT(ADDRESS(1178,24))</f>
        <v>0</v>
      </c>
      <c r="Y1179">
        <f>INDIRECT(ADDRESS(1179,24))+INDIRECT(ADDRESS(1177,25))-INDIRECT(ADDRESS(1178,25))</f>
        <v>0</v>
      </c>
      <c r="Z1179">
        <f>INDIRECT(ADDRESS(1179,25))+INDIRECT(ADDRESS(1177,26))-INDIRECT(ADDRESS(1178,26))</f>
        <v>0</v>
      </c>
      <c r="AA1179">
        <f>INDIRECT(ADDRESS(1179,26))+INDIRECT(ADDRESS(1177,27))-INDIRECT(ADDRESS(1178,27))</f>
        <v>0</v>
      </c>
      <c r="AB1179">
        <f>INDIRECT(ADDRESS(1179,27))+INDIRECT(ADDRESS(1177,28))-INDIRECT(ADDRESS(1178,28))</f>
        <v>0</v>
      </c>
      <c r="AC1179">
        <f>INDIRECT(ADDRESS(1179,28))+INDIRECT(ADDRESS(1177,29))-INDIRECT(ADDRESS(1178,29))</f>
        <v>0</v>
      </c>
      <c r="AD1179">
        <f>INDIRECT(ADDRESS(1179,29))+INDIRECT(ADDRESS(1177,30))-INDIRECT(ADDRESS(1178,30))</f>
        <v>0</v>
      </c>
      <c r="AE1179">
        <f>INDIRECT(ADDRESS(1179,30))+INDIRECT(ADDRESS(1177,31))-INDIRECT(ADDRESS(1178,31))</f>
        <v>0</v>
      </c>
      <c r="AF1179">
        <f>INDIRECT(ADDRESS(1179,31))+INDIRECT(ADDRESS(1177,32))-INDIRECT(ADDRESS(1178,32))</f>
        <v>0</v>
      </c>
      <c r="AG1179">
        <f>INDIRECT(ADDRESS(1179,32))+INDIRECT(ADDRESS(1177,33))-INDIRECT(ADDRESS(1178,33))</f>
        <v>0</v>
      </c>
      <c r="AH1179">
        <f>INDIRECT(ADDRESS(1179,33))+INDIRECT(ADDRESS(1177,34))-INDIRECT(ADDRESS(1178,34))</f>
        <v>0</v>
      </c>
      <c r="AI1179">
        <f>INDIRECT(ADDRESS(1179,34))+INDIRECT(ADDRESS(1177,35))-INDIRECT(ADDRESS(1178,35))</f>
        <v>0</v>
      </c>
      <c r="AJ1179">
        <f>INDIRECT(ADDRESS(1179,35))+INDIRECT(ADDRESS(1177,36))-INDIRECT(ADDRESS(1178,36))</f>
        <v>0</v>
      </c>
      <c r="AK1179">
        <f>INDIRECT(ADDRESS(1179,36))+INDIRECT(ADDRESS(1177,37))-INDIRECT(ADDRESS(1178,37))</f>
        <v>0</v>
      </c>
      <c r="AL1179">
        <f>INDIRECT(ADDRESS(1179,37))+INDIRECT(ADDRESS(1177,38))-INDIRECT(ADDRESS(1178,38))</f>
        <v>0</v>
      </c>
      <c r="AM1179">
        <f>INDIRECT(ADDRESS(1179,38))+INDIRECT(ADDRESS(1177,39))-INDIRECT(ADDRESS(1178,39))</f>
        <v>0</v>
      </c>
      <c r="AN1179">
        <f>INDIRECT(ADDRESS(1179,39))+INDIRECT(ADDRESS(1177,40))-INDIRECT(ADDRESS(1178,40))</f>
        <v>0</v>
      </c>
      <c r="AO1179">
        <f>SUM(INDIRECT(ADDRESS(1178,8)):INDIRECT(ADDRESS(1178,39)))</f>
        <v>0</v>
      </c>
    </row>
    <row r="1180" spans="1:41">
      <c r="A1180" t="s">
        <v>185</v>
      </c>
      <c r="B1180" t="s">
        <v>598</v>
      </c>
      <c r="C1180" t="s">
        <v>599</v>
      </c>
      <c r="E1180">
        <v>1</v>
      </c>
      <c r="I1180" t="s">
        <v>177</v>
      </c>
    </row>
    <row r="1181" spans="1:41">
      <c r="I1181" t="s">
        <v>178</v>
      </c>
      <c r="J1181">
        <f>IFERROR(VLOOKUP("906-376348-210",B:AB,1+8,0),0)</f>
        <v>0</v>
      </c>
      <c r="K1181">
        <f>IFERROR(VLOOKUP("906-376348-210",B:AB,2+8,0),0)</f>
        <v>0</v>
      </c>
      <c r="L1181">
        <f>IFERROR(VLOOKUP("906-376348-210",B:AB,3+8,0),0)</f>
        <v>0</v>
      </c>
      <c r="M1181">
        <f>IFERROR(VLOOKUP("906-376348-210",B:AB,4+8,0),0)</f>
        <v>0</v>
      </c>
      <c r="N1181">
        <f>IFERROR(VLOOKUP("906-376348-210",B:AB,5+8,0),0)</f>
        <v>0</v>
      </c>
      <c r="O1181">
        <f>IFERROR(VLOOKUP("906-376348-210",B:AB,6+8,0),0)</f>
        <v>0</v>
      </c>
      <c r="P1181">
        <f>IFERROR(VLOOKUP("906-376348-210",B:AB,7+8,0),0)</f>
        <v>0</v>
      </c>
      <c r="Q1181">
        <f>IFERROR(VLOOKUP("906-376348-210",B:AB,8+8,0),0)</f>
        <v>0</v>
      </c>
      <c r="R1181">
        <f>IFERROR(VLOOKUP("906-376348-210",B:AB,9+8,0),0)</f>
        <v>0</v>
      </c>
      <c r="S1181">
        <f>IFERROR(VLOOKUP("906-376348-210",B:AB,10+8,0),0)</f>
        <v>0</v>
      </c>
      <c r="T1181">
        <f>IFERROR(VLOOKUP("906-376348-210",B:AB,11+8,0),0)</f>
        <v>0</v>
      </c>
      <c r="U1181">
        <f>IFERROR(VLOOKUP("906-376348-210",B:AB,12+8,0),0)</f>
        <v>0</v>
      </c>
      <c r="V1181">
        <f>IFERROR(VLOOKUP("906-376348-210",B:AB,13+8,0),0)</f>
        <v>0</v>
      </c>
      <c r="W1181">
        <f>IFERROR(VLOOKUP("906-376348-210",B:AB,14+8,0),0)</f>
        <v>0</v>
      </c>
      <c r="X1181">
        <f>IFERROR(VLOOKUP("906-376348-210",B:AB,15+8,0),0)</f>
        <v>0</v>
      </c>
      <c r="Y1181">
        <f>IFERROR(VLOOKUP("906-376348-210",B:AB,16+8,0),0)</f>
        <v>0</v>
      </c>
      <c r="Z1181">
        <f>IFERROR(VLOOKUP("906-376348-210",B:AB,17+8,0),0)</f>
        <v>0</v>
      </c>
      <c r="AA1181">
        <f>IFERROR(VLOOKUP("906-376348-210",B:AB,18+8,0),0)</f>
        <v>0</v>
      </c>
      <c r="AB1181">
        <f>IFERROR(VLOOKUP("906-376348-210",B:AB,19+8,0),0)</f>
        <v>0</v>
      </c>
      <c r="AC1181">
        <f>IFERROR(VLOOKUP("906-376348-210",B:AB,20+8,0),0)</f>
        <v>0</v>
      </c>
      <c r="AD1181">
        <f>IFERROR(VLOOKUP("906-376348-210",B:AB,21+8,0),0)</f>
        <v>0</v>
      </c>
      <c r="AE1181">
        <f>IFERROR(VLOOKUP("906-376348-210",B:AB,22+8,0),0)</f>
        <v>0</v>
      </c>
      <c r="AF1181">
        <f>IFERROR(VLOOKUP("906-376348-210",B:AB,23+8,0),0)</f>
        <v>0</v>
      </c>
      <c r="AG1181">
        <f>IFERROR(VLOOKUP("906-376348-210",B:AB,24+8,0),0)</f>
        <v>0</v>
      </c>
      <c r="AH1181">
        <f>IFERROR(VLOOKUP("906-376348-210",B:AB,25+8,0),0)</f>
        <v>0</v>
      </c>
      <c r="AI1181">
        <f>IFERROR(VLOOKUP("906-376348-210",B:AB,26+8,0),0)</f>
        <v>0</v>
      </c>
      <c r="AJ1181">
        <f>IFERROR(VLOOKUP("906-376348-210",B:AB,27+8,0),0)</f>
        <v>0</v>
      </c>
      <c r="AK1181">
        <f>IFERROR(VLOOKUP("906-376348-210",B:AB,28+8,0),0)</f>
        <v>0</v>
      </c>
      <c r="AL1181">
        <f>IFERROR(VLOOKUP("906-376348-210",B:AB,29+8,0),0)</f>
        <v>0</v>
      </c>
      <c r="AM1181">
        <f>IFERROR(VLOOKUP("906-376348-210",B:AB,30+8,0),0)</f>
        <v>0</v>
      </c>
      <c r="AN1181">
        <f>IFERROR(VLOOKUP("906-376348-210",B:AB,31+8,0),0)</f>
        <v>0</v>
      </c>
      <c r="AO1181">
        <f>SUN(INDIRECT(ADDRESS(1180,8)):INDIRECT(ADDRESS(1180,39)))</f>
        <v>0</v>
      </c>
    </row>
    <row r="1182" spans="1:41">
      <c r="H1182" t="s">
        <v>179</v>
      </c>
      <c r="J1182">
        <f>INDIRECT(ADDRESS(1182,9))+INDIRECT(ADDRESS(1180,10))-INDIRECT(ADDRESS(1181,10))</f>
        <v>0</v>
      </c>
      <c r="K1182">
        <f>INDIRECT(ADDRESS(1182,10))+INDIRECT(ADDRESS(1180,11))-INDIRECT(ADDRESS(1181,11))</f>
        <v>0</v>
      </c>
      <c r="L1182">
        <f>INDIRECT(ADDRESS(1182,11))+INDIRECT(ADDRESS(1180,12))-INDIRECT(ADDRESS(1181,12))</f>
        <v>0</v>
      </c>
      <c r="M1182">
        <f>INDIRECT(ADDRESS(1182,12))+INDIRECT(ADDRESS(1180,13))-INDIRECT(ADDRESS(1181,13))</f>
        <v>0</v>
      </c>
      <c r="N1182">
        <f>INDIRECT(ADDRESS(1182,13))+INDIRECT(ADDRESS(1180,14))-INDIRECT(ADDRESS(1181,14))</f>
        <v>0</v>
      </c>
      <c r="O1182">
        <f>INDIRECT(ADDRESS(1182,14))+INDIRECT(ADDRESS(1180,15))-INDIRECT(ADDRESS(1181,15))</f>
        <v>0</v>
      </c>
      <c r="P1182">
        <f>INDIRECT(ADDRESS(1182,15))+INDIRECT(ADDRESS(1180,16))-INDIRECT(ADDRESS(1181,16))</f>
        <v>0</v>
      </c>
      <c r="Q1182">
        <f>INDIRECT(ADDRESS(1182,16))+INDIRECT(ADDRESS(1180,17))-INDIRECT(ADDRESS(1181,17))</f>
        <v>0</v>
      </c>
      <c r="R1182">
        <f>INDIRECT(ADDRESS(1182,17))+INDIRECT(ADDRESS(1180,18))-INDIRECT(ADDRESS(1181,18))</f>
        <v>0</v>
      </c>
      <c r="S1182">
        <f>INDIRECT(ADDRESS(1182,18))+INDIRECT(ADDRESS(1180,19))-INDIRECT(ADDRESS(1181,19))</f>
        <v>0</v>
      </c>
      <c r="T1182">
        <f>INDIRECT(ADDRESS(1182,19))+INDIRECT(ADDRESS(1180,20))-INDIRECT(ADDRESS(1181,20))</f>
        <v>0</v>
      </c>
      <c r="U1182">
        <f>INDIRECT(ADDRESS(1182,20))+INDIRECT(ADDRESS(1180,21))-INDIRECT(ADDRESS(1181,21))</f>
        <v>0</v>
      </c>
      <c r="V1182">
        <f>INDIRECT(ADDRESS(1182,21))+INDIRECT(ADDRESS(1180,22))-INDIRECT(ADDRESS(1181,22))</f>
        <v>0</v>
      </c>
      <c r="W1182">
        <f>INDIRECT(ADDRESS(1182,22))+INDIRECT(ADDRESS(1180,23))-INDIRECT(ADDRESS(1181,23))</f>
        <v>0</v>
      </c>
      <c r="X1182">
        <f>INDIRECT(ADDRESS(1182,23))+INDIRECT(ADDRESS(1180,24))-INDIRECT(ADDRESS(1181,24))</f>
        <v>0</v>
      </c>
      <c r="Y1182">
        <f>INDIRECT(ADDRESS(1182,24))+INDIRECT(ADDRESS(1180,25))-INDIRECT(ADDRESS(1181,25))</f>
        <v>0</v>
      </c>
      <c r="Z1182">
        <f>INDIRECT(ADDRESS(1182,25))+INDIRECT(ADDRESS(1180,26))-INDIRECT(ADDRESS(1181,26))</f>
        <v>0</v>
      </c>
      <c r="AA1182">
        <f>INDIRECT(ADDRESS(1182,26))+INDIRECT(ADDRESS(1180,27))-INDIRECT(ADDRESS(1181,27))</f>
        <v>0</v>
      </c>
      <c r="AB1182">
        <f>INDIRECT(ADDRESS(1182,27))+INDIRECT(ADDRESS(1180,28))-INDIRECT(ADDRESS(1181,28))</f>
        <v>0</v>
      </c>
      <c r="AC1182">
        <f>INDIRECT(ADDRESS(1182,28))+INDIRECT(ADDRESS(1180,29))-INDIRECT(ADDRESS(1181,29))</f>
        <v>0</v>
      </c>
      <c r="AD1182">
        <f>INDIRECT(ADDRESS(1182,29))+INDIRECT(ADDRESS(1180,30))-INDIRECT(ADDRESS(1181,30))</f>
        <v>0</v>
      </c>
      <c r="AE1182">
        <f>INDIRECT(ADDRESS(1182,30))+INDIRECT(ADDRESS(1180,31))-INDIRECT(ADDRESS(1181,31))</f>
        <v>0</v>
      </c>
      <c r="AF1182">
        <f>INDIRECT(ADDRESS(1182,31))+INDIRECT(ADDRESS(1180,32))-INDIRECT(ADDRESS(1181,32))</f>
        <v>0</v>
      </c>
      <c r="AG1182">
        <f>INDIRECT(ADDRESS(1182,32))+INDIRECT(ADDRESS(1180,33))-INDIRECT(ADDRESS(1181,33))</f>
        <v>0</v>
      </c>
      <c r="AH1182">
        <f>INDIRECT(ADDRESS(1182,33))+INDIRECT(ADDRESS(1180,34))-INDIRECT(ADDRESS(1181,34))</f>
        <v>0</v>
      </c>
      <c r="AI1182">
        <f>INDIRECT(ADDRESS(1182,34))+INDIRECT(ADDRESS(1180,35))-INDIRECT(ADDRESS(1181,35))</f>
        <v>0</v>
      </c>
      <c r="AJ1182">
        <f>INDIRECT(ADDRESS(1182,35))+INDIRECT(ADDRESS(1180,36))-INDIRECT(ADDRESS(1181,36))</f>
        <v>0</v>
      </c>
      <c r="AK1182">
        <f>INDIRECT(ADDRESS(1182,36))+INDIRECT(ADDRESS(1180,37))-INDIRECT(ADDRESS(1181,37))</f>
        <v>0</v>
      </c>
      <c r="AL1182">
        <f>INDIRECT(ADDRESS(1182,37))+INDIRECT(ADDRESS(1180,38))-INDIRECT(ADDRESS(1181,38))</f>
        <v>0</v>
      </c>
      <c r="AM1182">
        <f>INDIRECT(ADDRESS(1182,38))+INDIRECT(ADDRESS(1180,39))-INDIRECT(ADDRESS(1181,39))</f>
        <v>0</v>
      </c>
      <c r="AN1182">
        <f>INDIRECT(ADDRESS(1182,39))+INDIRECT(ADDRESS(1180,40))-INDIRECT(ADDRESS(1181,40))</f>
        <v>0</v>
      </c>
      <c r="AO1182">
        <f>SUM(INDIRECT(ADDRESS(1181,8)):INDIRECT(ADDRESS(1181,39)))</f>
        <v>0</v>
      </c>
    </row>
    <row r="1183" spans="1:41">
      <c r="A1183" t="s">
        <v>185</v>
      </c>
      <c r="B1183" t="s">
        <v>600</v>
      </c>
      <c r="C1183" t="s">
        <v>601</v>
      </c>
      <c r="E1183">
        <v>1</v>
      </c>
      <c r="I1183" t="s">
        <v>177</v>
      </c>
    </row>
    <row r="1184" spans="1:41">
      <c r="I1184" t="s">
        <v>178</v>
      </c>
      <c r="J1184">
        <f>IFERROR(VLOOKUP("906-376348-210",B:AB,1+8,0),0)</f>
        <v>0</v>
      </c>
      <c r="K1184">
        <f>IFERROR(VLOOKUP("906-376348-210",B:AB,2+8,0),0)</f>
        <v>0</v>
      </c>
      <c r="L1184">
        <f>IFERROR(VLOOKUP("906-376348-210",B:AB,3+8,0),0)</f>
        <v>0</v>
      </c>
      <c r="M1184">
        <f>IFERROR(VLOOKUP("906-376348-210",B:AB,4+8,0),0)</f>
        <v>0</v>
      </c>
      <c r="N1184">
        <f>IFERROR(VLOOKUP("906-376348-210",B:AB,5+8,0),0)</f>
        <v>0</v>
      </c>
      <c r="O1184">
        <f>IFERROR(VLOOKUP("906-376348-210",B:AB,6+8,0),0)</f>
        <v>0</v>
      </c>
      <c r="P1184">
        <f>IFERROR(VLOOKUP("906-376348-210",B:AB,7+8,0),0)</f>
        <v>0</v>
      </c>
      <c r="Q1184">
        <f>IFERROR(VLOOKUP("906-376348-210",B:AB,8+8,0),0)</f>
        <v>0</v>
      </c>
      <c r="R1184">
        <f>IFERROR(VLOOKUP("906-376348-210",B:AB,9+8,0),0)</f>
        <v>0</v>
      </c>
      <c r="S1184">
        <f>IFERROR(VLOOKUP("906-376348-210",B:AB,10+8,0),0)</f>
        <v>0</v>
      </c>
      <c r="T1184">
        <f>IFERROR(VLOOKUP("906-376348-210",B:AB,11+8,0),0)</f>
        <v>0</v>
      </c>
      <c r="U1184">
        <f>IFERROR(VLOOKUP("906-376348-210",B:AB,12+8,0),0)</f>
        <v>0</v>
      </c>
      <c r="V1184">
        <f>IFERROR(VLOOKUP("906-376348-210",B:AB,13+8,0),0)</f>
        <v>0</v>
      </c>
      <c r="W1184">
        <f>IFERROR(VLOOKUP("906-376348-210",B:AB,14+8,0),0)</f>
        <v>0</v>
      </c>
      <c r="X1184">
        <f>IFERROR(VLOOKUP("906-376348-210",B:AB,15+8,0),0)</f>
        <v>0</v>
      </c>
      <c r="Y1184">
        <f>IFERROR(VLOOKUP("906-376348-210",B:AB,16+8,0),0)</f>
        <v>0</v>
      </c>
      <c r="Z1184">
        <f>IFERROR(VLOOKUP("906-376348-210",B:AB,17+8,0),0)</f>
        <v>0</v>
      </c>
      <c r="AA1184">
        <f>IFERROR(VLOOKUP("906-376348-210",B:AB,18+8,0),0)</f>
        <v>0</v>
      </c>
      <c r="AB1184">
        <f>IFERROR(VLOOKUP("906-376348-210",B:AB,19+8,0),0)</f>
        <v>0</v>
      </c>
      <c r="AC1184">
        <f>IFERROR(VLOOKUP("906-376348-210",B:AB,20+8,0),0)</f>
        <v>0</v>
      </c>
      <c r="AD1184">
        <f>IFERROR(VLOOKUP("906-376348-210",B:AB,21+8,0),0)</f>
        <v>0</v>
      </c>
      <c r="AE1184">
        <f>IFERROR(VLOOKUP("906-376348-210",B:AB,22+8,0),0)</f>
        <v>0</v>
      </c>
      <c r="AF1184">
        <f>IFERROR(VLOOKUP("906-376348-210",B:AB,23+8,0),0)</f>
        <v>0</v>
      </c>
      <c r="AG1184">
        <f>IFERROR(VLOOKUP("906-376348-210",B:AB,24+8,0),0)</f>
        <v>0</v>
      </c>
      <c r="AH1184">
        <f>IFERROR(VLOOKUP("906-376348-210",B:AB,25+8,0),0)</f>
        <v>0</v>
      </c>
      <c r="AI1184">
        <f>IFERROR(VLOOKUP("906-376348-210",B:AB,26+8,0),0)</f>
        <v>0</v>
      </c>
      <c r="AJ1184">
        <f>IFERROR(VLOOKUP("906-376348-210",B:AB,27+8,0),0)</f>
        <v>0</v>
      </c>
      <c r="AK1184">
        <f>IFERROR(VLOOKUP("906-376348-210",B:AB,28+8,0),0)</f>
        <v>0</v>
      </c>
      <c r="AL1184">
        <f>IFERROR(VLOOKUP("906-376348-210",B:AB,29+8,0),0)</f>
        <v>0</v>
      </c>
      <c r="AM1184">
        <f>IFERROR(VLOOKUP("906-376348-210",B:AB,30+8,0),0)</f>
        <v>0</v>
      </c>
      <c r="AN1184">
        <f>IFERROR(VLOOKUP("906-376348-210",B:AB,31+8,0),0)</f>
        <v>0</v>
      </c>
      <c r="AO1184">
        <f>SUN(INDIRECT(ADDRESS(1183,8)):INDIRECT(ADDRESS(1183,39)))</f>
        <v>0</v>
      </c>
    </row>
    <row r="1185" spans="1:41">
      <c r="H1185" t="s">
        <v>179</v>
      </c>
      <c r="J1185">
        <f>INDIRECT(ADDRESS(1185,9))+INDIRECT(ADDRESS(1183,10))-INDIRECT(ADDRESS(1184,10))</f>
        <v>0</v>
      </c>
      <c r="K1185">
        <f>INDIRECT(ADDRESS(1185,10))+INDIRECT(ADDRESS(1183,11))-INDIRECT(ADDRESS(1184,11))</f>
        <v>0</v>
      </c>
      <c r="L1185">
        <f>INDIRECT(ADDRESS(1185,11))+INDIRECT(ADDRESS(1183,12))-INDIRECT(ADDRESS(1184,12))</f>
        <v>0</v>
      </c>
      <c r="M1185">
        <f>INDIRECT(ADDRESS(1185,12))+INDIRECT(ADDRESS(1183,13))-INDIRECT(ADDRESS(1184,13))</f>
        <v>0</v>
      </c>
      <c r="N1185">
        <f>INDIRECT(ADDRESS(1185,13))+INDIRECT(ADDRESS(1183,14))-INDIRECT(ADDRESS(1184,14))</f>
        <v>0</v>
      </c>
      <c r="O1185">
        <f>INDIRECT(ADDRESS(1185,14))+INDIRECT(ADDRESS(1183,15))-INDIRECT(ADDRESS(1184,15))</f>
        <v>0</v>
      </c>
      <c r="P1185">
        <f>INDIRECT(ADDRESS(1185,15))+INDIRECT(ADDRESS(1183,16))-INDIRECT(ADDRESS(1184,16))</f>
        <v>0</v>
      </c>
      <c r="Q1185">
        <f>INDIRECT(ADDRESS(1185,16))+INDIRECT(ADDRESS(1183,17))-INDIRECT(ADDRESS(1184,17))</f>
        <v>0</v>
      </c>
      <c r="R1185">
        <f>INDIRECT(ADDRESS(1185,17))+INDIRECT(ADDRESS(1183,18))-INDIRECT(ADDRESS(1184,18))</f>
        <v>0</v>
      </c>
      <c r="S1185">
        <f>INDIRECT(ADDRESS(1185,18))+INDIRECT(ADDRESS(1183,19))-INDIRECT(ADDRESS(1184,19))</f>
        <v>0</v>
      </c>
      <c r="T1185">
        <f>INDIRECT(ADDRESS(1185,19))+INDIRECT(ADDRESS(1183,20))-INDIRECT(ADDRESS(1184,20))</f>
        <v>0</v>
      </c>
      <c r="U1185">
        <f>INDIRECT(ADDRESS(1185,20))+INDIRECT(ADDRESS(1183,21))-INDIRECT(ADDRESS(1184,21))</f>
        <v>0</v>
      </c>
      <c r="V1185">
        <f>INDIRECT(ADDRESS(1185,21))+INDIRECT(ADDRESS(1183,22))-INDIRECT(ADDRESS(1184,22))</f>
        <v>0</v>
      </c>
      <c r="W1185">
        <f>INDIRECT(ADDRESS(1185,22))+INDIRECT(ADDRESS(1183,23))-INDIRECT(ADDRESS(1184,23))</f>
        <v>0</v>
      </c>
      <c r="X1185">
        <f>INDIRECT(ADDRESS(1185,23))+INDIRECT(ADDRESS(1183,24))-INDIRECT(ADDRESS(1184,24))</f>
        <v>0</v>
      </c>
      <c r="Y1185">
        <f>INDIRECT(ADDRESS(1185,24))+INDIRECT(ADDRESS(1183,25))-INDIRECT(ADDRESS(1184,25))</f>
        <v>0</v>
      </c>
      <c r="Z1185">
        <f>INDIRECT(ADDRESS(1185,25))+INDIRECT(ADDRESS(1183,26))-INDIRECT(ADDRESS(1184,26))</f>
        <v>0</v>
      </c>
      <c r="AA1185">
        <f>INDIRECT(ADDRESS(1185,26))+INDIRECT(ADDRESS(1183,27))-INDIRECT(ADDRESS(1184,27))</f>
        <v>0</v>
      </c>
      <c r="AB1185">
        <f>INDIRECT(ADDRESS(1185,27))+INDIRECT(ADDRESS(1183,28))-INDIRECT(ADDRESS(1184,28))</f>
        <v>0</v>
      </c>
      <c r="AC1185">
        <f>INDIRECT(ADDRESS(1185,28))+INDIRECT(ADDRESS(1183,29))-INDIRECT(ADDRESS(1184,29))</f>
        <v>0</v>
      </c>
      <c r="AD1185">
        <f>INDIRECT(ADDRESS(1185,29))+INDIRECT(ADDRESS(1183,30))-INDIRECT(ADDRESS(1184,30))</f>
        <v>0</v>
      </c>
      <c r="AE1185">
        <f>INDIRECT(ADDRESS(1185,30))+INDIRECT(ADDRESS(1183,31))-INDIRECT(ADDRESS(1184,31))</f>
        <v>0</v>
      </c>
      <c r="AF1185">
        <f>INDIRECT(ADDRESS(1185,31))+INDIRECT(ADDRESS(1183,32))-INDIRECT(ADDRESS(1184,32))</f>
        <v>0</v>
      </c>
      <c r="AG1185">
        <f>INDIRECT(ADDRESS(1185,32))+INDIRECT(ADDRESS(1183,33))-INDIRECT(ADDRESS(1184,33))</f>
        <v>0</v>
      </c>
      <c r="AH1185">
        <f>INDIRECT(ADDRESS(1185,33))+INDIRECT(ADDRESS(1183,34))-INDIRECT(ADDRESS(1184,34))</f>
        <v>0</v>
      </c>
      <c r="AI1185">
        <f>INDIRECT(ADDRESS(1185,34))+INDIRECT(ADDRESS(1183,35))-INDIRECT(ADDRESS(1184,35))</f>
        <v>0</v>
      </c>
      <c r="AJ1185">
        <f>INDIRECT(ADDRESS(1185,35))+INDIRECT(ADDRESS(1183,36))-INDIRECT(ADDRESS(1184,36))</f>
        <v>0</v>
      </c>
      <c r="AK1185">
        <f>INDIRECT(ADDRESS(1185,36))+INDIRECT(ADDRESS(1183,37))-INDIRECT(ADDRESS(1184,37))</f>
        <v>0</v>
      </c>
      <c r="AL1185">
        <f>INDIRECT(ADDRESS(1185,37))+INDIRECT(ADDRESS(1183,38))-INDIRECT(ADDRESS(1184,38))</f>
        <v>0</v>
      </c>
      <c r="AM1185">
        <f>INDIRECT(ADDRESS(1185,38))+INDIRECT(ADDRESS(1183,39))-INDIRECT(ADDRESS(1184,39))</f>
        <v>0</v>
      </c>
      <c r="AN1185">
        <f>INDIRECT(ADDRESS(1185,39))+INDIRECT(ADDRESS(1183,40))-INDIRECT(ADDRESS(1184,40))</f>
        <v>0</v>
      </c>
      <c r="AO1185">
        <f>SUM(INDIRECT(ADDRESS(1184,8)):INDIRECT(ADDRESS(1184,39)))</f>
        <v>0</v>
      </c>
    </row>
    <row r="1186" spans="1:41">
      <c r="A1186" t="s">
        <v>185</v>
      </c>
      <c r="B1186" t="s">
        <v>602</v>
      </c>
      <c r="C1186" t="s">
        <v>603</v>
      </c>
      <c r="E1186">
        <v>2</v>
      </c>
      <c r="I1186" t="s">
        <v>177</v>
      </c>
    </row>
    <row r="1187" spans="1:41">
      <c r="I1187" t="s">
        <v>178</v>
      </c>
      <c r="J1187">
        <f>IFERROR(VLOOKUP("906-376348-210",B:AB,1+8,0),0)</f>
        <v>0</v>
      </c>
      <c r="K1187">
        <f>IFERROR(VLOOKUP("906-376348-210",B:AB,2+8,0),0)</f>
        <v>0</v>
      </c>
      <c r="L1187">
        <f>IFERROR(VLOOKUP("906-376348-210",B:AB,3+8,0),0)</f>
        <v>0</v>
      </c>
      <c r="M1187">
        <f>IFERROR(VLOOKUP("906-376348-210",B:AB,4+8,0),0)</f>
        <v>0</v>
      </c>
      <c r="N1187">
        <f>IFERROR(VLOOKUP("906-376348-210",B:AB,5+8,0),0)</f>
        <v>0</v>
      </c>
      <c r="O1187">
        <f>IFERROR(VLOOKUP("906-376348-210",B:AB,6+8,0),0)</f>
        <v>0</v>
      </c>
      <c r="P1187">
        <f>IFERROR(VLOOKUP("906-376348-210",B:AB,7+8,0),0)</f>
        <v>0</v>
      </c>
      <c r="Q1187">
        <f>IFERROR(VLOOKUP("906-376348-210",B:AB,8+8,0),0)</f>
        <v>0</v>
      </c>
      <c r="R1187">
        <f>IFERROR(VLOOKUP("906-376348-210",B:AB,9+8,0),0)</f>
        <v>0</v>
      </c>
      <c r="S1187">
        <f>IFERROR(VLOOKUP("906-376348-210",B:AB,10+8,0),0)</f>
        <v>0</v>
      </c>
      <c r="T1187">
        <f>IFERROR(VLOOKUP("906-376348-210",B:AB,11+8,0),0)</f>
        <v>0</v>
      </c>
      <c r="U1187">
        <f>IFERROR(VLOOKUP("906-376348-210",B:AB,12+8,0),0)</f>
        <v>0</v>
      </c>
      <c r="V1187">
        <f>IFERROR(VLOOKUP("906-376348-210",B:AB,13+8,0),0)</f>
        <v>0</v>
      </c>
      <c r="W1187">
        <f>IFERROR(VLOOKUP("906-376348-210",B:AB,14+8,0),0)</f>
        <v>0</v>
      </c>
      <c r="X1187">
        <f>IFERROR(VLOOKUP("906-376348-210",B:AB,15+8,0),0)</f>
        <v>0</v>
      </c>
      <c r="Y1187">
        <f>IFERROR(VLOOKUP("906-376348-210",B:AB,16+8,0),0)</f>
        <v>0</v>
      </c>
      <c r="Z1187">
        <f>IFERROR(VLOOKUP("906-376348-210",B:AB,17+8,0),0)</f>
        <v>0</v>
      </c>
      <c r="AA1187">
        <f>IFERROR(VLOOKUP("906-376348-210",B:AB,18+8,0),0)</f>
        <v>0</v>
      </c>
      <c r="AB1187">
        <f>IFERROR(VLOOKUP("906-376348-210",B:AB,19+8,0),0)</f>
        <v>0</v>
      </c>
      <c r="AC1187">
        <f>IFERROR(VLOOKUP("906-376348-210",B:AB,20+8,0),0)</f>
        <v>0</v>
      </c>
      <c r="AD1187">
        <f>IFERROR(VLOOKUP("906-376348-210",B:AB,21+8,0),0)</f>
        <v>0</v>
      </c>
      <c r="AE1187">
        <f>IFERROR(VLOOKUP("906-376348-210",B:AB,22+8,0),0)</f>
        <v>0</v>
      </c>
      <c r="AF1187">
        <f>IFERROR(VLOOKUP("906-376348-210",B:AB,23+8,0),0)</f>
        <v>0</v>
      </c>
      <c r="AG1187">
        <f>IFERROR(VLOOKUP("906-376348-210",B:AB,24+8,0),0)</f>
        <v>0</v>
      </c>
      <c r="AH1187">
        <f>IFERROR(VLOOKUP("906-376348-210",B:AB,25+8,0),0)</f>
        <v>0</v>
      </c>
      <c r="AI1187">
        <f>IFERROR(VLOOKUP("906-376348-210",B:AB,26+8,0),0)</f>
        <v>0</v>
      </c>
      <c r="AJ1187">
        <f>IFERROR(VLOOKUP("906-376348-210",B:AB,27+8,0),0)</f>
        <v>0</v>
      </c>
      <c r="AK1187">
        <f>IFERROR(VLOOKUP("906-376348-210",B:AB,28+8,0),0)</f>
        <v>0</v>
      </c>
      <c r="AL1187">
        <f>IFERROR(VLOOKUP("906-376348-210",B:AB,29+8,0),0)</f>
        <v>0</v>
      </c>
      <c r="AM1187">
        <f>IFERROR(VLOOKUP("906-376348-210",B:AB,30+8,0),0)</f>
        <v>0</v>
      </c>
      <c r="AN1187">
        <f>IFERROR(VLOOKUP("906-376348-210",B:AB,31+8,0),0)</f>
        <v>0</v>
      </c>
      <c r="AO1187">
        <f>SUN(INDIRECT(ADDRESS(1186,8)):INDIRECT(ADDRESS(1186,39)))</f>
        <v>0</v>
      </c>
    </row>
    <row r="1188" spans="1:41">
      <c r="H1188" t="s">
        <v>179</v>
      </c>
      <c r="J1188">
        <f>INDIRECT(ADDRESS(1188,9))+INDIRECT(ADDRESS(1186,10))-INDIRECT(ADDRESS(1187,10))</f>
        <v>0</v>
      </c>
      <c r="K1188">
        <f>INDIRECT(ADDRESS(1188,10))+INDIRECT(ADDRESS(1186,11))-INDIRECT(ADDRESS(1187,11))</f>
        <v>0</v>
      </c>
      <c r="L1188">
        <f>INDIRECT(ADDRESS(1188,11))+INDIRECT(ADDRESS(1186,12))-INDIRECT(ADDRESS(1187,12))</f>
        <v>0</v>
      </c>
      <c r="M1188">
        <f>INDIRECT(ADDRESS(1188,12))+INDIRECT(ADDRESS(1186,13))-INDIRECT(ADDRESS(1187,13))</f>
        <v>0</v>
      </c>
      <c r="N1188">
        <f>INDIRECT(ADDRESS(1188,13))+INDIRECT(ADDRESS(1186,14))-INDIRECT(ADDRESS(1187,14))</f>
        <v>0</v>
      </c>
      <c r="O1188">
        <f>INDIRECT(ADDRESS(1188,14))+INDIRECT(ADDRESS(1186,15))-INDIRECT(ADDRESS(1187,15))</f>
        <v>0</v>
      </c>
      <c r="P1188">
        <f>INDIRECT(ADDRESS(1188,15))+INDIRECT(ADDRESS(1186,16))-INDIRECT(ADDRESS(1187,16))</f>
        <v>0</v>
      </c>
      <c r="Q1188">
        <f>INDIRECT(ADDRESS(1188,16))+INDIRECT(ADDRESS(1186,17))-INDIRECT(ADDRESS(1187,17))</f>
        <v>0</v>
      </c>
      <c r="R1188">
        <f>INDIRECT(ADDRESS(1188,17))+INDIRECT(ADDRESS(1186,18))-INDIRECT(ADDRESS(1187,18))</f>
        <v>0</v>
      </c>
      <c r="S1188">
        <f>INDIRECT(ADDRESS(1188,18))+INDIRECT(ADDRESS(1186,19))-INDIRECT(ADDRESS(1187,19))</f>
        <v>0</v>
      </c>
      <c r="T1188">
        <f>INDIRECT(ADDRESS(1188,19))+INDIRECT(ADDRESS(1186,20))-INDIRECT(ADDRESS(1187,20))</f>
        <v>0</v>
      </c>
      <c r="U1188">
        <f>INDIRECT(ADDRESS(1188,20))+INDIRECT(ADDRESS(1186,21))-INDIRECT(ADDRESS(1187,21))</f>
        <v>0</v>
      </c>
      <c r="V1188">
        <f>INDIRECT(ADDRESS(1188,21))+INDIRECT(ADDRESS(1186,22))-INDIRECT(ADDRESS(1187,22))</f>
        <v>0</v>
      </c>
      <c r="W1188">
        <f>INDIRECT(ADDRESS(1188,22))+INDIRECT(ADDRESS(1186,23))-INDIRECT(ADDRESS(1187,23))</f>
        <v>0</v>
      </c>
      <c r="X1188">
        <f>INDIRECT(ADDRESS(1188,23))+INDIRECT(ADDRESS(1186,24))-INDIRECT(ADDRESS(1187,24))</f>
        <v>0</v>
      </c>
      <c r="Y1188">
        <f>INDIRECT(ADDRESS(1188,24))+INDIRECT(ADDRESS(1186,25))-INDIRECT(ADDRESS(1187,25))</f>
        <v>0</v>
      </c>
      <c r="Z1188">
        <f>INDIRECT(ADDRESS(1188,25))+INDIRECT(ADDRESS(1186,26))-INDIRECT(ADDRESS(1187,26))</f>
        <v>0</v>
      </c>
      <c r="AA1188">
        <f>INDIRECT(ADDRESS(1188,26))+INDIRECT(ADDRESS(1186,27))-INDIRECT(ADDRESS(1187,27))</f>
        <v>0</v>
      </c>
      <c r="AB1188">
        <f>INDIRECT(ADDRESS(1188,27))+INDIRECT(ADDRESS(1186,28))-INDIRECT(ADDRESS(1187,28))</f>
        <v>0</v>
      </c>
      <c r="AC1188">
        <f>INDIRECT(ADDRESS(1188,28))+INDIRECT(ADDRESS(1186,29))-INDIRECT(ADDRESS(1187,29))</f>
        <v>0</v>
      </c>
      <c r="AD1188">
        <f>INDIRECT(ADDRESS(1188,29))+INDIRECT(ADDRESS(1186,30))-INDIRECT(ADDRESS(1187,30))</f>
        <v>0</v>
      </c>
      <c r="AE1188">
        <f>INDIRECT(ADDRESS(1188,30))+INDIRECT(ADDRESS(1186,31))-INDIRECT(ADDRESS(1187,31))</f>
        <v>0</v>
      </c>
      <c r="AF1188">
        <f>INDIRECT(ADDRESS(1188,31))+INDIRECT(ADDRESS(1186,32))-INDIRECT(ADDRESS(1187,32))</f>
        <v>0</v>
      </c>
      <c r="AG1188">
        <f>INDIRECT(ADDRESS(1188,32))+INDIRECT(ADDRESS(1186,33))-INDIRECT(ADDRESS(1187,33))</f>
        <v>0</v>
      </c>
      <c r="AH1188">
        <f>INDIRECT(ADDRESS(1188,33))+INDIRECT(ADDRESS(1186,34))-INDIRECT(ADDRESS(1187,34))</f>
        <v>0</v>
      </c>
      <c r="AI1188">
        <f>INDIRECT(ADDRESS(1188,34))+INDIRECT(ADDRESS(1186,35))-INDIRECT(ADDRESS(1187,35))</f>
        <v>0</v>
      </c>
      <c r="AJ1188">
        <f>INDIRECT(ADDRESS(1188,35))+INDIRECT(ADDRESS(1186,36))-INDIRECT(ADDRESS(1187,36))</f>
        <v>0</v>
      </c>
      <c r="AK1188">
        <f>INDIRECT(ADDRESS(1188,36))+INDIRECT(ADDRESS(1186,37))-INDIRECT(ADDRESS(1187,37))</f>
        <v>0</v>
      </c>
      <c r="AL1188">
        <f>INDIRECT(ADDRESS(1188,37))+INDIRECT(ADDRESS(1186,38))-INDIRECT(ADDRESS(1187,38))</f>
        <v>0</v>
      </c>
      <c r="AM1188">
        <f>INDIRECT(ADDRESS(1188,38))+INDIRECT(ADDRESS(1186,39))-INDIRECT(ADDRESS(1187,39))</f>
        <v>0</v>
      </c>
      <c r="AN1188">
        <f>INDIRECT(ADDRESS(1188,39))+INDIRECT(ADDRESS(1186,40))-INDIRECT(ADDRESS(1187,40))</f>
        <v>0</v>
      </c>
      <c r="AO1188">
        <f>SUM(INDIRECT(ADDRESS(1187,8)):INDIRECT(ADDRESS(1187,39)))</f>
        <v>0</v>
      </c>
    </row>
    <row r="1189" spans="1:41">
      <c r="A1189" t="s">
        <v>185</v>
      </c>
      <c r="B1189" t="s">
        <v>604</v>
      </c>
      <c r="C1189" t="s">
        <v>605</v>
      </c>
      <c r="E1189">
        <v>1</v>
      </c>
      <c r="I1189" t="s">
        <v>177</v>
      </c>
    </row>
    <row r="1190" spans="1:41">
      <c r="I1190" t="s">
        <v>178</v>
      </c>
      <c r="J1190">
        <f>IFERROR(VLOOKUP("906-376348-210",B:AB,1+8,0),0)</f>
        <v>0</v>
      </c>
      <c r="K1190">
        <f>IFERROR(VLOOKUP("906-376348-210",B:AB,2+8,0),0)</f>
        <v>0</v>
      </c>
      <c r="L1190">
        <f>IFERROR(VLOOKUP("906-376348-210",B:AB,3+8,0),0)</f>
        <v>0</v>
      </c>
      <c r="M1190">
        <f>IFERROR(VLOOKUP("906-376348-210",B:AB,4+8,0),0)</f>
        <v>0</v>
      </c>
      <c r="N1190">
        <f>IFERROR(VLOOKUP("906-376348-210",B:AB,5+8,0),0)</f>
        <v>0</v>
      </c>
      <c r="O1190">
        <f>IFERROR(VLOOKUP("906-376348-210",B:AB,6+8,0),0)</f>
        <v>0</v>
      </c>
      <c r="P1190">
        <f>IFERROR(VLOOKUP("906-376348-210",B:AB,7+8,0),0)</f>
        <v>0</v>
      </c>
      <c r="Q1190">
        <f>IFERROR(VLOOKUP("906-376348-210",B:AB,8+8,0),0)</f>
        <v>0</v>
      </c>
      <c r="R1190">
        <f>IFERROR(VLOOKUP("906-376348-210",B:AB,9+8,0),0)</f>
        <v>0</v>
      </c>
      <c r="S1190">
        <f>IFERROR(VLOOKUP("906-376348-210",B:AB,10+8,0),0)</f>
        <v>0</v>
      </c>
      <c r="T1190">
        <f>IFERROR(VLOOKUP("906-376348-210",B:AB,11+8,0),0)</f>
        <v>0</v>
      </c>
      <c r="U1190">
        <f>IFERROR(VLOOKUP("906-376348-210",B:AB,12+8,0),0)</f>
        <v>0</v>
      </c>
      <c r="V1190">
        <f>IFERROR(VLOOKUP("906-376348-210",B:AB,13+8,0),0)</f>
        <v>0</v>
      </c>
      <c r="W1190">
        <f>IFERROR(VLOOKUP("906-376348-210",B:AB,14+8,0),0)</f>
        <v>0</v>
      </c>
      <c r="X1190">
        <f>IFERROR(VLOOKUP("906-376348-210",B:AB,15+8,0),0)</f>
        <v>0</v>
      </c>
      <c r="Y1190">
        <f>IFERROR(VLOOKUP("906-376348-210",B:AB,16+8,0),0)</f>
        <v>0</v>
      </c>
      <c r="Z1190">
        <f>IFERROR(VLOOKUP("906-376348-210",B:AB,17+8,0),0)</f>
        <v>0</v>
      </c>
      <c r="AA1190">
        <f>IFERROR(VLOOKUP("906-376348-210",B:AB,18+8,0),0)</f>
        <v>0</v>
      </c>
      <c r="AB1190">
        <f>IFERROR(VLOOKUP("906-376348-210",B:AB,19+8,0),0)</f>
        <v>0</v>
      </c>
      <c r="AC1190">
        <f>IFERROR(VLOOKUP("906-376348-210",B:AB,20+8,0),0)</f>
        <v>0</v>
      </c>
      <c r="AD1190">
        <f>IFERROR(VLOOKUP("906-376348-210",B:AB,21+8,0),0)</f>
        <v>0</v>
      </c>
      <c r="AE1190">
        <f>IFERROR(VLOOKUP("906-376348-210",B:AB,22+8,0),0)</f>
        <v>0</v>
      </c>
      <c r="AF1190">
        <f>IFERROR(VLOOKUP("906-376348-210",B:AB,23+8,0),0)</f>
        <v>0</v>
      </c>
      <c r="AG1190">
        <f>IFERROR(VLOOKUP("906-376348-210",B:AB,24+8,0),0)</f>
        <v>0</v>
      </c>
      <c r="AH1190">
        <f>IFERROR(VLOOKUP("906-376348-210",B:AB,25+8,0),0)</f>
        <v>0</v>
      </c>
      <c r="AI1190">
        <f>IFERROR(VLOOKUP("906-376348-210",B:AB,26+8,0),0)</f>
        <v>0</v>
      </c>
      <c r="AJ1190">
        <f>IFERROR(VLOOKUP("906-376348-210",B:AB,27+8,0),0)</f>
        <v>0</v>
      </c>
      <c r="AK1190">
        <f>IFERROR(VLOOKUP("906-376348-210",B:AB,28+8,0),0)</f>
        <v>0</v>
      </c>
      <c r="AL1190">
        <f>IFERROR(VLOOKUP("906-376348-210",B:AB,29+8,0),0)</f>
        <v>0</v>
      </c>
      <c r="AM1190">
        <f>IFERROR(VLOOKUP("906-376348-210",B:AB,30+8,0),0)</f>
        <v>0</v>
      </c>
      <c r="AN1190">
        <f>IFERROR(VLOOKUP("906-376348-210",B:AB,31+8,0),0)</f>
        <v>0</v>
      </c>
      <c r="AO1190">
        <f>SUN(INDIRECT(ADDRESS(1189,8)):INDIRECT(ADDRESS(1189,39)))</f>
        <v>0</v>
      </c>
    </row>
    <row r="1191" spans="1:41">
      <c r="H1191" t="s">
        <v>179</v>
      </c>
      <c r="J1191">
        <f>INDIRECT(ADDRESS(1191,9))+INDIRECT(ADDRESS(1189,10))-INDIRECT(ADDRESS(1190,10))</f>
        <v>0</v>
      </c>
      <c r="K1191">
        <f>INDIRECT(ADDRESS(1191,10))+INDIRECT(ADDRESS(1189,11))-INDIRECT(ADDRESS(1190,11))</f>
        <v>0</v>
      </c>
      <c r="L1191">
        <f>INDIRECT(ADDRESS(1191,11))+INDIRECT(ADDRESS(1189,12))-INDIRECT(ADDRESS(1190,12))</f>
        <v>0</v>
      </c>
      <c r="M1191">
        <f>INDIRECT(ADDRESS(1191,12))+INDIRECT(ADDRESS(1189,13))-INDIRECT(ADDRESS(1190,13))</f>
        <v>0</v>
      </c>
      <c r="N1191">
        <f>INDIRECT(ADDRESS(1191,13))+INDIRECT(ADDRESS(1189,14))-INDIRECT(ADDRESS(1190,14))</f>
        <v>0</v>
      </c>
      <c r="O1191">
        <f>INDIRECT(ADDRESS(1191,14))+INDIRECT(ADDRESS(1189,15))-INDIRECT(ADDRESS(1190,15))</f>
        <v>0</v>
      </c>
      <c r="P1191">
        <f>INDIRECT(ADDRESS(1191,15))+INDIRECT(ADDRESS(1189,16))-INDIRECT(ADDRESS(1190,16))</f>
        <v>0</v>
      </c>
      <c r="Q1191">
        <f>INDIRECT(ADDRESS(1191,16))+INDIRECT(ADDRESS(1189,17))-INDIRECT(ADDRESS(1190,17))</f>
        <v>0</v>
      </c>
      <c r="R1191">
        <f>INDIRECT(ADDRESS(1191,17))+INDIRECT(ADDRESS(1189,18))-INDIRECT(ADDRESS(1190,18))</f>
        <v>0</v>
      </c>
      <c r="S1191">
        <f>INDIRECT(ADDRESS(1191,18))+INDIRECT(ADDRESS(1189,19))-INDIRECT(ADDRESS(1190,19))</f>
        <v>0</v>
      </c>
      <c r="T1191">
        <f>INDIRECT(ADDRESS(1191,19))+INDIRECT(ADDRESS(1189,20))-INDIRECT(ADDRESS(1190,20))</f>
        <v>0</v>
      </c>
      <c r="U1191">
        <f>INDIRECT(ADDRESS(1191,20))+INDIRECT(ADDRESS(1189,21))-INDIRECT(ADDRESS(1190,21))</f>
        <v>0</v>
      </c>
      <c r="V1191">
        <f>INDIRECT(ADDRESS(1191,21))+INDIRECT(ADDRESS(1189,22))-INDIRECT(ADDRESS(1190,22))</f>
        <v>0</v>
      </c>
      <c r="W1191">
        <f>INDIRECT(ADDRESS(1191,22))+INDIRECT(ADDRESS(1189,23))-INDIRECT(ADDRESS(1190,23))</f>
        <v>0</v>
      </c>
      <c r="X1191">
        <f>INDIRECT(ADDRESS(1191,23))+INDIRECT(ADDRESS(1189,24))-INDIRECT(ADDRESS(1190,24))</f>
        <v>0</v>
      </c>
      <c r="Y1191">
        <f>INDIRECT(ADDRESS(1191,24))+INDIRECT(ADDRESS(1189,25))-INDIRECT(ADDRESS(1190,25))</f>
        <v>0</v>
      </c>
      <c r="Z1191">
        <f>INDIRECT(ADDRESS(1191,25))+INDIRECT(ADDRESS(1189,26))-INDIRECT(ADDRESS(1190,26))</f>
        <v>0</v>
      </c>
      <c r="AA1191">
        <f>INDIRECT(ADDRESS(1191,26))+INDIRECT(ADDRESS(1189,27))-INDIRECT(ADDRESS(1190,27))</f>
        <v>0</v>
      </c>
      <c r="AB1191">
        <f>INDIRECT(ADDRESS(1191,27))+INDIRECT(ADDRESS(1189,28))-INDIRECT(ADDRESS(1190,28))</f>
        <v>0</v>
      </c>
      <c r="AC1191">
        <f>INDIRECT(ADDRESS(1191,28))+INDIRECT(ADDRESS(1189,29))-INDIRECT(ADDRESS(1190,29))</f>
        <v>0</v>
      </c>
      <c r="AD1191">
        <f>INDIRECT(ADDRESS(1191,29))+INDIRECT(ADDRESS(1189,30))-INDIRECT(ADDRESS(1190,30))</f>
        <v>0</v>
      </c>
      <c r="AE1191">
        <f>INDIRECT(ADDRESS(1191,30))+INDIRECT(ADDRESS(1189,31))-INDIRECT(ADDRESS(1190,31))</f>
        <v>0</v>
      </c>
      <c r="AF1191">
        <f>INDIRECT(ADDRESS(1191,31))+INDIRECT(ADDRESS(1189,32))-INDIRECT(ADDRESS(1190,32))</f>
        <v>0</v>
      </c>
      <c r="AG1191">
        <f>INDIRECT(ADDRESS(1191,32))+INDIRECT(ADDRESS(1189,33))-INDIRECT(ADDRESS(1190,33))</f>
        <v>0</v>
      </c>
      <c r="AH1191">
        <f>INDIRECT(ADDRESS(1191,33))+INDIRECT(ADDRESS(1189,34))-INDIRECT(ADDRESS(1190,34))</f>
        <v>0</v>
      </c>
      <c r="AI1191">
        <f>INDIRECT(ADDRESS(1191,34))+INDIRECT(ADDRESS(1189,35))-INDIRECT(ADDRESS(1190,35))</f>
        <v>0</v>
      </c>
      <c r="AJ1191">
        <f>INDIRECT(ADDRESS(1191,35))+INDIRECT(ADDRESS(1189,36))-INDIRECT(ADDRESS(1190,36))</f>
        <v>0</v>
      </c>
      <c r="AK1191">
        <f>INDIRECT(ADDRESS(1191,36))+INDIRECT(ADDRESS(1189,37))-INDIRECT(ADDRESS(1190,37))</f>
        <v>0</v>
      </c>
      <c r="AL1191">
        <f>INDIRECT(ADDRESS(1191,37))+INDIRECT(ADDRESS(1189,38))-INDIRECT(ADDRESS(1190,38))</f>
        <v>0</v>
      </c>
      <c r="AM1191">
        <f>INDIRECT(ADDRESS(1191,38))+INDIRECT(ADDRESS(1189,39))-INDIRECT(ADDRESS(1190,39))</f>
        <v>0</v>
      </c>
      <c r="AN1191">
        <f>INDIRECT(ADDRESS(1191,39))+INDIRECT(ADDRESS(1189,40))-INDIRECT(ADDRESS(1190,40))</f>
        <v>0</v>
      </c>
      <c r="AO1191">
        <f>SUM(INDIRECT(ADDRESS(1190,8)):INDIRECT(ADDRESS(1190,39)))</f>
        <v>0</v>
      </c>
    </row>
    <row r="1192" spans="1:41">
      <c r="A1192" t="s">
        <v>185</v>
      </c>
      <c r="B1192" t="s">
        <v>606</v>
      </c>
      <c r="C1192" t="s">
        <v>607</v>
      </c>
      <c r="E1192">
        <v>1</v>
      </c>
      <c r="I1192" t="s">
        <v>177</v>
      </c>
    </row>
    <row r="1193" spans="1:41">
      <c r="I1193" t="s">
        <v>178</v>
      </c>
      <c r="J1193">
        <f>IFERROR(VLOOKUP("906-376348-210",B:AB,1+8,0),0)</f>
        <v>0</v>
      </c>
      <c r="K1193">
        <f>IFERROR(VLOOKUP("906-376348-210",B:AB,2+8,0),0)</f>
        <v>0</v>
      </c>
      <c r="L1193">
        <f>IFERROR(VLOOKUP("906-376348-210",B:AB,3+8,0),0)</f>
        <v>0</v>
      </c>
      <c r="M1193">
        <f>IFERROR(VLOOKUP("906-376348-210",B:AB,4+8,0),0)</f>
        <v>0</v>
      </c>
      <c r="N1193">
        <f>IFERROR(VLOOKUP("906-376348-210",B:AB,5+8,0),0)</f>
        <v>0</v>
      </c>
      <c r="O1193">
        <f>IFERROR(VLOOKUP("906-376348-210",B:AB,6+8,0),0)</f>
        <v>0</v>
      </c>
      <c r="P1193">
        <f>IFERROR(VLOOKUP("906-376348-210",B:AB,7+8,0),0)</f>
        <v>0</v>
      </c>
      <c r="Q1193">
        <f>IFERROR(VLOOKUP("906-376348-210",B:AB,8+8,0),0)</f>
        <v>0</v>
      </c>
      <c r="R1193">
        <f>IFERROR(VLOOKUP("906-376348-210",B:AB,9+8,0),0)</f>
        <v>0</v>
      </c>
      <c r="S1193">
        <f>IFERROR(VLOOKUP("906-376348-210",B:AB,10+8,0),0)</f>
        <v>0</v>
      </c>
      <c r="T1193">
        <f>IFERROR(VLOOKUP("906-376348-210",B:AB,11+8,0),0)</f>
        <v>0</v>
      </c>
      <c r="U1193">
        <f>IFERROR(VLOOKUP("906-376348-210",B:AB,12+8,0),0)</f>
        <v>0</v>
      </c>
      <c r="V1193">
        <f>IFERROR(VLOOKUP("906-376348-210",B:AB,13+8,0),0)</f>
        <v>0</v>
      </c>
      <c r="W1193">
        <f>IFERROR(VLOOKUP("906-376348-210",B:AB,14+8,0),0)</f>
        <v>0</v>
      </c>
      <c r="X1193">
        <f>IFERROR(VLOOKUP("906-376348-210",B:AB,15+8,0),0)</f>
        <v>0</v>
      </c>
      <c r="Y1193">
        <f>IFERROR(VLOOKUP("906-376348-210",B:AB,16+8,0),0)</f>
        <v>0</v>
      </c>
      <c r="Z1193">
        <f>IFERROR(VLOOKUP("906-376348-210",B:AB,17+8,0),0)</f>
        <v>0</v>
      </c>
      <c r="AA1193">
        <f>IFERROR(VLOOKUP("906-376348-210",B:AB,18+8,0),0)</f>
        <v>0</v>
      </c>
      <c r="AB1193">
        <f>IFERROR(VLOOKUP("906-376348-210",B:AB,19+8,0),0)</f>
        <v>0</v>
      </c>
      <c r="AC1193">
        <f>IFERROR(VLOOKUP("906-376348-210",B:AB,20+8,0),0)</f>
        <v>0</v>
      </c>
      <c r="AD1193">
        <f>IFERROR(VLOOKUP("906-376348-210",B:AB,21+8,0),0)</f>
        <v>0</v>
      </c>
      <c r="AE1193">
        <f>IFERROR(VLOOKUP("906-376348-210",B:AB,22+8,0),0)</f>
        <v>0</v>
      </c>
      <c r="AF1193">
        <f>IFERROR(VLOOKUP("906-376348-210",B:AB,23+8,0),0)</f>
        <v>0</v>
      </c>
      <c r="AG1193">
        <f>IFERROR(VLOOKUP("906-376348-210",B:AB,24+8,0),0)</f>
        <v>0</v>
      </c>
      <c r="AH1193">
        <f>IFERROR(VLOOKUP("906-376348-210",B:AB,25+8,0),0)</f>
        <v>0</v>
      </c>
      <c r="AI1193">
        <f>IFERROR(VLOOKUP("906-376348-210",B:AB,26+8,0),0)</f>
        <v>0</v>
      </c>
      <c r="AJ1193">
        <f>IFERROR(VLOOKUP("906-376348-210",B:AB,27+8,0),0)</f>
        <v>0</v>
      </c>
      <c r="AK1193">
        <f>IFERROR(VLOOKUP("906-376348-210",B:AB,28+8,0),0)</f>
        <v>0</v>
      </c>
      <c r="AL1193">
        <f>IFERROR(VLOOKUP("906-376348-210",B:AB,29+8,0),0)</f>
        <v>0</v>
      </c>
      <c r="AM1193">
        <f>IFERROR(VLOOKUP("906-376348-210",B:AB,30+8,0),0)</f>
        <v>0</v>
      </c>
      <c r="AN1193">
        <f>IFERROR(VLOOKUP("906-376348-210",B:AB,31+8,0),0)</f>
        <v>0</v>
      </c>
      <c r="AO1193">
        <f>SUN(INDIRECT(ADDRESS(1192,8)):INDIRECT(ADDRESS(1192,39)))</f>
        <v>0</v>
      </c>
    </row>
    <row r="1194" spans="1:41">
      <c r="H1194" t="s">
        <v>179</v>
      </c>
      <c r="J1194">
        <f>INDIRECT(ADDRESS(1194,9))+INDIRECT(ADDRESS(1192,10))-INDIRECT(ADDRESS(1193,10))</f>
        <v>0</v>
      </c>
      <c r="K1194">
        <f>INDIRECT(ADDRESS(1194,10))+INDIRECT(ADDRESS(1192,11))-INDIRECT(ADDRESS(1193,11))</f>
        <v>0</v>
      </c>
      <c r="L1194">
        <f>INDIRECT(ADDRESS(1194,11))+INDIRECT(ADDRESS(1192,12))-INDIRECT(ADDRESS(1193,12))</f>
        <v>0</v>
      </c>
      <c r="M1194">
        <f>INDIRECT(ADDRESS(1194,12))+INDIRECT(ADDRESS(1192,13))-INDIRECT(ADDRESS(1193,13))</f>
        <v>0</v>
      </c>
      <c r="N1194">
        <f>INDIRECT(ADDRESS(1194,13))+INDIRECT(ADDRESS(1192,14))-INDIRECT(ADDRESS(1193,14))</f>
        <v>0</v>
      </c>
      <c r="O1194">
        <f>INDIRECT(ADDRESS(1194,14))+INDIRECT(ADDRESS(1192,15))-INDIRECT(ADDRESS(1193,15))</f>
        <v>0</v>
      </c>
      <c r="P1194">
        <f>INDIRECT(ADDRESS(1194,15))+INDIRECT(ADDRESS(1192,16))-INDIRECT(ADDRESS(1193,16))</f>
        <v>0</v>
      </c>
      <c r="Q1194">
        <f>INDIRECT(ADDRESS(1194,16))+INDIRECT(ADDRESS(1192,17))-INDIRECT(ADDRESS(1193,17))</f>
        <v>0</v>
      </c>
      <c r="R1194">
        <f>INDIRECT(ADDRESS(1194,17))+INDIRECT(ADDRESS(1192,18))-INDIRECT(ADDRESS(1193,18))</f>
        <v>0</v>
      </c>
      <c r="S1194">
        <f>INDIRECT(ADDRESS(1194,18))+INDIRECT(ADDRESS(1192,19))-INDIRECT(ADDRESS(1193,19))</f>
        <v>0</v>
      </c>
      <c r="T1194">
        <f>INDIRECT(ADDRESS(1194,19))+INDIRECT(ADDRESS(1192,20))-INDIRECT(ADDRESS(1193,20))</f>
        <v>0</v>
      </c>
      <c r="U1194">
        <f>INDIRECT(ADDRESS(1194,20))+INDIRECT(ADDRESS(1192,21))-INDIRECT(ADDRESS(1193,21))</f>
        <v>0</v>
      </c>
      <c r="V1194">
        <f>INDIRECT(ADDRESS(1194,21))+INDIRECT(ADDRESS(1192,22))-INDIRECT(ADDRESS(1193,22))</f>
        <v>0</v>
      </c>
      <c r="W1194">
        <f>INDIRECT(ADDRESS(1194,22))+INDIRECT(ADDRESS(1192,23))-INDIRECT(ADDRESS(1193,23))</f>
        <v>0</v>
      </c>
      <c r="X1194">
        <f>INDIRECT(ADDRESS(1194,23))+INDIRECT(ADDRESS(1192,24))-INDIRECT(ADDRESS(1193,24))</f>
        <v>0</v>
      </c>
      <c r="Y1194">
        <f>INDIRECT(ADDRESS(1194,24))+INDIRECT(ADDRESS(1192,25))-INDIRECT(ADDRESS(1193,25))</f>
        <v>0</v>
      </c>
      <c r="Z1194">
        <f>INDIRECT(ADDRESS(1194,25))+INDIRECT(ADDRESS(1192,26))-INDIRECT(ADDRESS(1193,26))</f>
        <v>0</v>
      </c>
      <c r="AA1194">
        <f>INDIRECT(ADDRESS(1194,26))+INDIRECT(ADDRESS(1192,27))-INDIRECT(ADDRESS(1193,27))</f>
        <v>0</v>
      </c>
      <c r="AB1194">
        <f>INDIRECT(ADDRESS(1194,27))+INDIRECT(ADDRESS(1192,28))-INDIRECT(ADDRESS(1193,28))</f>
        <v>0</v>
      </c>
      <c r="AC1194">
        <f>INDIRECT(ADDRESS(1194,28))+INDIRECT(ADDRESS(1192,29))-INDIRECT(ADDRESS(1193,29))</f>
        <v>0</v>
      </c>
      <c r="AD1194">
        <f>INDIRECT(ADDRESS(1194,29))+INDIRECT(ADDRESS(1192,30))-INDIRECT(ADDRESS(1193,30))</f>
        <v>0</v>
      </c>
      <c r="AE1194">
        <f>INDIRECT(ADDRESS(1194,30))+INDIRECT(ADDRESS(1192,31))-INDIRECT(ADDRESS(1193,31))</f>
        <v>0</v>
      </c>
      <c r="AF1194">
        <f>INDIRECT(ADDRESS(1194,31))+INDIRECT(ADDRESS(1192,32))-INDIRECT(ADDRESS(1193,32))</f>
        <v>0</v>
      </c>
      <c r="AG1194">
        <f>INDIRECT(ADDRESS(1194,32))+INDIRECT(ADDRESS(1192,33))-INDIRECT(ADDRESS(1193,33))</f>
        <v>0</v>
      </c>
      <c r="AH1194">
        <f>INDIRECT(ADDRESS(1194,33))+INDIRECT(ADDRESS(1192,34))-INDIRECT(ADDRESS(1193,34))</f>
        <v>0</v>
      </c>
      <c r="AI1194">
        <f>INDIRECT(ADDRESS(1194,34))+INDIRECT(ADDRESS(1192,35))-INDIRECT(ADDRESS(1193,35))</f>
        <v>0</v>
      </c>
      <c r="AJ1194">
        <f>INDIRECT(ADDRESS(1194,35))+INDIRECT(ADDRESS(1192,36))-INDIRECT(ADDRESS(1193,36))</f>
        <v>0</v>
      </c>
      <c r="AK1194">
        <f>INDIRECT(ADDRESS(1194,36))+INDIRECT(ADDRESS(1192,37))-INDIRECT(ADDRESS(1193,37))</f>
        <v>0</v>
      </c>
      <c r="AL1194">
        <f>INDIRECT(ADDRESS(1194,37))+INDIRECT(ADDRESS(1192,38))-INDIRECT(ADDRESS(1193,38))</f>
        <v>0</v>
      </c>
      <c r="AM1194">
        <f>INDIRECT(ADDRESS(1194,38))+INDIRECT(ADDRESS(1192,39))-INDIRECT(ADDRESS(1193,39))</f>
        <v>0</v>
      </c>
      <c r="AN1194">
        <f>INDIRECT(ADDRESS(1194,39))+INDIRECT(ADDRESS(1192,40))-INDIRECT(ADDRESS(1193,40))</f>
        <v>0</v>
      </c>
      <c r="AO1194">
        <f>SUM(INDIRECT(ADDRESS(1193,8)):INDIRECT(ADDRESS(1193,39)))</f>
        <v>0</v>
      </c>
    </row>
    <row r="1195" spans="1:41">
      <c r="A1195" t="s">
        <v>238</v>
      </c>
      <c r="B1195" t="s">
        <v>608</v>
      </c>
      <c r="C1195" t="s">
        <v>609</v>
      </c>
      <c r="E1195">
        <v>0.0625</v>
      </c>
      <c r="I1195" t="s">
        <v>177</v>
      </c>
    </row>
    <row r="1196" spans="1:41">
      <c r="I1196" t="s">
        <v>178</v>
      </c>
      <c r="J1196">
        <f>IFERROR(VLOOKUP("906-376348-210",B:AB,1+8,0),0)</f>
        <v>0</v>
      </c>
      <c r="K1196">
        <f>IFERROR(VLOOKUP("906-376348-210",B:AB,2+8,0),0)</f>
        <v>0</v>
      </c>
      <c r="L1196">
        <f>IFERROR(VLOOKUP("906-376348-210",B:AB,3+8,0),0)</f>
        <v>0</v>
      </c>
      <c r="M1196">
        <f>IFERROR(VLOOKUP("906-376348-210",B:AB,4+8,0),0)</f>
        <v>0</v>
      </c>
      <c r="N1196">
        <f>IFERROR(VLOOKUP("906-376348-210",B:AB,5+8,0),0)</f>
        <v>0</v>
      </c>
      <c r="O1196">
        <f>IFERROR(VLOOKUP("906-376348-210",B:AB,6+8,0),0)</f>
        <v>0</v>
      </c>
      <c r="P1196">
        <f>IFERROR(VLOOKUP("906-376348-210",B:AB,7+8,0),0)</f>
        <v>0</v>
      </c>
      <c r="Q1196">
        <f>IFERROR(VLOOKUP("906-376348-210",B:AB,8+8,0),0)</f>
        <v>0</v>
      </c>
      <c r="R1196">
        <f>IFERROR(VLOOKUP("906-376348-210",B:AB,9+8,0),0)</f>
        <v>0</v>
      </c>
      <c r="S1196">
        <f>IFERROR(VLOOKUP("906-376348-210",B:AB,10+8,0),0)</f>
        <v>0</v>
      </c>
      <c r="T1196">
        <f>IFERROR(VLOOKUP("906-376348-210",B:AB,11+8,0),0)</f>
        <v>0</v>
      </c>
      <c r="U1196">
        <f>IFERROR(VLOOKUP("906-376348-210",B:AB,12+8,0),0)</f>
        <v>0</v>
      </c>
      <c r="V1196">
        <f>IFERROR(VLOOKUP("906-376348-210",B:AB,13+8,0),0)</f>
        <v>0</v>
      </c>
      <c r="W1196">
        <f>IFERROR(VLOOKUP("906-376348-210",B:AB,14+8,0),0)</f>
        <v>0</v>
      </c>
      <c r="X1196">
        <f>IFERROR(VLOOKUP("906-376348-210",B:AB,15+8,0),0)</f>
        <v>0</v>
      </c>
      <c r="Y1196">
        <f>IFERROR(VLOOKUP("906-376348-210",B:AB,16+8,0),0)</f>
        <v>0</v>
      </c>
      <c r="Z1196">
        <f>IFERROR(VLOOKUP("906-376348-210",B:AB,17+8,0),0)</f>
        <v>0</v>
      </c>
      <c r="AA1196">
        <f>IFERROR(VLOOKUP("906-376348-210",B:AB,18+8,0),0)</f>
        <v>0</v>
      </c>
      <c r="AB1196">
        <f>IFERROR(VLOOKUP("906-376348-210",B:AB,19+8,0),0)</f>
        <v>0</v>
      </c>
      <c r="AC1196">
        <f>IFERROR(VLOOKUP("906-376348-210",B:AB,20+8,0),0)</f>
        <v>0</v>
      </c>
      <c r="AD1196">
        <f>IFERROR(VLOOKUP("906-376348-210",B:AB,21+8,0),0)</f>
        <v>0</v>
      </c>
      <c r="AE1196">
        <f>IFERROR(VLOOKUP("906-376348-210",B:AB,22+8,0),0)</f>
        <v>0</v>
      </c>
      <c r="AF1196">
        <f>IFERROR(VLOOKUP("906-376348-210",B:AB,23+8,0),0)</f>
        <v>0</v>
      </c>
      <c r="AG1196">
        <f>IFERROR(VLOOKUP("906-376348-210",B:AB,24+8,0),0)</f>
        <v>0</v>
      </c>
      <c r="AH1196">
        <f>IFERROR(VLOOKUP("906-376348-210",B:AB,25+8,0),0)</f>
        <v>0</v>
      </c>
      <c r="AI1196">
        <f>IFERROR(VLOOKUP("906-376348-210",B:AB,26+8,0),0)</f>
        <v>0</v>
      </c>
      <c r="AJ1196">
        <f>IFERROR(VLOOKUP("906-376348-210",B:AB,27+8,0),0)</f>
        <v>0</v>
      </c>
      <c r="AK1196">
        <f>IFERROR(VLOOKUP("906-376348-210",B:AB,28+8,0),0)</f>
        <v>0</v>
      </c>
      <c r="AL1196">
        <f>IFERROR(VLOOKUP("906-376348-210",B:AB,29+8,0),0)</f>
        <v>0</v>
      </c>
      <c r="AM1196">
        <f>IFERROR(VLOOKUP("906-376348-210",B:AB,30+8,0),0)</f>
        <v>0</v>
      </c>
      <c r="AN1196">
        <f>IFERROR(VLOOKUP("906-376348-210",B:AB,31+8,0),0)</f>
        <v>0</v>
      </c>
      <c r="AO1196">
        <f>SUN(INDIRECT(ADDRESS(1195,8)):INDIRECT(ADDRESS(1195,39)))</f>
        <v>0</v>
      </c>
    </row>
    <row r="1197" spans="1:41">
      <c r="H1197" t="s">
        <v>179</v>
      </c>
      <c r="J1197">
        <f>INDIRECT(ADDRESS(1197,9))+INDIRECT(ADDRESS(1195,10))-INDIRECT(ADDRESS(1196,10))</f>
        <v>0</v>
      </c>
      <c r="K1197">
        <f>INDIRECT(ADDRESS(1197,10))+INDIRECT(ADDRESS(1195,11))-INDIRECT(ADDRESS(1196,11))</f>
        <v>0</v>
      </c>
      <c r="L1197">
        <f>INDIRECT(ADDRESS(1197,11))+INDIRECT(ADDRESS(1195,12))-INDIRECT(ADDRESS(1196,12))</f>
        <v>0</v>
      </c>
      <c r="M1197">
        <f>INDIRECT(ADDRESS(1197,12))+INDIRECT(ADDRESS(1195,13))-INDIRECT(ADDRESS(1196,13))</f>
        <v>0</v>
      </c>
      <c r="N1197">
        <f>INDIRECT(ADDRESS(1197,13))+INDIRECT(ADDRESS(1195,14))-INDIRECT(ADDRESS(1196,14))</f>
        <v>0</v>
      </c>
      <c r="O1197">
        <f>INDIRECT(ADDRESS(1197,14))+INDIRECT(ADDRESS(1195,15))-INDIRECT(ADDRESS(1196,15))</f>
        <v>0</v>
      </c>
      <c r="P1197">
        <f>INDIRECT(ADDRESS(1197,15))+INDIRECT(ADDRESS(1195,16))-INDIRECT(ADDRESS(1196,16))</f>
        <v>0</v>
      </c>
      <c r="Q1197">
        <f>INDIRECT(ADDRESS(1197,16))+INDIRECT(ADDRESS(1195,17))-INDIRECT(ADDRESS(1196,17))</f>
        <v>0</v>
      </c>
      <c r="R1197">
        <f>INDIRECT(ADDRESS(1197,17))+INDIRECT(ADDRESS(1195,18))-INDIRECT(ADDRESS(1196,18))</f>
        <v>0</v>
      </c>
      <c r="S1197">
        <f>INDIRECT(ADDRESS(1197,18))+INDIRECT(ADDRESS(1195,19))-INDIRECT(ADDRESS(1196,19))</f>
        <v>0</v>
      </c>
      <c r="T1197">
        <f>INDIRECT(ADDRESS(1197,19))+INDIRECT(ADDRESS(1195,20))-INDIRECT(ADDRESS(1196,20))</f>
        <v>0</v>
      </c>
      <c r="U1197">
        <f>INDIRECT(ADDRESS(1197,20))+INDIRECT(ADDRESS(1195,21))-INDIRECT(ADDRESS(1196,21))</f>
        <v>0</v>
      </c>
      <c r="V1197">
        <f>INDIRECT(ADDRESS(1197,21))+INDIRECT(ADDRESS(1195,22))-INDIRECT(ADDRESS(1196,22))</f>
        <v>0</v>
      </c>
      <c r="W1197">
        <f>INDIRECT(ADDRESS(1197,22))+INDIRECT(ADDRESS(1195,23))-INDIRECT(ADDRESS(1196,23))</f>
        <v>0</v>
      </c>
      <c r="X1197">
        <f>INDIRECT(ADDRESS(1197,23))+INDIRECT(ADDRESS(1195,24))-INDIRECT(ADDRESS(1196,24))</f>
        <v>0</v>
      </c>
      <c r="Y1197">
        <f>INDIRECT(ADDRESS(1197,24))+INDIRECT(ADDRESS(1195,25))-INDIRECT(ADDRESS(1196,25))</f>
        <v>0</v>
      </c>
      <c r="Z1197">
        <f>INDIRECT(ADDRESS(1197,25))+INDIRECT(ADDRESS(1195,26))-INDIRECT(ADDRESS(1196,26))</f>
        <v>0</v>
      </c>
      <c r="AA1197">
        <f>INDIRECT(ADDRESS(1197,26))+INDIRECT(ADDRESS(1195,27))-INDIRECT(ADDRESS(1196,27))</f>
        <v>0</v>
      </c>
      <c r="AB1197">
        <f>INDIRECT(ADDRESS(1197,27))+INDIRECT(ADDRESS(1195,28))-INDIRECT(ADDRESS(1196,28))</f>
        <v>0</v>
      </c>
      <c r="AC1197">
        <f>INDIRECT(ADDRESS(1197,28))+INDIRECT(ADDRESS(1195,29))-INDIRECT(ADDRESS(1196,29))</f>
        <v>0</v>
      </c>
      <c r="AD1197">
        <f>INDIRECT(ADDRESS(1197,29))+INDIRECT(ADDRESS(1195,30))-INDIRECT(ADDRESS(1196,30))</f>
        <v>0</v>
      </c>
      <c r="AE1197">
        <f>INDIRECT(ADDRESS(1197,30))+INDIRECT(ADDRESS(1195,31))-INDIRECT(ADDRESS(1196,31))</f>
        <v>0</v>
      </c>
      <c r="AF1197">
        <f>INDIRECT(ADDRESS(1197,31))+INDIRECT(ADDRESS(1195,32))-INDIRECT(ADDRESS(1196,32))</f>
        <v>0</v>
      </c>
      <c r="AG1197">
        <f>INDIRECT(ADDRESS(1197,32))+INDIRECT(ADDRESS(1195,33))-INDIRECT(ADDRESS(1196,33))</f>
        <v>0</v>
      </c>
      <c r="AH1197">
        <f>INDIRECT(ADDRESS(1197,33))+INDIRECT(ADDRESS(1195,34))-INDIRECT(ADDRESS(1196,34))</f>
        <v>0</v>
      </c>
      <c r="AI1197">
        <f>INDIRECT(ADDRESS(1197,34))+INDIRECT(ADDRESS(1195,35))-INDIRECT(ADDRESS(1196,35))</f>
        <v>0</v>
      </c>
      <c r="AJ1197">
        <f>INDIRECT(ADDRESS(1197,35))+INDIRECT(ADDRESS(1195,36))-INDIRECT(ADDRESS(1196,36))</f>
        <v>0</v>
      </c>
      <c r="AK1197">
        <f>INDIRECT(ADDRESS(1197,36))+INDIRECT(ADDRESS(1195,37))-INDIRECT(ADDRESS(1196,37))</f>
        <v>0</v>
      </c>
      <c r="AL1197">
        <f>INDIRECT(ADDRESS(1197,37))+INDIRECT(ADDRESS(1195,38))-INDIRECT(ADDRESS(1196,38))</f>
        <v>0</v>
      </c>
      <c r="AM1197">
        <f>INDIRECT(ADDRESS(1197,38))+INDIRECT(ADDRESS(1195,39))-INDIRECT(ADDRESS(1196,39))</f>
        <v>0</v>
      </c>
      <c r="AN1197">
        <f>INDIRECT(ADDRESS(1197,39))+INDIRECT(ADDRESS(1195,40))-INDIRECT(ADDRESS(1196,40))</f>
        <v>0</v>
      </c>
      <c r="AO1197">
        <f>SUM(INDIRECT(ADDRESS(1196,8)):INDIRECT(ADDRESS(1196,39)))</f>
        <v>0</v>
      </c>
    </row>
    <row r="1198" spans="1:41">
      <c r="A1198" t="s">
        <v>238</v>
      </c>
      <c r="B1198" t="s">
        <v>610</v>
      </c>
      <c r="C1198" t="s">
        <v>611</v>
      </c>
      <c r="E1198">
        <v>0.1876</v>
      </c>
      <c r="I1198" t="s">
        <v>177</v>
      </c>
    </row>
    <row r="1199" spans="1:41">
      <c r="I1199" t="s">
        <v>178</v>
      </c>
      <c r="J1199">
        <f>IFERROR(VLOOKUP("906-376348-210",B:AB,1+8,0),0)</f>
        <v>0</v>
      </c>
      <c r="K1199">
        <f>IFERROR(VLOOKUP("906-376348-210",B:AB,2+8,0),0)</f>
        <v>0</v>
      </c>
      <c r="L1199">
        <f>IFERROR(VLOOKUP("906-376348-210",B:AB,3+8,0),0)</f>
        <v>0</v>
      </c>
      <c r="M1199">
        <f>IFERROR(VLOOKUP("906-376348-210",B:AB,4+8,0),0)</f>
        <v>0</v>
      </c>
      <c r="N1199">
        <f>IFERROR(VLOOKUP("906-376348-210",B:AB,5+8,0),0)</f>
        <v>0</v>
      </c>
      <c r="O1199">
        <f>IFERROR(VLOOKUP("906-376348-210",B:AB,6+8,0),0)</f>
        <v>0</v>
      </c>
      <c r="P1199">
        <f>IFERROR(VLOOKUP("906-376348-210",B:AB,7+8,0),0)</f>
        <v>0</v>
      </c>
      <c r="Q1199">
        <f>IFERROR(VLOOKUP("906-376348-210",B:AB,8+8,0),0)</f>
        <v>0</v>
      </c>
      <c r="R1199">
        <f>IFERROR(VLOOKUP("906-376348-210",B:AB,9+8,0),0)</f>
        <v>0</v>
      </c>
      <c r="S1199">
        <f>IFERROR(VLOOKUP("906-376348-210",B:AB,10+8,0),0)</f>
        <v>0</v>
      </c>
      <c r="T1199">
        <f>IFERROR(VLOOKUP("906-376348-210",B:AB,11+8,0),0)</f>
        <v>0</v>
      </c>
      <c r="U1199">
        <f>IFERROR(VLOOKUP("906-376348-210",B:AB,12+8,0),0)</f>
        <v>0</v>
      </c>
      <c r="V1199">
        <f>IFERROR(VLOOKUP("906-376348-210",B:AB,13+8,0),0)</f>
        <v>0</v>
      </c>
      <c r="W1199">
        <f>IFERROR(VLOOKUP("906-376348-210",B:AB,14+8,0),0)</f>
        <v>0</v>
      </c>
      <c r="X1199">
        <f>IFERROR(VLOOKUP("906-376348-210",B:AB,15+8,0),0)</f>
        <v>0</v>
      </c>
      <c r="Y1199">
        <f>IFERROR(VLOOKUP("906-376348-210",B:AB,16+8,0),0)</f>
        <v>0</v>
      </c>
      <c r="Z1199">
        <f>IFERROR(VLOOKUP("906-376348-210",B:AB,17+8,0),0)</f>
        <v>0</v>
      </c>
      <c r="AA1199">
        <f>IFERROR(VLOOKUP("906-376348-210",B:AB,18+8,0),0)</f>
        <v>0</v>
      </c>
      <c r="AB1199">
        <f>IFERROR(VLOOKUP("906-376348-210",B:AB,19+8,0),0)</f>
        <v>0</v>
      </c>
      <c r="AC1199">
        <f>IFERROR(VLOOKUP("906-376348-210",B:AB,20+8,0),0)</f>
        <v>0</v>
      </c>
      <c r="AD1199">
        <f>IFERROR(VLOOKUP("906-376348-210",B:AB,21+8,0),0)</f>
        <v>0</v>
      </c>
      <c r="AE1199">
        <f>IFERROR(VLOOKUP("906-376348-210",B:AB,22+8,0),0)</f>
        <v>0</v>
      </c>
      <c r="AF1199">
        <f>IFERROR(VLOOKUP("906-376348-210",B:AB,23+8,0),0)</f>
        <v>0</v>
      </c>
      <c r="AG1199">
        <f>IFERROR(VLOOKUP("906-376348-210",B:AB,24+8,0),0)</f>
        <v>0</v>
      </c>
      <c r="AH1199">
        <f>IFERROR(VLOOKUP("906-376348-210",B:AB,25+8,0),0)</f>
        <v>0</v>
      </c>
      <c r="AI1199">
        <f>IFERROR(VLOOKUP("906-376348-210",B:AB,26+8,0),0)</f>
        <v>0</v>
      </c>
      <c r="AJ1199">
        <f>IFERROR(VLOOKUP("906-376348-210",B:AB,27+8,0),0)</f>
        <v>0</v>
      </c>
      <c r="AK1199">
        <f>IFERROR(VLOOKUP("906-376348-210",B:AB,28+8,0),0)</f>
        <v>0</v>
      </c>
      <c r="AL1199">
        <f>IFERROR(VLOOKUP("906-376348-210",B:AB,29+8,0),0)</f>
        <v>0</v>
      </c>
      <c r="AM1199">
        <f>IFERROR(VLOOKUP("906-376348-210",B:AB,30+8,0),0)</f>
        <v>0</v>
      </c>
      <c r="AN1199">
        <f>IFERROR(VLOOKUP("906-376348-210",B:AB,31+8,0),0)</f>
        <v>0</v>
      </c>
      <c r="AO1199">
        <f>SUN(INDIRECT(ADDRESS(1198,8)):INDIRECT(ADDRESS(1198,39)))</f>
        <v>0</v>
      </c>
    </row>
    <row r="1200" spans="1:41">
      <c r="H1200" t="s">
        <v>179</v>
      </c>
      <c r="J1200">
        <f>INDIRECT(ADDRESS(1200,9))+INDIRECT(ADDRESS(1198,10))-INDIRECT(ADDRESS(1199,10))</f>
        <v>0</v>
      </c>
      <c r="K1200">
        <f>INDIRECT(ADDRESS(1200,10))+INDIRECT(ADDRESS(1198,11))-INDIRECT(ADDRESS(1199,11))</f>
        <v>0</v>
      </c>
      <c r="L1200">
        <f>INDIRECT(ADDRESS(1200,11))+INDIRECT(ADDRESS(1198,12))-INDIRECT(ADDRESS(1199,12))</f>
        <v>0</v>
      </c>
      <c r="M1200">
        <f>INDIRECT(ADDRESS(1200,12))+INDIRECT(ADDRESS(1198,13))-INDIRECT(ADDRESS(1199,13))</f>
        <v>0</v>
      </c>
      <c r="N1200">
        <f>INDIRECT(ADDRESS(1200,13))+INDIRECT(ADDRESS(1198,14))-INDIRECT(ADDRESS(1199,14))</f>
        <v>0</v>
      </c>
      <c r="O1200">
        <f>INDIRECT(ADDRESS(1200,14))+INDIRECT(ADDRESS(1198,15))-INDIRECT(ADDRESS(1199,15))</f>
        <v>0</v>
      </c>
      <c r="P1200">
        <f>INDIRECT(ADDRESS(1200,15))+INDIRECT(ADDRESS(1198,16))-INDIRECT(ADDRESS(1199,16))</f>
        <v>0</v>
      </c>
      <c r="Q1200">
        <f>INDIRECT(ADDRESS(1200,16))+INDIRECT(ADDRESS(1198,17))-INDIRECT(ADDRESS(1199,17))</f>
        <v>0</v>
      </c>
      <c r="R1200">
        <f>INDIRECT(ADDRESS(1200,17))+INDIRECT(ADDRESS(1198,18))-INDIRECT(ADDRESS(1199,18))</f>
        <v>0</v>
      </c>
      <c r="S1200">
        <f>INDIRECT(ADDRESS(1200,18))+INDIRECT(ADDRESS(1198,19))-INDIRECT(ADDRESS(1199,19))</f>
        <v>0</v>
      </c>
      <c r="T1200">
        <f>INDIRECT(ADDRESS(1200,19))+INDIRECT(ADDRESS(1198,20))-INDIRECT(ADDRESS(1199,20))</f>
        <v>0</v>
      </c>
      <c r="U1200">
        <f>INDIRECT(ADDRESS(1200,20))+INDIRECT(ADDRESS(1198,21))-INDIRECT(ADDRESS(1199,21))</f>
        <v>0</v>
      </c>
      <c r="V1200">
        <f>INDIRECT(ADDRESS(1200,21))+INDIRECT(ADDRESS(1198,22))-INDIRECT(ADDRESS(1199,22))</f>
        <v>0</v>
      </c>
      <c r="W1200">
        <f>INDIRECT(ADDRESS(1200,22))+INDIRECT(ADDRESS(1198,23))-INDIRECT(ADDRESS(1199,23))</f>
        <v>0</v>
      </c>
      <c r="X1200">
        <f>INDIRECT(ADDRESS(1200,23))+INDIRECT(ADDRESS(1198,24))-INDIRECT(ADDRESS(1199,24))</f>
        <v>0</v>
      </c>
      <c r="Y1200">
        <f>INDIRECT(ADDRESS(1200,24))+INDIRECT(ADDRESS(1198,25))-INDIRECT(ADDRESS(1199,25))</f>
        <v>0</v>
      </c>
      <c r="Z1200">
        <f>INDIRECT(ADDRESS(1200,25))+INDIRECT(ADDRESS(1198,26))-INDIRECT(ADDRESS(1199,26))</f>
        <v>0</v>
      </c>
      <c r="AA1200">
        <f>INDIRECT(ADDRESS(1200,26))+INDIRECT(ADDRESS(1198,27))-INDIRECT(ADDRESS(1199,27))</f>
        <v>0</v>
      </c>
      <c r="AB1200">
        <f>INDIRECT(ADDRESS(1200,27))+INDIRECT(ADDRESS(1198,28))-INDIRECT(ADDRESS(1199,28))</f>
        <v>0</v>
      </c>
      <c r="AC1200">
        <f>INDIRECT(ADDRESS(1200,28))+INDIRECT(ADDRESS(1198,29))-INDIRECT(ADDRESS(1199,29))</f>
        <v>0</v>
      </c>
      <c r="AD1200">
        <f>INDIRECT(ADDRESS(1200,29))+INDIRECT(ADDRESS(1198,30))-INDIRECT(ADDRESS(1199,30))</f>
        <v>0</v>
      </c>
      <c r="AE1200">
        <f>INDIRECT(ADDRESS(1200,30))+INDIRECT(ADDRESS(1198,31))-INDIRECT(ADDRESS(1199,31))</f>
        <v>0</v>
      </c>
      <c r="AF1200">
        <f>INDIRECT(ADDRESS(1200,31))+INDIRECT(ADDRESS(1198,32))-INDIRECT(ADDRESS(1199,32))</f>
        <v>0</v>
      </c>
      <c r="AG1200">
        <f>INDIRECT(ADDRESS(1200,32))+INDIRECT(ADDRESS(1198,33))-INDIRECT(ADDRESS(1199,33))</f>
        <v>0</v>
      </c>
      <c r="AH1200">
        <f>INDIRECT(ADDRESS(1200,33))+INDIRECT(ADDRESS(1198,34))-INDIRECT(ADDRESS(1199,34))</f>
        <v>0</v>
      </c>
      <c r="AI1200">
        <f>INDIRECT(ADDRESS(1200,34))+INDIRECT(ADDRESS(1198,35))-INDIRECT(ADDRESS(1199,35))</f>
        <v>0</v>
      </c>
      <c r="AJ1200">
        <f>INDIRECT(ADDRESS(1200,35))+INDIRECT(ADDRESS(1198,36))-INDIRECT(ADDRESS(1199,36))</f>
        <v>0</v>
      </c>
      <c r="AK1200">
        <f>INDIRECT(ADDRESS(1200,36))+INDIRECT(ADDRESS(1198,37))-INDIRECT(ADDRESS(1199,37))</f>
        <v>0</v>
      </c>
      <c r="AL1200">
        <f>INDIRECT(ADDRESS(1200,37))+INDIRECT(ADDRESS(1198,38))-INDIRECT(ADDRESS(1199,38))</f>
        <v>0</v>
      </c>
      <c r="AM1200">
        <f>INDIRECT(ADDRESS(1200,38))+INDIRECT(ADDRESS(1198,39))-INDIRECT(ADDRESS(1199,39))</f>
        <v>0</v>
      </c>
      <c r="AN1200">
        <f>INDIRECT(ADDRESS(1200,39))+INDIRECT(ADDRESS(1198,40))-INDIRECT(ADDRESS(1199,40))</f>
        <v>0</v>
      </c>
      <c r="AO1200">
        <f>SUM(INDIRECT(ADDRESS(1199,8)):INDIRECT(ADDRESS(1199,39)))</f>
        <v>0</v>
      </c>
    </row>
    <row r="1201" spans="1:41">
      <c r="A1201" t="s">
        <v>8</v>
      </c>
      <c r="B1201" t="s">
        <v>97</v>
      </c>
      <c r="C1201" t="s">
        <v>98</v>
      </c>
      <c r="E1201">
        <v>1</v>
      </c>
      <c r="I1201" t="s">
        <v>177</v>
      </c>
    </row>
    <row r="1202" spans="1:41">
      <c r="I1202" t="s">
        <v>178</v>
      </c>
      <c r="J1202">
        <f>IFERROR(VLOOKUP("906-377348-110",Out!B:AB,1+8,0),0)</f>
        <v>0</v>
      </c>
      <c r="K1202">
        <f>IFERROR(VLOOKUP("906-377348-110",Out!B:AB,2+8,0),0)</f>
        <v>0</v>
      </c>
      <c r="L1202">
        <f>IFERROR(VLOOKUP("906-377348-110",Out!B:AB,3+8,0),0)</f>
        <v>0</v>
      </c>
      <c r="M1202">
        <f>IFERROR(VLOOKUP("906-377348-110",Out!B:AB,4+8,0),0)</f>
        <v>0</v>
      </c>
      <c r="N1202">
        <f>IFERROR(VLOOKUP("906-377348-110",Out!B:AB,5+8,0),0)</f>
        <v>0</v>
      </c>
      <c r="O1202">
        <f>IFERROR(VLOOKUP("906-377348-110",Out!B:AB,6+8,0),0)</f>
        <v>0</v>
      </c>
      <c r="P1202">
        <f>IFERROR(VLOOKUP("906-377348-110",Out!B:AB,7+8,0),0)</f>
        <v>0</v>
      </c>
      <c r="Q1202">
        <f>IFERROR(VLOOKUP("906-377348-110",Out!B:AB,8+8,0),0)</f>
        <v>0</v>
      </c>
      <c r="R1202">
        <f>IFERROR(VLOOKUP("906-377348-110",Out!B:AB,9+8,0),0)</f>
        <v>0</v>
      </c>
      <c r="S1202">
        <f>IFERROR(VLOOKUP("906-377348-110",Out!B:AB,10+8,0),0)</f>
        <v>0</v>
      </c>
      <c r="T1202">
        <f>IFERROR(VLOOKUP("906-377348-110",Out!B:AB,11+8,0),0)</f>
        <v>0</v>
      </c>
      <c r="U1202">
        <f>IFERROR(VLOOKUP("906-377348-110",Out!B:AB,12+8,0),0)</f>
        <v>0</v>
      </c>
      <c r="V1202">
        <f>IFERROR(VLOOKUP("906-377348-110",Out!B:AB,13+8,0),0)</f>
        <v>0</v>
      </c>
      <c r="W1202">
        <f>IFERROR(VLOOKUP("906-377348-110",Out!B:AB,14+8,0),0)</f>
        <v>0</v>
      </c>
      <c r="X1202">
        <f>IFERROR(VLOOKUP("906-377348-110",Out!B:AB,15+8,0),0)</f>
        <v>0</v>
      </c>
      <c r="Y1202">
        <f>IFERROR(VLOOKUP("906-377348-110",Out!B:AB,16+8,0),0)</f>
        <v>0</v>
      </c>
      <c r="Z1202">
        <f>IFERROR(VLOOKUP("906-377348-110",Out!B:AB,17+8,0),0)</f>
        <v>0</v>
      </c>
      <c r="AA1202">
        <f>IFERROR(VLOOKUP("906-377348-110",Out!B:AB,18+8,0),0)</f>
        <v>0</v>
      </c>
      <c r="AB1202">
        <f>IFERROR(VLOOKUP("906-377348-110",Out!B:AB,19+8,0),0)</f>
        <v>0</v>
      </c>
      <c r="AC1202">
        <f>IFERROR(VLOOKUP("906-377348-110",Out!B:AB,20+8,0),0)</f>
        <v>0</v>
      </c>
      <c r="AD1202">
        <f>IFERROR(VLOOKUP("906-377348-110",Out!B:AB,21+8,0),0)</f>
        <v>0</v>
      </c>
      <c r="AE1202">
        <f>IFERROR(VLOOKUP("906-377348-110",Out!B:AB,22+8,0),0)</f>
        <v>0</v>
      </c>
      <c r="AF1202">
        <f>IFERROR(VLOOKUP("906-377348-110",Out!B:AB,23+8,0),0)</f>
        <v>0</v>
      </c>
      <c r="AG1202">
        <f>IFERROR(VLOOKUP("906-377348-110",Out!B:AB,24+8,0),0)</f>
        <v>0</v>
      </c>
      <c r="AH1202">
        <f>IFERROR(VLOOKUP("906-377348-110",Out!B:AB,25+8,0),0)</f>
        <v>0</v>
      </c>
      <c r="AI1202">
        <f>IFERROR(VLOOKUP("906-377348-110",Out!B:AB,26+8,0),0)</f>
        <v>0</v>
      </c>
      <c r="AJ1202">
        <f>IFERROR(VLOOKUP("906-377348-110",Out!B:AB,27+8,0),0)</f>
        <v>0</v>
      </c>
      <c r="AK1202">
        <f>IFERROR(VLOOKUP("906-377348-110",Out!B:AB,28+8,0),0)</f>
        <v>0</v>
      </c>
      <c r="AL1202">
        <f>IFERROR(VLOOKUP("906-377348-110",Out!B:AB,29+8,0),0)</f>
        <v>0</v>
      </c>
      <c r="AM1202">
        <f>IFERROR(VLOOKUP("906-377348-110",Out!B:AB,30+8,0),0)</f>
        <v>0</v>
      </c>
      <c r="AN1202">
        <f>IFERROR(VLOOKUP("906-377348-110",Out!B:AB,31+8,0),0)</f>
        <v>0</v>
      </c>
      <c r="AO1202">
        <f>SUN(INDIRECT(ADDRESS(1201,8)):INDIRECT(ADDRESS(1201,39)))</f>
        <v>0</v>
      </c>
    </row>
    <row r="1203" spans="1:41">
      <c r="H1203" t="s">
        <v>179</v>
      </c>
      <c r="J1203">
        <f>INDIRECT(ADDRESS(1203,9))+INDIRECT(ADDRESS(1201,10))-INDIRECT(ADDRESS(1202,10))</f>
        <v>0</v>
      </c>
      <c r="K1203">
        <f>INDIRECT(ADDRESS(1203,10))+INDIRECT(ADDRESS(1201,11))-INDIRECT(ADDRESS(1202,11))</f>
        <v>0</v>
      </c>
      <c r="L1203">
        <f>INDIRECT(ADDRESS(1203,11))+INDIRECT(ADDRESS(1201,12))-INDIRECT(ADDRESS(1202,12))</f>
        <v>0</v>
      </c>
      <c r="M1203">
        <f>INDIRECT(ADDRESS(1203,12))+INDIRECT(ADDRESS(1201,13))-INDIRECT(ADDRESS(1202,13))</f>
        <v>0</v>
      </c>
      <c r="N1203">
        <f>INDIRECT(ADDRESS(1203,13))+INDIRECT(ADDRESS(1201,14))-INDIRECT(ADDRESS(1202,14))</f>
        <v>0</v>
      </c>
      <c r="O1203">
        <f>INDIRECT(ADDRESS(1203,14))+INDIRECT(ADDRESS(1201,15))-INDIRECT(ADDRESS(1202,15))</f>
        <v>0</v>
      </c>
      <c r="P1203">
        <f>INDIRECT(ADDRESS(1203,15))+INDIRECT(ADDRESS(1201,16))-INDIRECT(ADDRESS(1202,16))</f>
        <v>0</v>
      </c>
      <c r="Q1203">
        <f>INDIRECT(ADDRESS(1203,16))+INDIRECT(ADDRESS(1201,17))-INDIRECT(ADDRESS(1202,17))</f>
        <v>0</v>
      </c>
      <c r="R1203">
        <f>INDIRECT(ADDRESS(1203,17))+INDIRECT(ADDRESS(1201,18))-INDIRECT(ADDRESS(1202,18))</f>
        <v>0</v>
      </c>
      <c r="S1203">
        <f>INDIRECT(ADDRESS(1203,18))+INDIRECT(ADDRESS(1201,19))-INDIRECT(ADDRESS(1202,19))</f>
        <v>0</v>
      </c>
      <c r="T1203">
        <f>INDIRECT(ADDRESS(1203,19))+INDIRECT(ADDRESS(1201,20))-INDIRECT(ADDRESS(1202,20))</f>
        <v>0</v>
      </c>
      <c r="U1203">
        <f>INDIRECT(ADDRESS(1203,20))+INDIRECT(ADDRESS(1201,21))-INDIRECT(ADDRESS(1202,21))</f>
        <v>0</v>
      </c>
      <c r="V1203">
        <f>INDIRECT(ADDRESS(1203,21))+INDIRECT(ADDRESS(1201,22))-INDIRECT(ADDRESS(1202,22))</f>
        <v>0</v>
      </c>
      <c r="W1203">
        <f>INDIRECT(ADDRESS(1203,22))+INDIRECT(ADDRESS(1201,23))-INDIRECT(ADDRESS(1202,23))</f>
        <v>0</v>
      </c>
      <c r="X1203">
        <f>INDIRECT(ADDRESS(1203,23))+INDIRECT(ADDRESS(1201,24))-INDIRECT(ADDRESS(1202,24))</f>
        <v>0</v>
      </c>
      <c r="Y1203">
        <f>INDIRECT(ADDRESS(1203,24))+INDIRECT(ADDRESS(1201,25))-INDIRECT(ADDRESS(1202,25))</f>
        <v>0</v>
      </c>
      <c r="Z1203">
        <f>INDIRECT(ADDRESS(1203,25))+INDIRECT(ADDRESS(1201,26))-INDIRECT(ADDRESS(1202,26))</f>
        <v>0</v>
      </c>
      <c r="AA1203">
        <f>INDIRECT(ADDRESS(1203,26))+INDIRECT(ADDRESS(1201,27))-INDIRECT(ADDRESS(1202,27))</f>
        <v>0</v>
      </c>
      <c r="AB1203">
        <f>INDIRECT(ADDRESS(1203,27))+INDIRECT(ADDRESS(1201,28))-INDIRECT(ADDRESS(1202,28))</f>
        <v>0</v>
      </c>
      <c r="AC1203">
        <f>INDIRECT(ADDRESS(1203,28))+INDIRECT(ADDRESS(1201,29))-INDIRECT(ADDRESS(1202,29))</f>
        <v>0</v>
      </c>
      <c r="AD1203">
        <f>INDIRECT(ADDRESS(1203,29))+INDIRECT(ADDRESS(1201,30))-INDIRECT(ADDRESS(1202,30))</f>
        <v>0</v>
      </c>
      <c r="AE1203">
        <f>INDIRECT(ADDRESS(1203,30))+INDIRECT(ADDRESS(1201,31))-INDIRECT(ADDRESS(1202,31))</f>
        <v>0</v>
      </c>
      <c r="AF1203">
        <f>INDIRECT(ADDRESS(1203,31))+INDIRECT(ADDRESS(1201,32))-INDIRECT(ADDRESS(1202,32))</f>
        <v>0</v>
      </c>
      <c r="AG1203">
        <f>INDIRECT(ADDRESS(1203,32))+INDIRECT(ADDRESS(1201,33))-INDIRECT(ADDRESS(1202,33))</f>
        <v>0</v>
      </c>
      <c r="AH1203">
        <f>INDIRECT(ADDRESS(1203,33))+INDIRECT(ADDRESS(1201,34))-INDIRECT(ADDRESS(1202,34))</f>
        <v>0</v>
      </c>
      <c r="AI1203">
        <f>INDIRECT(ADDRESS(1203,34))+INDIRECT(ADDRESS(1201,35))-INDIRECT(ADDRESS(1202,35))</f>
        <v>0</v>
      </c>
      <c r="AJ1203">
        <f>INDIRECT(ADDRESS(1203,35))+INDIRECT(ADDRESS(1201,36))-INDIRECT(ADDRESS(1202,36))</f>
        <v>0</v>
      </c>
      <c r="AK1203">
        <f>INDIRECT(ADDRESS(1203,36))+INDIRECT(ADDRESS(1201,37))-INDIRECT(ADDRESS(1202,37))</f>
        <v>0</v>
      </c>
      <c r="AL1203">
        <f>INDIRECT(ADDRESS(1203,37))+INDIRECT(ADDRESS(1201,38))-INDIRECT(ADDRESS(1202,38))</f>
        <v>0</v>
      </c>
      <c r="AM1203">
        <f>INDIRECT(ADDRESS(1203,38))+INDIRECT(ADDRESS(1201,39))-INDIRECT(ADDRESS(1202,39))</f>
        <v>0</v>
      </c>
      <c r="AN1203">
        <f>INDIRECT(ADDRESS(1203,39))+INDIRECT(ADDRESS(1201,40))-INDIRECT(ADDRESS(1202,40))</f>
        <v>0</v>
      </c>
      <c r="AO1203">
        <f>SUM(INDIRECT(ADDRESS(1202,8)):INDIRECT(ADDRESS(1202,39)))</f>
        <v>0</v>
      </c>
    </row>
    <row r="1204" spans="1:41">
      <c r="A1204" t="s">
        <v>180</v>
      </c>
      <c r="B1204" t="s">
        <v>612</v>
      </c>
      <c r="C1204" t="s">
        <v>585</v>
      </c>
      <c r="E1204">
        <v>1</v>
      </c>
      <c r="I1204" t="s">
        <v>177</v>
      </c>
    </row>
    <row r="1205" spans="1:41">
      <c r="I1205" t="s">
        <v>178</v>
      </c>
      <c r="J1205">
        <f>IFERROR(VLOOKUP("906-377348-110",B:AB,1+8,0),0)</f>
        <v>0</v>
      </c>
      <c r="K1205">
        <f>IFERROR(VLOOKUP("906-377348-110",B:AB,2+8,0),0)</f>
        <v>0</v>
      </c>
      <c r="L1205">
        <f>IFERROR(VLOOKUP("906-377348-110",B:AB,3+8,0),0)</f>
        <v>0</v>
      </c>
      <c r="M1205">
        <f>IFERROR(VLOOKUP("906-377348-110",B:AB,4+8,0),0)</f>
        <v>0</v>
      </c>
      <c r="N1205">
        <f>IFERROR(VLOOKUP("906-377348-110",B:AB,5+8,0),0)</f>
        <v>0</v>
      </c>
      <c r="O1205">
        <f>IFERROR(VLOOKUP("906-377348-110",B:AB,6+8,0),0)</f>
        <v>0</v>
      </c>
      <c r="P1205">
        <f>IFERROR(VLOOKUP("906-377348-110",B:AB,7+8,0),0)</f>
        <v>0</v>
      </c>
      <c r="Q1205">
        <f>IFERROR(VLOOKUP("906-377348-110",B:AB,8+8,0),0)</f>
        <v>0</v>
      </c>
      <c r="R1205">
        <f>IFERROR(VLOOKUP("906-377348-110",B:AB,9+8,0),0)</f>
        <v>0</v>
      </c>
      <c r="S1205">
        <f>IFERROR(VLOOKUP("906-377348-110",B:AB,10+8,0),0)</f>
        <v>0</v>
      </c>
      <c r="T1205">
        <f>IFERROR(VLOOKUP("906-377348-110",B:AB,11+8,0),0)</f>
        <v>0</v>
      </c>
      <c r="U1205">
        <f>IFERROR(VLOOKUP("906-377348-110",B:AB,12+8,0),0)</f>
        <v>0</v>
      </c>
      <c r="V1205">
        <f>IFERROR(VLOOKUP("906-377348-110",B:AB,13+8,0),0)</f>
        <v>0</v>
      </c>
      <c r="W1205">
        <f>IFERROR(VLOOKUP("906-377348-110",B:AB,14+8,0),0)</f>
        <v>0</v>
      </c>
      <c r="X1205">
        <f>IFERROR(VLOOKUP("906-377348-110",B:AB,15+8,0),0)</f>
        <v>0</v>
      </c>
      <c r="Y1205">
        <f>IFERROR(VLOOKUP("906-377348-110",B:AB,16+8,0),0)</f>
        <v>0</v>
      </c>
      <c r="Z1205">
        <f>IFERROR(VLOOKUP("906-377348-110",B:AB,17+8,0),0)</f>
        <v>0</v>
      </c>
      <c r="AA1205">
        <f>IFERROR(VLOOKUP("906-377348-110",B:AB,18+8,0),0)</f>
        <v>0</v>
      </c>
      <c r="AB1205">
        <f>IFERROR(VLOOKUP("906-377348-110",B:AB,19+8,0),0)</f>
        <v>0</v>
      </c>
      <c r="AC1205">
        <f>IFERROR(VLOOKUP("906-377348-110",B:AB,20+8,0),0)</f>
        <v>0</v>
      </c>
      <c r="AD1205">
        <f>IFERROR(VLOOKUP("906-377348-110",B:AB,21+8,0),0)</f>
        <v>0</v>
      </c>
      <c r="AE1205">
        <f>IFERROR(VLOOKUP("906-377348-110",B:AB,22+8,0),0)</f>
        <v>0</v>
      </c>
      <c r="AF1205">
        <f>IFERROR(VLOOKUP("906-377348-110",B:AB,23+8,0),0)</f>
        <v>0</v>
      </c>
      <c r="AG1205">
        <f>IFERROR(VLOOKUP("906-377348-110",B:AB,24+8,0),0)</f>
        <v>0</v>
      </c>
      <c r="AH1205">
        <f>IFERROR(VLOOKUP("906-377348-110",B:AB,25+8,0),0)</f>
        <v>0</v>
      </c>
      <c r="AI1205">
        <f>IFERROR(VLOOKUP("906-377348-110",B:AB,26+8,0),0)</f>
        <v>0</v>
      </c>
      <c r="AJ1205">
        <f>IFERROR(VLOOKUP("906-377348-110",B:AB,27+8,0),0)</f>
        <v>0</v>
      </c>
      <c r="AK1205">
        <f>IFERROR(VLOOKUP("906-377348-110",B:AB,28+8,0),0)</f>
        <v>0</v>
      </c>
      <c r="AL1205">
        <f>IFERROR(VLOOKUP("906-377348-110",B:AB,29+8,0),0)</f>
        <v>0</v>
      </c>
      <c r="AM1205">
        <f>IFERROR(VLOOKUP("906-377348-110",B:AB,30+8,0),0)</f>
        <v>0</v>
      </c>
      <c r="AN1205">
        <f>IFERROR(VLOOKUP("906-377348-110",B:AB,31+8,0),0)</f>
        <v>0</v>
      </c>
      <c r="AO1205">
        <f>SUN(INDIRECT(ADDRESS(1204,8)):INDIRECT(ADDRESS(1204,39)))</f>
        <v>0</v>
      </c>
    </row>
    <row r="1206" spans="1:41">
      <c r="H1206" t="s">
        <v>179</v>
      </c>
      <c r="J1206">
        <f>INDIRECT(ADDRESS(1206,9))+INDIRECT(ADDRESS(1204,10))-INDIRECT(ADDRESS(1205,10))</f>
        <v>0</v>
      </c>
      <c r="K1206">
        <f>INDIRECT(ADDRESS(1206,10))+INDIRECT(ADDRESS(1204,11))-INDIRECT(ADDRESS(1205,11))</f>
        <v>0</v>
      </c>
      <c r="L1206">
        <f>INDIRECT(ADDRESS(1206,11))+INDIRECT(ADDRESS(1204,12))-INDIRECT(ADDRESS(1205,12))</f>
        <v>0</v>
      </c>
      <c r="M1206">
        <f>INDIRECT(ADDRESS(1206,12))+INDIRECT(ADDRESS(1204,13))-INDIRECT(ADDRESS(1205,13))</f>
        <v>0</v>
      </c>
      <c r="N1206">
        <f>INDIRECT(ADDRESS(1206,13))+INDIRECT(ADDRESS(1204,14))-INDIRECT(ADDRESS(1205,14))</f>
        <v>0</v>
      </c>
      <c r="O1206">
        <f>INDIRECT(ADDRESS(1206,14))+INDIRECT(ADDRESS(1204,15))-INDIRECT(ADDRESS(1205,15))</f>
        <v>0</v>
      </c>
      <c r="P1206">
        <f>INDIRECT(ADDRESS(1206,15))+INDIRECT(ADDRESS(1204,16))-INDIRECT(ADDRESS(1205,16))</f>
        <v>0</v>
      </c>
      <c r="Q1206">
        <f>INDIRECT(ADDRESS(1206,16))+INDIRECT(ADDRESS(1204,17))-INDIRECT(ADDRESS(1205,17))</f>
        <v>0</v>
      </c>
      <c r="R1206">
        <f>INDIRECT(ADDRESS(1206,17))+INDIRECT(ADDRESS(1204,18))-INDIRECT(ADDRESS(1205,18))</f>
        <v>0</v>
      </c>
      <c r="S1206">
        <f>INDIRECT(ADDRESS(1206,18))+INDIRECT(ADDRESS(1204,19))-INDIRECT(ADDRESS(1205,19))</f>
        <v>0</v>
      </c>
      <c r="T1206">
        <f>INDIRECT(ADDRESS(1206,19))+INDIRECT(ADDRESS(1204,20))-INDIRECT(ADDRESS(1205,20))</f>
        <v>0</v>
      </c>
      <c r="U1206">
        <f>INDIRECT(ADDRESS(1206,20))+INDIRECT(ADDRESS(1204,21))-INDIRECT(ADDRESS(1205,21))</f>
        <v>0</v>
      </c>
      <c r="V1206">
        <f>INDIRECT(ADDRESS(1206,21))+INDIRECT(ADDRESS(1204,22))-INDIRECT(ADDRESS(1205,22))</f>
        <v>0</v>
      </c>
      <c r="W1206">
        <f>INDIRECT(ADDRESS(1206,22))+INDIRECT(ADDRESS(1204,23))-INDIRECT(ADDRESS(1205,23))</f>
        <v>0</v>
      </c>
      <c r="X1206">
        <f>INDIRECT(ADDRESS(1206,23))+INDIRECT(ADDRESS(1204,24))-INDIRECT(ADDRESS(1205,24))</f>
        <v>0</v>
      </c>
      <c r="Y1206">
        <f>INDIRECT(ADDRESS(1206,24))+INDIRECT(ADDRESS(1204,25))-INDIRECT(ADDRESS(1205,25))</f>
        <v>0</v>
      </c>
      <c r="Z1206">
        <f>INDIRECT(ADDRESS(1206,25))+INDIRECT(ADDRESS(1204,26))-INDIRECT(ADDRESS(1205,26))</f>
        <v>0</v>
      </c>
      <c r="AA1206">
        <f>INDIRECT(ADDRESS(1206,26))+INDIRECT(ADDRESS(1204,27))-INDIRECT(ADDRESS(1205,27))</f>
        <v>0</v>
      </c>
      <c r="AB1206">
        <f>INDIRECT(ADDRESS(1206,27))+INDIRECT(ADDRESS(1204,28))-INDIRECT(ADDRESS(1205,28))</f>
        <v>0</v>
      </c>
      <c r="AC1206">
        <f>INDIRECT(ADDRESS(1206,28))+INDIRECT(ADDRESS(1204,29))-INDIRECT(ADDRESS(1205,29))</f>
        <v>0</v>
      </c>
      <c r="AD1206">
        <f>INDIRECT(ADDRESS(1206,29))+INDIRECT(ADDRESS(1204,30))-INDIRECT(ADDRESS(1205,30))</f>
        <v>0</v>
      </c>
      <c r="AE1206">
        <f>INDIRECT(ADDRESS(1206,30))+INDIRECT(ADDRESS(1204,31))-INDIRECT(ADDRESS(1205,31))</f>
        <v>0</v>
      </c>
      <c r="AF1206">
        <f>INDIRECT(ADDRESS(1206,31))+INDIRECT(ADDRESS(1204,32))-INDIRECT(ADDRESS(1205,32))</f>
        <v>0</v>
      </c>
      <c r="AG1206">
        <f>INDIRECT(ADDRESS(1206,32))+INDIRECT(ADDRESS(1204,33))-INDIRECT(ADDRESS(1205,33))</f>
        <v>0</v>
      </c>
      <c r="AH1206">
        <f>INDIRECT(ADDRESS(1206,33))+INDIRECT(ADDRESS(1204,34))-INDIRECT(ADDRESS(1205,34))</f>
        <v>0</v>
      </c>
      <c r="AI1206">
        <f>INDIRECT(ADDRESS(1206,34))+INDIRECT(ADDRESS(1204,35))-INDIRECT(ADDRESS(1205,35))</f>
        <v>0</v>
      </c>
      <c r="AJ1206">
        <f>INDIRECT(ADDRESS(1206,35))+INDIRECT(ADDRESS(1204,36))-INDIRECT(ADDRESS(1205,36))</f>
        <v>0</v>
      </c>
      <c r="AK1206">
        <f>INDIRECT(ADDRESS(1206,36))+INDIRECT(ADDRESS(1204,37))-INDIRECT(ADDRESS(1205,37))</f>
        <v>0</v>
      </c>
      <c r="AL1206">
        <f>INDIRECT(ADDRESS(1206,37))+INDIRECT(ADDRESS(1204,38))-INDIRECT(ADDRESS(1205,38))</f>
        <v>0</v>
      </c>
      <c r="AM1206">
        <f>INDIRECT(ADDRESS(1206,38))+INDIRECT(ADDRESS(1204,39))-INDIRECT(ADDRESS(1205,39))</f>
        <v>0</v>
      </c>
      <c r="AN1206">
        <f>INDIRECT(ADDRESS(1206,39))+INDIRECT(ADDRESS(1204,40))-INDIRECT(ADDRESS(1205,40))</f>
        <v>0</v>
      </c>
      <c r="AO1206">
        <f>SUM(INDIRECT(ADDRESS(1205,8)):INDIRECT(ADDRESS(1205,39)))</f>
        <v>0</v>
      </c>
    </row>
    <row r="1207" spans="1:41">
      <c r="A1207" t="s">
        <v>180</v>
      </c>
      <c r="B1207" t="s">
        <v>613</v>
      </c>
      <c r="C1207" t="s">
        <v>587</v>
      </c>
      <c r="E1207">
        <v>1</v>
      </c>
      <c r="I1207" t="s">
        <v>177</v>
      </c>
    </row>
    <row r="1208" spans="1:41">
      <c r="I1208" t="s">
        <v>178</v>
      </c>
      <c r="J1208">
        <f>IFERROR(VLOOKUP("906-377348-110",B:AB,1+8,0),0)</f>
        <v>0</v>
      </c>
      <c r="K1208">
        <f>IFERROR(VLOOKUP("906-377348-110",B:AB,2+8,0),0)</f>
        <v>0</v>
      </c>
      <c r="L1208">
        <f>IFERROR(VLOOKUP("906-377348-110",B:AB,3+8,0),0)</f>
        <v>0</v>
      </c>
      <c r="M1208">
        <f>IFERROR(VLOOKUP("906-377348-110",B:AB,4+8,0),0)</f>
        <v>0</v>
      </c>
      <c r="N1208">
        <f>IFERROR(VLOOKUP("906-377348-110",B:AB,5+8,0),0)</f>
        <v>0</v>
      </c>
      <c r="O1208">
        <f>IFERROR(VLOOKUP("906-377348-110",B:AB,6+8,0),0)</f>
        <v>0</v>
      </c>
      <c r="P1208">
        <f>IFERROR(VLOOKUP("906-377348-110",B:AB,7+8,0),0)</f>
        <v>0</v>
      </c>
      <c r="Q1208">
        <f>IFERROR(VLOOKUP("906-377348-110",B:AB,8+8,0),0)</f>
        <v>0</v>
      </c>
      <c r="R1208">
        <f>IFERROR(VLOOKUP("906-377348-110",B:AB,9+8,0),0)</f>
        <v>0</v>
      </c>
      <c r="S1208">
        <f>IFERROR(VLOOKUP("906-377348-110",B:AB,10+8,0),0)</f>
        <v>0</v>
      </c>
      <c r="T1208">
        <f>IFERROR(VLOOKUP("906-377348-110",B:AB,11+8,0),0)</f>
        <v>0</v>
      </c>
      <c r="U1208">
        <f>IFERROR(VLOOKUP("906-377348-110",B:AB,12+8,0),0)</f>
        <v>0</v>
      </c>
      <c r="V1208">
        <f>IFERROR(VLOOKUP("906-377348-110",B:AB,13+8,0),0)</f>
        <v>0</v>
      </c>
      <c r="W1208">
        <f>IFERROR(VLOOKUP("906-377348-110",B:AB,14+8,0),0)</f>
        <v>0</v>
      </c>
      <c r="X1208">
        <f>IFERROR(VLOOKUP("906-377348-110",B:AB,15+8,0),0)</f>
        <v>0</v>
      </c>
      <c r="Y1208">
        <f>IFERROR(VLOOKUP("906-377348-110",B:AB,16+8,0),0)</f>
        <v>0</v>
      </c>
      <c r="Z1208">
        <f>IFERROR(VLOOKUP("906-377348-110",B:AB,17+8,0),0)</f>
        <v>0</v>
      </c>
      <c r="AA1208">
        <f>IFERROR(VLOOKUP("906-377348-110",B:AB,18+8,0),0)</f>
        <v>0</v>
      </c>
      <c r="AB1208">
        <f>IFERROR(VLOOKUP("906-377348-110",B:AB,19+8,0),0)</f>
        <v>0</v>
      </c>
      <c r="AC1208">
        <f>IFERROR(VLOOKUP("906-377348-110",B:AB,20+8,0),0)</f>
        <v>0</v>
      </c>
      <c r="AD1208">
        <f>IFERROR(VLOOKUP("906-377348-110",B:AB,21+8,0),0)</f>
        <v>0</v>
      </c>
      <c r="AE1208">
        <f>IFERROR(VLOOKUP("906-377348-110",B:AB,22+8,0),0)</f>
        <v>0</v>
      </c>
      <c r="AF1208">
        <f>IFERROR(VLOOKUP("906-377348-110",B:AB,23+8,0),0)</f>
        <v>0</v>
      </c>
      <c r="AG1208">
        <f>IFERROR(VLOOKUP("906-377348-110",B:AB,24+8,0),0)</f>
        <v>0</v>
      </c>
      <c r="AH1208">
        <f>IFERROR(VLOOKUP("906-377348-110",B:AB,25+8,0),0)</f>
        <v>0</v>
      </c>
      <c r="AI1208">
        <f>IFERROR(VLOOKUP("906-377348-110",B:AB,26+8,0),0)</f>
        <v>0</v>
      </c>
      <c r="AJ1208">
        <f>IFERROR(VLOOKUP("906-377348-110",B:AB,27+8,0),0)</f>
        <v>0</v>
      </c>
      <c r="AK1208">
        <f>IFERROR(VLOOKUP("906-377348-110",B:AB,28+8,0),0)</f>
        <v>0</v>
      </c>
      <c r="AL1208">
        <f>IFERROR(VLOOKUP("906-377348-110",B:AB,29+8,0),0)</f>
        <v>0</v>
      </c>
      <c r="AM1208">
        <f>IFERROR(VLOOKUP("906-377348-110",B:AB,30+8,0),0)</f>
        <v>0</v>
      </c>
      <c r="AN1208">
        <f>IFERROR(VLOOKUP("906-377348-110",B:AB,31+8,0),0)</f>
        <v>0</v>
      </c>
      <c r="AO1208">
        <f>SUN(INDIRECT(ADDRESS(1207,8)):INDIRECT(ADDRESS(1207,39)))</f>
        <v>0</v>
      </c>
    </row>
    <row r="1209" spans="1:41">
      <c r="H1209" t="s">
        <v>179</v>
      </c>
      <c r="J1209">
        <f>INDIRECT(ADDRESS(1209,9))+INDIRECT(ADDRESS(1207,10))-INDIRECT(ADDRESS(1208,10))</f>
        <v>0</v>
      </c>
      <c r="K1209">
        <f>INDIRECT(ADDRESS(1209,10))+INDIRECT(ADDRESS(1207,11))-INDIRECT(ADDRESS(1208,11))</f>
        <v>0</v>
      </c>
      <c r="L1209">
        <f>INDIRECT(ADDRESS(1209,11))+INDIRECT(ADDRESS(1207,12))-INDIRECT(ADDRESS(1208,12))</f>
        <v>0</v>
      </c>
      <c r="M1209">
        <f>INDIRECT(ADDRESS(1209,12))+INDIRECT(ADDRESS(1207,13))-INDIRECT(ADDRESS(1208,13))</f>
        <v>0</v>
      </c>
      <c r="N1209">
        <f>INDIRECT(ADDRESS(1209,13))+INDIRECT(ADDRESS(1207,14))-INDIRECT(ADDRESS(1208,14))</f>
        <v>0</v>
      </c>
      <c r="O1209">
        <f>INDIRECT(ADDRESS(1209,14))+INDIRECT(ADDRESS(1207,15))-INDIRECT(ADDRESS(1208,15))</f>
        <v>0</v>
      </c>
      <c r="P1209">
        <f>INDIRECT(ADDRESS(1209,15))+INDIRECT(ADDRESS(1207,16))-INDIRECT(ADDRESS(1208,16))</f>
        <v>0</v>
      </c>
      <c r="Q1209">
        <f>INDIRECT(ADDRESS(1209,16))+INDIRECT(ADDRESS(1207,17))-INDIRECT(ADDRESS(1208,17))</f>
        <v>0</v>
      </c>
      <c r="R1209">
        <f>INDIRECT(ADDRESS(1209,17))+INDIRECT(ADDRESS(1207,18))-INDIRECT(ADDRESS(1208,18))</f>
        <v>0</v>
      </c>
      <c r="S1209">
        <f>INDIRECT(ADDRESS(1209,18))+INDIRECT(ADDRESS(1207,19))-INDIRECT(ADDRESS(1208,19))</f>
        <v>0</v>
      </c>
      <c r="T1209">
        <f>INDIRECT(ADDRESS(1209,19))+INDIRECT(ADDRESS(1207,20))-INDIRECT(ADDRESS(1208,20))</f>
        <v>0</v>
      </c>
      <c r="U1209">
        <f>INDIRECT(ADDRESS(1209,20))+INDIRECT(ADDRESS(1207,21))-INDIRECT(ADDRESS(1208,21))</f>
        <v>0</v>
      </c>
      <c r="V1209">
        <f>INDIRECT(ADDRESS(1209,21))+INDIRECT(ADDRESS(1207,22))-INDIRECT(ADDRESS(1208,22))</f>
        <v>0</v>
      </c>
      <c r="W1209">
        <f>INDIRECT(ADDRESS(1209,22))+INDIRECT(ADDRESS(1207,23))-INDIRECT(ADDRESS(1208,23))</f>
        <v>0</v>
      </c>
      <c r="X1209">
        <f>INDIRECT(ADDRESS(1209,23))+INDIRECT(ADDRESS(1207,24))-INDIRECT(ADDRESS(1208,24))</f>
        <v>0</v>
      </c>
      <c r="Y1209">
        <f>INDIRECT(ADDRESS(1209,24))+INDIRECT(ADDRESS(1207,25))-INDIRECT(ADDRESS(1208,25))</f>
        <v>0</v>
      </c>
      <c r="Z1209">
        <f>INDIRECT(ADDRESS(1209,25))+INDIRECT(ADDRESS(1207,26))-INDIRECT(ADDRESS(1208,26))</f>
        <v>0</v>
      </c>
      <c r="AA1209">
        <f>INDIRECT(ADDRESS(1209,26))+INDIRECT(ADDRESS(1207,27))-INDIRECT(ADDRESS(1208,27))</f>
        <v>0</v>
      </c>
      <c r="AB1209">
        <f>INDIRECT(ADDRESS(1209,27))+INDIRECT(ADDRESS(1207,28))-INDIRECT(ADDRESS(1208,28))</f>
        <v>0</v>
      </c>
      <c r="AC1209">
        <f>INDIRECT(ADDRESS(1209,28))+INDIRECT(ADDRESS(1207,29))-INDIRECT(ADDRESS(1208,29))</f>
        <v>0</v>
      </c>
      <c r="AD1209">
        <f>INDIRECT(ADDRESS(1209,29))+INDIRECT(ADDRESS(1207,30))-INDIRECT(ADDRESS(1208,30))</f>
        <v>0</v>
      </c>
      <c r="AE1209">
        <f>INDIRECT(ADDRESS(1209,30))+INDIRECT(ADDRESS(1207,31))-INDIRECT(ADDRESS(1208,31))</f>
        <v>0</v>
      </c>
      <c r="AF1209">
        <f>INDIRECT(ADDRESS(1209,31))+INDIRECT(ADDRESS(1207,32))-INDIRECT(ADDRESS(1208,32))</f>
        <v>0</v>
      </c>
      <c r="AG1209">
        <f>INDIRECT(ADDRESS(1209,32))+INDIRECT(ADDRESS(1207,33))-INDIRECT(ADDRESS(1208,33))</f>
        <v>0</v>
      </c>
      <c r="AH1209">
        <f>INDIRECT(ADDRESS(1209,33))+INDIRECT(ADDRESS(1207,34))-INDIRECT(ADDRESS(1208,34))</f>
        <v>0</v>
      </c>
      <c r="AI1209">
        <f>INDIRECT(ADDRESS(1209,34))+INDIRECT(ADDRESS(1207,35))-INDIRECT(ADDRESS(1208,35))</f>
        <v>0</v>
      </c>
      <c r="AJ1209">
        <f>INDIRECT(ADDRESS(1209,35))+INDIRECT(ADDRESS(1207,36))-INDIRECT(ADDRESS(1208,36))</f>
        <v>0</v>
      </c>
      <c r="AK1209">
        <f>INDIRECT(ADDRESS(1209,36))+INDIRECT(ADDRESS(1207,37))-INDIRECT(ADDRESS(1208,37))</f>
        <v>0</v>
      </c>
      <c r="AL1209">
        <f>INDIRECT(ADDRESS(1209,37))+INDIRECT(ADDRESS(1207,38))-INDIRECT(ADDRESS(1208,38))</f>
        <v>0</v>
      </c>
      <c r="AM1209">
        <f>INDIRECT(ADDRESS(1209,38))+INDIRECT(ADDRESS(1207,39))-INDIRECT(ADDRESS(1208,39))</f>
        <v>0</v>
      </c>
      <c r="AN1209">
        <f>INDIRECT(ADDRESS(1209,39))+INDIRECT(ADDRESS(1207,40))-INDIRECT(ADDRESS(1208,40))</f>
        <v>0</v>
      </c>
      <c r="AO1209">
        <f>SUM(INDIRECT(ADDRESS(1208,8)):INDIRECT(ADDRESS(1208,39)))</f>
        <v>0</v>
      </c>
    </row>
    <row r="1210" spans="1:41">
      <c r="A1210" t="s">
        <v>185</v>
      </c>
      <c r="B1210" t="s">
        <v>588</v>
      </c>
      <c r="C1210" t="s">
        <v>589</v>
      </c>
      <c r="E1210">
        <v>2</v>
      </c>
      <c r="I1210" t="s">
        <v>177</v>
      </c>
    </row>
    <row r="1211" spans="1:41">
      <c r="I1211" t="s">
        <v>178</v>
      </c>
      <c r="J1211">
        <f>IFERROR(VLOOKUP("906-377348-110",B:AB,1+8,0),0)</f>
        <v>0</v>
      </c>
      <c r="K1211">
        <f>IFERROR(VLOOKUP("906-377348-110",B:AB,2+8,0),0)</f>
        <v>0</v>
      </c>
      <c r="L1211">
        <f>IFERROR(VLOOKUP("906-377348-110",B:AB,3+8,0),0)</f>
        <v>0</v>
      </c>
      <c r="M1211">
        <f>IFERROR(VLOOKUP("906-377348-110",B:AB,4+8,0),0)</f>
        <v>0</v>
      </c>
      <c r="N1211">
        <f>IFERROR(VLOOKUP("906-377348-110",B:AB,5+8,0),0)</f>
        <v>0</v>
      </c>
      <c r="O1211">
        <f>IFERROR(VLOOKUP("906-377348-110",B:AB,6+8,0),0)</f>
        <v>0</v>
      </c>
      <c r="P1211">
        <f>IFERROR(VLOOKUP("906-377348-110",B:AB,7+8,0),0)</f>
        <v>0</v>
      </c>
      <c r="Q1211">
        <f>IFERROR(VLOOKUP("906-377348-110",B:AB,8+8,0),0)</f>
        <v>0</v>
      </c>
      <c r="R1211">
        <f>IFERROR(VLOOKUP("906-377348-110",B:AB,9+8,0),0)</f>
        <v>0</v>
      </c>
      <c r="S1211">
        <f>IFERROR(VLOOKUP("906-377348-110",B:AB,10+8,0),0)</f>
        <v>0</v>
      </c>
      <c r="T1211">
        <f>IFERROR(VLOOKUP("906-377348-110",B:AB,11+8,0),0)</f>
        <v>0</v>
      </c>
      <c r="U1211">
        <f>IFERROR(VLOOKUP("906-377348-110",B:AB,12+8,0),0)</f>
        <v>0</v>
      </c>
      <c r="V1211">
        <f>IFERROR(VLOOKUP("906-377348-110",B:AB,13+8,0),0)</f>
        <v>0</v>
      </c>
      <c r="W1211">
        <f>IFERROR(VLOOKUP("906-377348-110",B:AB,14+8,0),0)</f>
        <v>0</v>
      </c>
      <c r="X1211">
        <f>IFERROR(VLOOKUP("906-377348-110",B:AB,15+8,0),0)</f>
        <v>0</v>
      </c>
      <c r="Y1211">
        <f>IFERROR(VLOOKUP("906-377348-110",B:AB,16+8,0),0)</f>
        <v>0</v>
      </c>
      <c r="Z1211">
        <f>IFERROR(VLOOKUP("906-377348-110",B:AB,17+8,0),0)</f>
        <v>0</v>
      </c>
      <c r="AA1211">
        <f>IFERROR(VLOOKUP("906-377348-110",B:AB,18+8,0),0)</f>
        <v>0</v>
      </c>
      <c r="AB1211">
        <f>IFERROR(VLOOKUP("906-377348-110",B:AB,19+8,0),0)</f>
        <v>0</v>
      </c>
      <c r="AC1211">
        <f>IFERROR(VLOOKUP("906-377348-110",B:AB,20+8,0),0)</f>
        <v>0</v>
      </c>
      <c r="AD1211">
        <f>IFERROR(VLOOKUP("906-377348-110",B:AB,21+8,0),0)</f>
        <v>0</v>
      </c>
      <c r="AE1211">
        <f>IFERROR(VLOOKUP("906-377348-110",B:AB,22+8,0),0)</f>
        <v>0</v>
      </c>
      <c r="AF1211">
        <f>IFERROR(VLOOKUP("906-377348-110",B:AB,23+8,0),0)</f>
        <v>0</v>
      </c>
      <c r="AG1211">
        <f>IFERROR(VLOOKUP("906-377348-110",B:AB,24+8,0),0)</f>
        <v>0</v>
      </c>
      <c r="AH1211">
        <f>IFERROR(VLOOKUP("906-377348-110",B:AB,25+8,0),0)</f>
        <v>0</v>
      </c>
      <c r="AI1211">
        <f>IFERROR(VLOOKUP("906-377348-110",B:AB,26+8,0),0)</f>
        <v>0</v>
      </c>
      <c r="AJ1211">
        <f>IFERROR(VLOOKUP("906-377348-110",B:AB,27+8,0),0)</f>
        <v>0</v>
      </c>
      <c r="AK1211">
        <f>IFERROR(VLOOKUP("906-377348-110",B:AB,28+8,0),0)</f>
        <v>0</v>
      </c>
      <c r="AL1211">
        <f>IFERROR(VLOOKUP("906-377348-110",B:AB,29+8,0),0)</f>
        <v>0</v>
      </c>
      <c r="AM1211">
        <f>IFERROR(VLOOKUP("906-377348-110",B:AB,30+8,0),0)</f>
        <v>0</v>
      </c>
      <c r="AN1211">
        <f>IFERROR(VLOOKUP("906-377348-110",B:AB,31+8,0),0)</f>
        <v>0</v>
      </c>
      <c r="AO1211">
        <f>SUN(INDIRECT(ADDRESS(1210,8)):INDIRECT(ADDRESS(1210,39)))</f>
        <v>0</v>
      </c>
    </row>
    <row r="1212" spans="1:41">
      <c r="H1212" t="s">
        <v>179</v>
      </c>
      <c r="J1212">
        <f>INDIRECT(ADDRESS(1212,9))+INDIRECT(ADDRESS(1210,10))-INDIRECT(ADDRESS(1211,10))</f>
        <v>0</v>
      </c>
      <c r="K1212">
        <f>INDIRECT(ADDRESS(1212,10))+INDIRECT(ADDRESS(1210,11))-INDIRECT(ADDRESS(1211,11))</f>
        <v>0</v>
      </c>
      <c r="L1212">
        <f>INDIRECT(ADDRESS(1212,11))+INDIRECT(ADDRESS(1210,12))-INDIRECT(ADDRESS(1211,12))</f>
        <v>0</v>
      </c>
      <c r="M1212">
        <f>INDIRECT(ADDRESS(1212,12))+INDIRECT(ADDRESS(1210,13))-INDIRECT(ADDRESS(1211,13))</f>
        <v>0</v>
      </c>
      <c r="N1212">
        <f>INDIRECT(ADDRESS(1212,13))+INDIRECT(ADDRESS(1210,14))-INDIRECT(ADDRESS(1211,14))</f>
        <v>0</v>
      </c>
      <c r="O1212">
        <f>INDIRECT(ADDRESS(1212,14))+INDIRECT(ADDRESS(1210,15))-INDIRECT(ADDRESS(1211,15))</f>
        <v>0</v>
      </c>
      <c r="P1212">
        <f>INDIRECT(ADDRESS(1212,15))+INDIRECT(ADDRESS(1210,16))-INDIRECT(ADDRESS(1211,16))</f>
        <v>0</v>
      </c>
      <c r="Q1212">
        <f>INDIRECT(ADDRESS(1212,16))+INDIRECT(ADDRESS(1210,17))-INDIRECT(ADDRESS(1211,17))</f>
        <v>0</v>
      </c>
      <c r="R1212">
        <f>INDIRECT(ADDRESS(1212,17))+INDIRECT(ADDRESS(1210,18))-INDIRECT(ADDRESS(1211,18))</f>
        <v>0</v>
      </c>
      <c r="S1212">
        <f>INDIRECT(ADDRESS(1212,18))+INDIRECT(ADDRESS(1210,19))-INDIRECT(ADDRESS(1211,19))</f>
        <v>0</v>
      </c>
      <c r="T1212">
        <f>INDIRECT(ADDRESS(1212,19))+INDIRECT(ADDRESS(1210,20))-INDIRECT(ADDRESS(1211,20))</f>
        <v>0</v>
      </c>
      <c r="U1212">
        <f>INDIRECT(ADDRESS(1212,20))+INDIRECT(ADDRESS(1210,21))-INDIRECT(ADDRESS(1211,21))</f>
        <v>0</v>
      </c>
      <c r="V1212">
        <f>INDIRECT(ADDRESS(1212,21))+INDIRECT(ADDRESS(1210,22))-INDIRECT(ADDRESS(1211,22))</f>
        <v>0</v>
      </c>
      <c r="W1212">
        <f>INDIRECT(ADDRESS(1212,22))+INDIRECT(ADDRESS(1210,23))-INDIRECT(ADDRESS(1211,23))</f>
        <v>0</v>
      </c>
      <c r="X1212">
        <f>INDIRECT(ADDRESS(1212,23))+INDIRECT(ADDRESS(1210,24))-INDIRECT(ADDRESS(1211,24))</f>
        <v>0</v>
      </c>
      <c r="Y1212">
        <f>INDIRECT(ADDRESS(1212,24))+INDIRECT(ADDRESS(1210,25))-INDIRECT(ADDRESS(1211,25))</f>
        <v>0</v>
      </c>
      <c r="Z1212">
        <f>INDIRECT(ADDRESS(1212,25))+INDIRECT(ADDRESS(1210,26))-INDIRECT(ADDRESS(1211,26))</f>
        <v>0</v>
      </c>
      <c r="AA1212">
        <f>INDIRECT(ADDRESS(1212,26))+INDIRECT(ADDRESS(1210,27))-INDIRECT(ADDRESS(1211,27))</f>
        <v>0</v>
      </c>
      <c r="AB1212">
        <f>INDIRECT(ADDRESS(1212,27))+INDIRECT(ADDRESS(1210,28))-INDIRECT(ADDRESS(1211,28))</f>
        <v>0</v>
      </c>
      <c r="AC1212">
        <f>INDIRECT(ADDRESS(1212,28))+INDIRECT(ADDRESS(1210,29))-INDIRECT(ADDRESS(1211,29))</f>
        <v>0</v>
      </c>
      <c r="AD1212">
        <f>INDIRECT(ADDRESS(1212,29))+INDIRECT(ADDRESS(1210,30))-INDIRECT(ADDRESS(1211,30))</f>
        <v>0</v>
      </c>
      <c r="AE1212">
        <f>INDIRECT(ADDRESS(1212,30))+INDIRECT(ADDRESS(1210,31))-INDIRECT(ADDRESS(1211,31))</f>
        <v>0</v>
      </c>
      <c r="AF1212">
        <f>INDIRECT(ADDRESS(1212,31))+INDIRECT(ADDRESS(1210,32))-INDIRECT(ADDRESS(1211,32))</f>
        <v>0</v>
      </c>
      <c r="AG1212">
        <f>INDIRECT(ADDRESS(1212,32))+INDIRECT(ADDRESS(1210,33))-INDIRECT(ADDRESS(1211,33))</f>
        <v>0</v>
      </c>
      <c r="AH1212">
        <f>INDIRECT(ADDRESS(1212,33))+INDIRECT(ADDRESS(1210,34))-INDIRECT(ADDRESS(1211,34))</f>
        <v>0</v>
      </c>
      <c r="AI1212">
        <f>INDIRECT(ADDRESS(1212,34))+INDIRECT(ADDRESS(1210,35))-INDIRECT(ADDRESS(1211,35))</f>
        <v>0</v>
      </c>
      <c r="AJ1212">
        <f>INDIRECT(ADDRESS(1212,35))+INDIRECT(ADDRESS(1210,36))-INDIRECT(ADDRESS(1211,36))</f>
        <v>0</v>
      </c>
      <c r="AK1212">
        <f>INDIRECT(ADDRESS(1212,36))+INDIRECT(ADDRESS(1210,37))-INDIRECT(ADDRESS(1211,37))</f>
        <v>0</v>
      </c>
      <c r="AL1212">
        <f>INDIRECT(ADDRESS(1212,37))+INDIRECT(ADDRESS(1210,38))-INDIRECT(ADDRESS(1211,38))</f>
        <v>0</v>
      </c>
      <c r="AM1212">
        <f>INDIRECT(ADDRESS(1212,38))+INDIRECT(ADDRESS(1210,39))-INDIRECT(ADDRESS(1211,39))</f>
        <v>0</v>
      </c>
      <c r="AN1212">
        <f>INDIRECT(ADDRESS(1212,39))+INDIRECT(ADDRESS(1210,40))-INDIRECT(ADDRESS(1211,40))</f>
        <v>0</v>
      </c>
      <c r="AO1212">
        <f>SUM(INDIRECT(ADDRESS(1211,8)):INDIRECT(ADDRESS(1211,39)))</f>
        <v>0</v>
      </c>
    </row>
    <row r="1213" spans="1:41">
      <c r="A1213" t="s">
        <v>185</v>
      </c>
      <c r="B1213" t="s">
        <v>590</v>
      </c>
      <c r="C1213" t="s">
        <v>591</v>
      </c>
      <c r="E1213">
        <v>7</v>
      </c>
      <c r="I1213" t="s">
        <v>177</v>
      </c>
    </row>
    <row r="1214" spans="1:41">
      <c r="I1214" t="s">
        <v>178</v>
      </c>
      <c r="J1214">
        <f>IFERROR(VLOOKUP("906-377348-110",B:AB,1+8,0),0)</f>
        <v>0</v>
      </c>
      <c r="K1214">
        <f>IFERROR(VLOOKUP("906-377348-110",B:AB,2+8,0),0)</f>
        <v>0</v>
      </c>
      <c r="L1214">
        <f>IFERROR(VLOOKUP("906-377348-110",B:AB,3+8,0),0)</f>
        <v>0</v>
      </c>
      <c r="M1214">
        <f>IFERROR(VLOOKUP("906-377348-110",B:AB,4+8,0),0)</f>
        <v>0</v>
      </c>
      <c r="N1214">
        <f>IFERROR(VLOOKUP("906-377348-110",B:AB,5+8,0),0)</f>
        <v>0</v>
      </c>
      <c r="O1214">
        <f>IFERROR(VLOOKUP("906-377348-110",B:AB,6+8,0),0)</f>
        <v>0</v>
      </c>
      <c r="P1214">
        <f>IFERROR(VLOOKUP("906-377348-110",B:AB,7+8,0),0)</f>
        <v>0</v>
      </c>
      <c r="Q1214">
        <f>IFERROR(VLOOKUP("906-377348-110",B:AB,8+8,0),0)</f>
        <v>0</v>
      </c>
      <c r="R1214">
        <f>IFERROR(VLOOKUP("906-377348-110",B:AB,9+8,0),0)</f>
        <v>0</v>
      </c>
      <c r="S1214">
        <f>IFERROR(VLOOKUP("906-377348-110",B:AB,10+8,0),0)</f>
        <v>0</v>
      </c>
      <c r="T1214">
        <f>IFERROR(VLOOKUP("906-377348-110",B:AB,11+8,0),0)</f>
        <v>0</v>
      </c>
      <c r="U1214">
        <f>IFERROR(VLOOKUP("906-377348-110",B:AB,12+8,0),0)</f>
        <v>0</v>
      </c>
      <c r="V1214">
        <f>IFERROR(VLOOKUP("906-377348-110",B:AB,13+8,0),0)</f>
        <v>0</v>
      </c>
      <c r="W1214">
        <f>IFERROR(VLOOKUP("906-377348-110",B:AB,14+8,0),0)</f>
        <v>0</v>
      </c>
      <c r="X1214">
        <f>IFERROR(VLOOKUP("906-377348-110",B:AB,15+8,0),0)</f>
        <v>0</v>
      </c>
      <c r="Y1214">
        <f>IFERROR(VLOOKUP("906-377348-110",B:AB,16+8,0),0)</f>
        <v>0</v>
      </c>
      <c r="Z1214">
        <f>IFERROR(VLOOKUP("906-377348-110",B:AB,17+8,0),0)</f>
        <v>0</v>
      </c>
      <c r="AA1214">
        <f>IFERROR(VLOOKUP("906-377348-110",B:AB,18+8,0),0)</f>
        <v>0</v>
      </c>
      <c r="AB1214">
        <f>IFERROR(VLOOKUP("906-377348-110",B:AB,19+8,0),0)</f>
        <v>0</v>
      </c>
      <c r="AC1214">
        <f>IFERROR(VLOOKUP("906-377348-110",B:AB,20+8,0),0)</f>
        <v>0</v>
      </c>
      <c r="AD1214">
        <f>IFERROR(VLOOKUP("906-377348-110",B:AB,21+8,0),0)</f>
        <v>0</v>
      </c>
      <c r="AE1214">
        <f>IFERROR(VLOOKUP("906-377348-110",B:AB,22+8,0),0)</f>
        <v>0</v>
      </c>
      <c r="AF1214">
        <f>IFERROR(VLOOKUP("906-377348-110",B:AB,23+8,0),0)</f>
        <v>0</v>
      </c>
      <c r="AG1214">
        <f>IFERROR(VLOOKUP("906-377348-110",B:AB,24+8,0),0)</f>
        <v>0</v>
      </c>
      <c r="AH1214">
        <f>IFERROR(VLOOKUP("906-377348-110",B:AB,25+8,0),0)</f>
        <v>0</v>
      </c>
      <c r="AI1214">
        <f>IFERROR(VLOOKUP("906-377348-110",B:AB,26+8,0),0)</f>
        <v>0</v>
      </c>
      <c r="AJ1214">
        <f>IFERROR(VLOOKUP("906-377348-110",B:AB,27+8,0),0)</f>
        <v>0</v>
      </c>
      <c r="AK1214">
        <f>IFERROR(VLOOKUP("906-377348-110",B:AB,28+8,0),0)</f>
        <v>0</v>
      </c>
      <c r="AL1214">
        <f>IFERROR(VLOOKUP("906-377348-110",B:AB,29+8,0),0)</f>
        <v>0</v>
      </c>
      <c r="AM1214">
        <f>IFERROR(VLOOKUP("906-377348-110",B:AB,30+8,0),0)</f>
        <v>0</v>
      </c>
      <c r="AN1214">
        <f>IFERROR(VLOOKUP("906-377348-110",B:AB,31+8,0),0)</f>
        <v>0</v>
      </c>
      <c r="AO1214">
        <f>SUN(INDIRECT(ADDRESS(1213,8)):INDIRECT(ADDRESS(1213,39)))</f>
        <v>0</v>
      </c>
    </row>
    <row r="1215" spans="1:41">
      <c r="H1215" t="s">
        <v>179</v>
      </c>
      <c r="J1215">
        <f>INDIRECT(ADDRESS(1215,9))+INDIRECT(ADDRESS(1213,10))-INDIRECT(ADDRESS(1214,10))</f>
        <v>0</v>
      </c>
      <c r="K1215">
        <f>INDIRECT(ADDRESS(1215,10))+INDIRECT(ADDRESS(1213,11))-INDIRECT(ADDRESS(1214,11))</f>
        <v>0</v>
      </c>
      <c r="L1215">
        <f>INDIRECT(ADDRESS(1215,11))+INDIRECT(ADDRESS(1213,12))-INDIRECT(ADDRESS(1214,12))</f>
        <v>0</v>
      </c>
      <c r="M1215">
        <f>INDIRECT(ADDRESS(1215,12))+INDIRECT(ADDRESS(1213,13))-INDIRECT(ADDRESS(1214,13))</f>
        <v>0</v>
      </c>
      <c r="N1215">
        <f>INDIRECT(ADDRESS(1215,13))+INDIRECT(ADDRESS(1213,14))-INDIRECT(ADDRESS(1214,14))</f>
        <v>0</v>
      </c>
      <c r="O1215">
        <f>INDIRECT(ADDRESS(1215,14))+INDIRECT(ADDRESS(1213,15))-INDIRECT(ADDRESS(1214,15))</f>
        <v>0</v>
      </c>
      <c r="P1215">
        <f>INDIRECT(ADDRESS(1215,15))+INDIRECT(ADDRESS(1213,16))-INDIRECT(ADDRESS(1214,16))</f>
        <v>0</v>
      </c>
      <c r="Q1215">
        <f>INDIRECT(ADDRESS(1215,16))+INDIRECT(ADDRESS(1213,17))-INDIRECT(ADDRESS(1214,17))</f>
        <v>0</v>
      </c>
      <c r="R1215">
        <f>INDIRECT(ADDRESS(1215,17))+INDIRECT(ADDRESS(1213,18))-INDIRECT(ADDRESS(1214,18))</f>
        <v>0</v>
      </c>
      <c r="S1215">
        <f>INDIRECT(ADDRESS(1215,18))+INDIRECT(ADDRESS(1213,19))-INDIRECT(ADDRESS(1214,19))</f>
        <v>0</v>
      </c>
      <c r="T1215">
        <f>INDIRECT(ADDRESS(1215,19))+INDIRECT(ADDRESS(1213,20))-INDIRECT(ADDRESS(1214,20))</f>
        <v>0</v>
      </c>
      <c r="U1215">
        <f>INDIRECT(ADDRESS(1215,20))+INDIRECT(ADDRESS(1213,21))-INDIRECT(ADDRESS(1214,21))</f>
        <v>0</v>
      </c>
      <c r="V1215">
        <f>INDIRECT(ADDRESS(1215,21))+INDIRECT(ADDRESS(1213,22))-INDIRECT(ADDRESS(1214,22))</f>
        <v>0</v>
      </c>
      <c r="W1215">
        <f>INDIRECT(ADDRESS(1215,22))+INDIRECT(ADDRESS(1213,23))-INDIRECT(ADDRESS(1214,23))</f>
        <v>0</v>
      </c>
      <c r="X1215">
        <f>INDIRECT(ADDRESS(1215,23))+INDIRECT(ADDRESS(1213,24))-INDIRECT(ADDRESS(1214,24))</f>
        <v>0</v>
      </c>
      <c r="Y1215">
        <f>INDIRECT(ADDRESS(1215,24))+INDIRECT(ADDRESS(1213,25))-INDIRECT(ADDRESS(1214,25))</f>
        <v>0</v>
      </c>
      <c r="Z1215">
        <f>INDIRECT(ADDRESS(1215,25))+INDIRECT(ADDRESS(1213,26))-INDIRECT(ADDRESS(1214,26))</f>
        <v>0</v>
      </c>
      <c r="AA1215">
        <f>INDIRECT(ADDRESS(1215,26))+INDIRECT(ADDRESS(1213,27))-INDIRECT(ADDRESS(1214,27))</f>
        <v>0</v>
      </c>
      <c r="AB1215">
        <f>INDIRECT(ADDRESS(1215,27))+INDIRECT(ADDRESS(1213,28))-INDIRECT(ADDRESS(1214,28))</f>
        <v>0</v>
      </c>
      <c r="AC1215">
        <f>INDIRECT(ADDRESS(1215,28))+INDIRECT(ADDRESS(1213,29))-INDIRECT(ADDRESS(1214,29))</f>
        <v>0</v>
      </c>
      <c r="AD1215">
        <f>INDIRECT(ADDRESS(1215,29))+INDIRECT(ADDRESS(1213,30))-INDIRECT(ADDRESS(1214,30))</f>
        <v>0</v>
      </c>
      <c r="AE1215">
        <f>INDIRECT(ADDRESS(1215,30))+INDIRECT(ADDRESS(1213,31))-INDIRECT(ADDRESS(1214,31))</f>
        <v>0</v>
      </c>
      <c r="AF1215">
        <f>INDIRECT(ADDRESS(1215,31))+INDIRECT(ADDRESS(1213,32))-INDIRECT(ADDRESS(1214,32))</f>
        <v>0</v>
      </c>
      <c r="AG1215">
        <f>INDIRECT(ADDRESS(1215,32))+INDIRECT(ADDRESS(1213,33))-INDIRECT(ADDRESS(1214,33))</f>
        <v>0</v>
      </c>
      <c r="AH1215">
        <f>INDIRECT(ADDRESS(1215,33))+INDIRECT(ADDRESS(1213,34))-INDIRECT(ADDRESS(1214,34))</f>
        <v>0</v>
      </c>
      <c r="AI1215">
        <f>INDIRECT(ADDRESS(1215,34))+INDIRECT(ADDRESS(1213,35))-INDIRECT(ADDRESS(1214,35))</f>
        <v>0</v>
      </c>
      <c r="AJ1215">
        <f>INDIRECT(ADDRESS(1215,35))+INDIRECT(ADDRESS(1213,36))-INDIRECT(ADDRESS(1214,36))</f>
        <v>0</v>
      </c>
      <c r="AK1215">
        <f>INDIRECT(ADDRESS(1215,36))+INDIRECT(ADDRESS(1213,37))-INDIRECT(ADDRESS(1214,37))</f>
        <v>0</v>
      </c>
      <c r="AL1215">
        <f>INDIRECT(ADDRESS(1215,37))+INDIRECT(ADDRESS(1213,38))-INDIRECT(ADDRESS(1214,38))</f>
        <v>0</v>
      </c>
      <c r="AM1215">
        <f>INDIRECT(ADDRESS(1215,38))+INDIRECT(ADDRESS(1213,39))-INDIRECT(ADDRESS(1214,39))</f>
        <v>0</v>
      </c>
      <c r="AN1215">
        <f>INDIRECT(ADDRESS(1215,39))+INDIRECT(ADDRESS(1213,40))-INDIRECT(ADDRESS(1214,40))</f>
        <v>0</v>
      </c>
      <c r="AO1215">
        <f>SUM(INDIRECT(ADDRESS(1214,8)):INDIRECT(ADDRESS(1214,39)))</f>
        <v>0</v>
      </c>
    </row>
    <row r="1216" spans="1:41">
      <c r="A1216" t="s">
        <v>185</v>
      </c>
      <c r="B1216" t="s">
        <v>592</v>
      </c>
      <c r="C1216" t="s">
        <v>593</v>
      </c>
      <c r="E1216">
        <v>1</v>
      </c>
      <c r="I1216" t="s">
        <v>177</v>
      </c>
    </row>
    <row r="1217" spans="1:41">
      <c r="I1217" t="s">
        <v>178</v>
      </c>
      <c r="J1217">
        <f>IFERROR(VLOOKUP("906-377348-110",B:AB,1+8,0),0)</f>
        <v>0</v>
      </c>
      <c r="K1217">
        <f>IFERROR(VLOOKUP("906-377348-110",B:AB,2+8,0),0)</f>
        <v>0</v>
      </c>
      <c r="L1217">
        <f>IFERROR(VLOOKUP("906-377348-110",B:AB,3+8,0),0)</f>
        <v>0</v>
      </c>
      <c r="M1217">
        <f>IFERROR(VLOOKUP("906-377348-110",B:AB,4+8,0),0)</f>
        <v>0</v>
      </c>
      <c r="N1217">
        <f>IFERROR(VLOOKUP("906-377348-110",B:AB,5+8,0),0)</f>
        <v>0</v>
      </c>
      <c r="O1217">
        <f>IFERROR(VLOOKUP("906-377348-110",B:AB,6+8,0),0)</f>
        <v>0</v>
      </c>
      <c r="P1217">
        <f>IFERROR(VLOOKUP("906-377348-110",B:AB,7+8,0),0)</f>
        <v>0</v>
      </c>
      <c r="Q1217">
        <f>IFERROR(VLOOKUP("906-377348-110",B:AB,8+8,0),0)</f>
        <v>0</v>
      </c>
      <c r="R1217">
        <f>IFERROR(VLOOKUP("906-377348-110",B:AB,9+8,0),0)</f>
        <v>0</v>
      </c>
      <c r="S1217">
        <f>IFERROR(VLOOKUP("906-377348-110",B:AB,10+8,0),0)</f>
        <v>0</v>
      </c>
      <c r="T1217">
        <f>IFERROR(VLOOKUP("906-377348-110",B:AB,11+8,0),0)</f>
        <v>0</v>
      </c>
      <c r="U1217">
        <f>IFERROR(VLOOKUP("906-377348-110",B:AB,12+8,0),0)</f>
        <v>0</v>
      </c>
      <c r="V1217">
        <f>IFERROR(VLOOKUP("906-377348-110",B:AB,13+8,0),0)</f>
        <v>0</v>
      </c>
      <c r="W1217">
        <f>IFERROR(VLOOKUP("906-377348-110",B:AB,14+8,0),0)</f>
        <v>0</v>
      </c>
      <c r="X1217">
        <f>IFERROR(VLOOKUP("906-377348-110",B:AB,15+8,0),0)</f>
        <v>0</v>
      </c>
      <c r="Y1217">
        <f>IFERROR(VLOOKUP("906-377348-110",B:AB,16+8,0),0)</f>
        <v>0</v>
      </c>
      <c r="Z1217">
        <f>IFERROR(VLOOKUP("906-377348-110",B:AB,17+8,0),0)</f>
        <v>0</v>
      </c>
      <c r="AA1217">
        <f>IFERROR(VLOOKUP("906-377348-110",B:AB,18+8,0),0)</f>
        <v>0</v>
      </c>
      <c r="AB1217">
        <f>IFERROR(VLOOKUP("906-377348-110",B:AB,19+8,0),0)</f>
        <v>0</v>
      </c>
      <c r="AC1217">
        <f>IFERROR(VLOOKUP("906-377348-110",B:AB,20+8,0),0)</f>
        <v>0</v>
      </c>
      <c r="AD1217">
        <f>IFERROR(VLOOKUP("906-377348-110",B:AB,21+8,0),0)</f>
        <v>0</v>
      </c>
      <c r="AE1217">
        <f>IFERROR(VLOOKUP("906-377348-110",B:AB,22+8,0),0)</f>
        <v>0</v>
      </c>
      <c r="AF1217">
        <f>IFERROR(VLOOKUP("906-377348-110",B:AB,23+8,0),0)</f>
        <v>0</v>
      </c>
      <c r="AG1217">
        <f>IFERROR(VLOOKUP("906-377348-110",B:AB,24+8,0),0)</f>
        <v>0</v>
      </c>
      <c r="AH1217">
        <f>IFERROR(VLOOKUP("906-377348-110",B:AB,25+8,0),0)</f>
        <v>0</v>
      </c>
      <c r="AI1217">
        <f>IFERROR(VLOOKUP("906-377348-110",B:AB,26+8,0),0)</f>
        <v>0</v>
      </c>
      <c r="AJ1217">
        <f>IFERROR(VLOOKUP("906-377348-110",B:AB,27+8,0),0)</f>
        <v>0</v>
      </c>
      <c r="AK1217">
        <f>IFERROR(VLOOKUP("906-377348-110",B:AB,28+8,0),0)</f>
        <v>0</v>
      </c>
      <c r="AL1217">
        <f>IFERROR(VLOOKUP("906-377348-110",B:AB,29+8,0),0)</f>
        <v>0</v>
      </c>
      <c r="AM1217">
        <f>IFERROR(VLOOKUP("906-377348-110",B:AB,30+8,0),0)</f>
        <v>0</v>
      </c>
      <c r="AN1217">
        <f>IFERROR(VLOOKUP("906-377348-110",B:AB,31+8,0),0)</f>
        <v>0</v>
      </c>
      <c r="AO1217">
        <f>SUN(INDIRECT(ADDRESS(1216,8)):INDIRECT(ADDRESS(1216,39)))</f>
        <v>0</v>
      </c>
    </row>
    <row r="1218" spans="1:41">
      <c r="H1218" t="s">
        <v>179</v>
      </c>
      <c r="J1218">
        <f>INDIRECT(ADDRESS(1218,9))+INDIRECT(ADDRESS(1216,10))-INDIRECT(ADDRESS(1217,10))</f>
        <v>0</v>
      </c>
      <c r="K1218">
        <f>INDIRECT(ADDRESS(1218,10))+INDIRECT(ADDRESS(1216,11))-INDIRECT(ADDRESS(1217,11))</f>
        <v>0</v>
      </c>
      <c r="L1218">
        <f>INDIRECT(ADDRESS(1218,11))+INDIRECT(ADDRESS(1216,12))-INDIRECT(ADDRESS(1217,12))</f>
        <v>0</v>
      </c>
      <c r="M1218">
        <f>INDIRECT(ADDRESS(1218,12))+INDIRECT(ADDRESS(1216,13))-INDIRECT(ADDRESS(1217,13))</f>
        <v>0</v>
      </c>
      <c r="N1218">
        <f>INDIRECT(ADDRESS(1218,13))+INDIRECT(ADDRESS(1216,14))-INDIRECT(ADDRESS(1217,14))</f>
        <v>0</v>
      </c>
      <c r="O1218">
        <f>INDIRECT(ADDRESS(1218,14))+INDIRECT(ADDRESS(1216,15))-INDIRECT(ADDRESS(1217,15))</f>
        <v>0</v>
      </c>
      <c r="P1218">
        <f>INDIRECT(ADDRESS(1218,15))+INDIRECT(ADDRESS(1216,16))-INDIRECT(ADDRESS(1217,16))</f>
        <v>0</v>
      </c>
      <c r="Q1218">
        <f>INDIRECT(ADDRESS(1218,16))+INDIRECT(ADDRESS(1216,17))-INDIRECT(ADDRESS(1217,17))</f>
        <v>0</v>
      </c>
      <c r="R1218">
        <f>INDIRECT(ADDRESS(1218,17))+INDIRECT(ADDRESS(1216,18))-INDIRECT(ADDRESS(1217,18))</f>
        <v>0</v>
      </c>
      <c r="S1218">
        <f>INDIRECT(ADDRESS(1218,18))+INDIRECT(ADDRESS(1216,19))-INDIRECT(ADDRESS(1217,19))</f>
        <v>0</v>
      </c>
      <c r="T1218">
        <f>INDIRECT(ADDRESS(1218,19))+INDIRECT(ADDRESS(1216,20))-INDIRECT(ADDRESS(1217,20))</f>
        <v>0</v>
      </c>
      <c r="U1218">
        <f>INDIRECT(ADDRESS(1218,20))+INDIRECT(ADDRESS(1216,21))-INDIRECT(ADDRESS(1217,21))</f>
        <v>0</v>
      </c>
      <c r="V1218">
        <f>INDIRECT(ADDRESS(1218,21))+INDIRECT(ADDRESS(1216,22))-INDIRECT(ADDRESS(1217,22))</f>
        <v>0</v>
      </c>
      <c r="W1218">
        <f>INDIRECT(ADDRESS(1218,22))+INDIRECT(ADDRESS(1216,23))-INDIRECT(ADDRESS(1217,23))</f>
        <v>0</v>
      </c>
      <c r="X1218">
        <f>INDIRECT(ADDRESS(1218,23))+INDIRECT(ADDRESS(1216,24))-INDIRECT(ADDRESS(1217,24))</f>
        <v>0</v>
      </c>
      <c r="Y1218">
        <f>INDIRECT(ADDRESS(1218,24))+INDIRECT(ADDRESS(1216,25))-INDIRECT(ADDRESS(1217,25))</f>
        <v>0</v>
      </c>
      <c r="Z1218">
        <f>INDIRECT(ADDRESS(1218,25))+INDIRECT(ADDRESS(1216,26))-INDIRECT(ADDRESS(1217,26))</f>
        <v>0</v>
      </c>
      <c r="AA1218">
        <f>INDIRECT(ADDRESS(1218,26))+INDIRECT(ADDRESS(1216,27))-INDIRECT(ADDRESS(1217,27))</f>
        <v>0</v>
      </c>
      <c r="AB1218">
        <f>INDIRECT(ADDRESS(1218,27))+INDIRECT(ADDRESS(1216,28))-INDIRECT(ADDRESS(1217,28))</f>
        <v>0</v>
      </c>
      <c r="AC1218">
        <f>INDIRECT(ADDRESS(1218,28))+INDIRECT(ADDRESS(1216,29))-INDIRECT(ADDRESS(1217,29))</f>
        <v>0</v>
      </c>
      <c r="AD1218">
        <f>INDIRECT(ADDRESS(1218,29))+INDIRECT(ADDRESS(1216,30))-INDIRECT(ADDRESS(1217,30))</f>
        <v>0</v>
      </c>
      <c r="AE1218">
        <f>INDIRECT(ADDRESS(1218,30))+INDIRECT(ADDRESS(1216,31))-INDIRECT(ADDRESS(1217,31))</f>
        <v>0</v>
      </c>
      <c r="AF1218">
        <f>INDIRECT(ADDRESS(1218,31))+INDIRECT(ADDRESS(1216,32))-INDIRECT(ADDRESS(1217,32))</f>
        <v>0</v>
      </c>
      <c r="AG1218">
        <f>INDIRECT(ADDRESS(1218,32))+INDIRECT(ADDRESS(1216,33))-INDIRECT(ADDRESS(1217,33))</f>
        <v>0</v>
      </c>
      <c r="AH1218">
        <f>INDIRECT(ADDRESS(1218,33))+INDIRECT(ADDRESS(1216,34))-INDIRECT(ADDRESS(1217,34))</f>
        <v>0</v>
      </c>
      <c r="AI1218">
        <f>INDIRECT(ADDRESS(1218,34))+INDIRECT(ADDRESS(1216,35))-INDIRECT(ADDRESS(1217,35))</f>
        <v>0</v>
      </c>
      <c r="AJ1218">
        <f>INDIRECT(ADDRESS(1218,35))+INDIRECT(ADDRESS(1216,36))-INDIRECT(ADDRESS(1217,36))</f>
        <v>0</v>
      </c>
      <c r="AK1218">
        <f>INDIRECT(ADDRESS(1218,36))+INDIRECT(ADDRESS(1216,37))-INDIRECT(ADDRESS(1217,37))</f>
        <v>0</v>
      </c>
      <c r="AL1218">
        <f>INDIRECT(ADDRESS(1218,37))+INDIRECT(ADDRESS(1216,38))-INDIRECT(ADDRESS(1217,38))</f>
        <v>0</v>
      </c>
      <c r="AM1218">
        <f>INDIRECT(ADDRESS(1218,38))+INDIRECT(ADDRESS(1216,39))-INDIRECT(ADDRESS(1217,39))</f>
        <v>0</v>
      </c>
      <c r="AN1218">
        <f>INDIRECT(ADDRESS(1218,39))+INDIRECT(ADDRESS(1216,40))-INDIRECT(ADDRESS(1217,40))</f>
        <v>0</v>
      </c>
      <c r="AO1218">
        <f>SUM(INDIRECT(ADDRESS(1217,8)):INDIRECT(ADDRESS(1217,39)))</f>
        <v>0</v>
      </c>
    </row>
    <row r="1219" spans="1:41">
      <c r="A1219" t="s">
        <v>185</v>
      </c>
      <c r="B1219" t="s">
        <v>614</v>
      </c>
      <c r="C1219" t="s">
        <v>615</v>
      </c>
      <c r="E1219">
        <v>1</v>
      </c>
      <c r="I1219" t="s">
        <v>177</v>
      </c>
    </row>
    <row r="1220" spans="1:41">
      <c r="I1220" t="s">
        <v>178</v>
      </c>
      <c r="J1220">
        <f>IFERROR(VLOOKUP("906-377348-110",B:AB,1+8,0),0)</f>
        <v>0</v>
      </c>
      <c r="K1220">
        <f>IFERROR(VLOOKUP("906-377348-110",B:AB,2+8,0),0)</f>
        <v>0</v>
      </c>
      <c r="L1220">
        <f>IFERROR(VLOOKUP("906-377348-110",B:AB,3+8,0),0)</f>
        <v>0</v>
      </c>
      <c r="M1220">
        <f>IFERROR(VLOOKUP("906-377348-110",B:AB,4+8,0),0)</f>
        <v>0</v>
      </c>
      <c r="N1220">
        <f>IFERROR(VLOOKUP("906-377348-110",B:AB,5+8,0),0)</f>
        <v>0</v>
      </c>
      <c r="O1220">
        <f>IFERROR(VLOOKUP("906-377348-110",B:AB,6+8,0),0)</f>
        <v>0</v>
      </c>
      <c r="P1220">
        <f>IFERROR(VLOOKUP("906-377348-110",B:AB,7+8,0),0)</f>
        <v>0</v>
      </c>
      <c r="Q1220">
        <f>IFERROR(VLOOKUP("906-377348-110",B:AB,8+8,0),0)</f>
        <v>0</v>
      </c>
      <c r="R1220">
        <f>IFERROR(VLOOKUP("906-377348-110",B:AB,9+8,0),0)</f>
        <v>0</v>
      </c>
      <c r="S1220">
        <f>IFERROR(VLOOKUP("906-377348-110",B:AB,10+8,0),0)</f>
        <v>0</v>
      </c>
      <c r="T1220">
        <f>IFERROR(VLOOKUP("906-377348-110",B:AB,11+8,0),0)</f>
        <v>0</v>
      </c>
      <c r="U1220">
        <f>IFERROR(VLOOKUP("906-377348-110",B:AB,12+8,0),0)</f>
        <v>0</v>
      </c>
      <c r="V1220">
        <f>IFERROR(VLOOKUP("906-377348-110",B:AB,13+8,0),0)</f>
        <v>0</v>
      </c>
      <c r="W1220">
        <f>IFERROR(VLOOKUP("906-377348-110",B:AB,14+8,0),0)</f>
        <v>0</v>
      </c>
      <c r="X1220">
        <f>IFERROR(VLOOKUP("906-377348-110",B:AB,15+8,0),0)</f>
        <v>0</v>
      </c>
      <c r="Y1220">
        <f>IFERROR(VLOOKUP("906-377348-110",B:AB,16+8,0),0)</f>
        <v>0</v>
      </c>
      <c r="Z1220">
        <f>IFERROR(VLOOKUP("906-377348-110",B:AB,17+8,0),0)</f>
        <v>0</v>
      </c>
      <c r="AA1220">
        <f>IFERROR(VLOOKUP("906-377348-110",B:AB,18+8,0),0)</f>
        <v>0</v>
      </c>
      <c r="AB1220">
        <f>IFERROR(VLOOKUP("906-377348-110",B:AB,19+8,0),0)</f>
        <v>0</v>
      </c>
      <c r="AC1220">
        <f>IFERROR(VLOOKUP("906-377348-110",B:AB,20+8,0),0)</f>
        <v>0</v>
      </c>
      <c r="AD1220">
        <f>IFERROR(VLOOKUP("906-377348-110",B:AB,21+8,0),0)</f>
        <v>0</v>
      </c>
      <c r="AE1220">
        <f>IFERROR(VLOOKUP("906-377348-110",B:AB,22+8,0),0)</f>
        <v>0</v>
      </c>
      <c r="AF1220">
        <f>IFERROR(VLOOKUP("906-377348-110",B:AB,23+8,0),0)</f>
        <v>0</v>
      </c>
      <c r="AG1220">
        <f>IFERROR(VLOOKUP("906-377348-110",B:AB,24+8,0),0)</f>
        <v>0</v>
      </c>
      <c r="AH1220">
        <f>IFERROR(VLOOKUP("906-377348-110",B:AB,25+8,0),0)</f>
        <v>0</v>
      </c>
      <c r="AI1220">
        <f>IFERROR(VLOOKUP("906-377348-110",B:AB,26+8,0),0)</f>
        <v>0</v>
      </c>
      <c r="AJ1220">
        <f>IFERROR(VLOOKUP("906-377348-110",B:AB,27+8,0),0)</f>
        <v>0</v>
      </c>
      <c r="AK1220">
        <f>IFERROR(VLOOKUP("906-377348-110",B:AB,28+8,0),0)</f>
        <v>0</v>
      </c>
      <c r="AL1220">
        <f>IFERROR(VLOOKUP("906-377348-110",B:AB,29+8,0),0)</f>
        <v>0</v>
      </c>
      <c r="AM1220">
        <f>IFERROR(VLOOKUP("906-377348-110",B:AB,30+8,0),0)</f>
        <v>0</v>
      </c>
      <c r="AN1220">
        <f>IFERROR(VLOOKUP("906-377348-110",B:AB,31+8,0),0)</f>
        <v>0</v>
      </c>
      <c r="AO1220">
        <f>SUN(INDIRECT(ADDRESS(1219,8)):INDIRECT(ADDRESS(1219,39)))</f>
        <v>0</v>
      </c>
    </row>
    <row r="1221" spans="1:41">
      <c r="H1221" t="s">
        <v>179</v>
      </c>
      <c r="J1221">
        <f>INDIRECT(ADDRESS(1221,9))+INDIRECT(ADDRESS(1219,10))-INDIRECT(ADDRESS(1220,10))</f>
        <v>0</v>
      </c>
      <c r="K1221">
        <f>INDIRECT(ADDRESS(1221,10))+INDIRECT(ADDRESS(1219,11))-INDIRECT(ADDRESS(1220,11))</f>
        <v>0</v>
      </c>
      <c r="L1221">
        <f>INDIRECT(ADDRESS(1221,11))+INDIRECT(ADDRESS(1219,12))-INDIRECT(ADDRESS(1220,12))</f>
        <v>0</v>
      </c>
      <c r="M1221">
        <f>INDIRECT(ADDRESS(1221,12))+INDIRECT(ADDRESS(1219,13))-INDIRECT(ADDRESS(1220,13))</f>
        <v>0</v>
      </c>
      <c r="N1221">
        <f>INDIRECT(ADDRESS(1221,13))+INDIRECT(ADDRESS(1219,14))-INDIRECT(ADDRESS(1220,14))</f>
        <v>0</v>
      </c>
      <c r="O1221">
        <f>INDIRECT(ADDRESS(1221,14))+INDIRECT(ADDRESS(1219,15))-INDIRECT(ADDRESS(1220,15))</f>
        <v>0</v>
      </c>
      <c r="P1221">
        <f>INDIRECT(ADDRESS(1221,15))+INDIRECT(ADDRESS(1219,16))-INDIRECT(ADDRESS(1220,16))</f>
        <v>0</v>
      </c>
      <c r="Q1221">
        <f>INDIRECT(ADDRESS(1221,16))+INDIRECT(ADDRESS(1219,17))-INDIRECT(ADDRESS(1220,17))</f>
        <v>0</v>
      </c>
      <c r="R1221">
        <f>INDIRECT(ADDRESS(1221,17))+INDIRECT(ADDRESS(1219,18))-INDIRECT(ADDRESS(1220,18))</f>
        <v>0</v>
      </c>
      <c r="S1221">
        <f>INDIRECT(ADDRESS(1221,18))+INDIRECT(ADDRESS(1219,19))-INDIRECT(ADDRESS(1220,19))</f>
        <v>0</v>
      </c>
      <c r="T1221">
        <f>INDIRECT(ADDRESS(1221,19))+INDIRECT(ADDRESS(1219,20))-INDIRECT(ADDRESS(1220,20))</f>
        <v>0</v>
      </c>
      <c r="U1221">
        <f>INDIRECT(ADDRESS(1221,20))+INDIRECT(ADDRESS(1219,21))-INDIRECT(ADDRESS(1220,21))</f>
        <v>0</v>
      </c>
      <c r="V1221">
        <f>INDIRECT(ADDRESS(1221,21))+INDIRECT(ADDRESS(1219,22))-INDIRECT(ADDRESS(1220,22))</f>
        <v>0</v>
      </c>
      <c r="W1221">
        <f>INDIRECT(ADDRESS(1221,22))+INDIRECT(ADDRESS(1219,23))-INDIRECT(ADDRESS(1220,23))</f>
        <v>0</v>
      </c>
      <c r="X1221">
        <f>INDIRECT(ADDRESS(1221,23))+INDIRECT(ADDRESS(1219,24))-INDIRECT(ADDRESS(1220,24))</f>
        <v>0</v>
      </c>
      <c r="Y1221">
        <f>INDIRECT(ADDRESS(1221,24))+INDIRECT(ADDRESS(1219,25))-INDIRECT(ADDRESS(1220,25))</f>
        <v>0</v>
      </c>
      <c r="Z1221">
        <f>INDIRECT(ADDRESS(1221,25))+INDIRECT(ADDRESS(1219,26))-INDIRECT(ADDRESS(1220,26))</f>
        <v>0</v>
      </c>
      <c r="AA1221">
        <f>INDIRECT(ADDRESS(1221,26))+INDIRECT(ADDRESS(1219,27))-INDIRECT(ADDRESS(1220,27))</f>
        <v>0</v>
      </c>
      <c r="AB1221">
        <f>INDIRECT(ADDRESS(1221,27))+INDIRECT(ADDRESS(1219,28))-INDIRECT(ADDRESS(1220,28))</f>
        <v>0</v>
      </c>
      <c r="AC1221">
        <f>INDIRECT(ADDRESS(1221,28))+INDIRECT(ADDRESS(1219,29))-INDIRECT(ADDRESS(1220,29))</f>
        <v>0</v>
      </c>
      <c r="AD1221">
        <f>INDIRECT(ADDRESS(1221,29))+INDIRECT(ADDRESS(1219,30))-INDIRECT(ADDRESS(1220,30))</f>
        <v>0</v>
      </c>
      <c r="AE1221">
        <f>INDIRECT(ADDRESS(1221,30))+INDIRECT(ADDRESS(1219,31))-INDIRECT(ADDRESS(1220,31))</f>
        <v>0</v>
      </c>
      <c r="AF1221">
        <f>INDIRECT(ADDRESS(1221,31))+INDIRECT(ADDRESS(1219,32))-INDIRECT(ADDRESS(1220,32))</f>
        <v>0</v>
      </c>
      <c r="AG1221">
        <f>INDIRECT(ADDRESS(1221,32))+INDIRECT(ADDRESS(1219,33))-INDIRECT(ADDRESS(1220,33))</f>
        <v>0</v>
      </c>
      <c r="AH1221">
        <f>INDIRECT(ADDRESS(1221,33))+INDIRECT(ADDRESS(1219,34))-INDIRECT(ADDRESS(1220,34))</f>
        <v>0</v>
      </c>
      <c r="AI1221">
        <f>INDIRECT(ADDRESS(1221,34))+INDIRECT(ADDRESS(1219,35))-INDIRECT(ADDRESS(1220,35))</f>
        <v>0</v>
      </c>
      <c r="AJ1221">
        <f>INDIRECT(ADDRESS(1221,35))+INDIRECT(ADDRESS(1219,36))-INDIRECT(ADDRESS(1220,36))</f>
        <v>0</v>
      </c>
      <c r="AK1221">
        <f>INDIRECT(ADDRESS(1221,36))+INDIRECT(ADDRESS(1219,37))-INDIRECT(ADDRESS(1220,37))</f>
        <v>0</v>
      </c>
      <c r="AL1221">
        <f>INDIRECT(ADDRESS(1221,37))+INDIRECT(ADDRESS(1219,38))-INDIRECT(ADDRESS(1220,38))</f>
        <v>0</v>
      </c>
      <c r="AM1221">
        <f>INDIRECT(ADDRESS(1221,38))+INDIRECT(ADDRESS(1219,39))-INDIRECT(ADDRESS(1220,39))</f>
        <v>0</v>
      </c>
      <c r="AN1221">
        <f>INDIRECT(ADDRESS(1221,39))+INDIRECT(ADDRESS(1219,40))-INDIRECT(ADDRESS(1220,40))</f>
        <v>0</v>
      </c>
      <c r="AO1221">
        <f>SUM(INDIRECT(ADDRESS(1220,8)):INDIRECT(ADDRESS(1220,39)))</f>
        <v>0</v>
      </c>
    </row>
    <row r="1222" spans="1:41">
      <c r="A1222" t="s">
        <v>185</v>
      </c>
      <c r="B1222" t="s">
        <v>616</v>
      </c>
      <c r="C1222" t="s">
        <v>617</v>
      </c>
      <c r="E1222">
        <v>2</v>
      </c>
      <c r="I1222" t="s">
        <v>177</v>
      </c>
    </row>
    <row r="1223" spans="1:41">
      <c r="I1223" t="s">
        <v>178</v>
      </c>
      <c r="J1223">
        <f>IFERROR(VLOOKUP("906-377348-110",B:AB,1+8,0),0)</f>
        <v>0</v>
      </c>
      <c r="K1223">
        <f>IFERROR(VLOOKUP("906-377348-110",B:AB,2+8,0),0)</f>
        <v>0</v>
      </c>
      <c r="L1223">
        <f>IFERROR(VLOOKUP("906-377348-110",B:AB,3+8,0),0)</f>
        <v>0</v>
      </c>
      <c r="M1223">
        <f>IFERROR(VLOOKUP("906-377348-110",B:AB,4+8,0),0)</f>
        <v>0</v>
      </c>
      <c r="N1223">
        <f>IFERROR(VLOOKUP("906-377348-110",B:AB,5+8,0),0)</f>
        <v>0</v>
      </c>
      <c r="O1223">
        <f>IFERROR(VLOOKUP("906-377348-110",B:AB,6+8,0),0)</f>
        <v>0</v>
      </c>
      <c r="P1223">
        <f>IFERROR(VLOOKUP("906-377348-110",B:AB,7+8,0),0)</f>
        <v>0</v>
      </c>
      <c r="Q1223">
        <f>IFERROR(VLOOKUP("906-377348-110",B:AB,8+8,0),0)</f>
        <v>0</v>
      </c>
      <c r="R1223">
        <f>IFERROR(VLOOKUP("906-377348-110",B:AB,9+8,0),0)</f>
        <v>0</v>
      </c>
      <c r="S1223">
        <f>IFERROR(VLOOKUP("906-377348-110",B:AB,10+8,0),0)</f>
        <v>0</v>
      </c>
      <c r="T1223">
        <f>IFERROR(VLOOKUP("906-377348-110",B:AB,11+8,0),0)</f>
        <v>0</v>
      </c>
      <c r="U1223">
        <f>IFERROR(VLOOKUP("906-377348-110",B:AB,12+8,0),0)</f>
        <v>0</v>
      </c>
      <c r="V1223">
        <f>IFERROR(VLOOKUP("906-377348-110",B:AB,13+8,0),0)</f>
        <v>0</v>
      </c>
      <c r="W1223">
        <f>IFERROR(VLOOKUP("906-377348-110",B:AB,14+8,0),0)</f>
        <v>0</v>
      </c>
      <c r="X1223">
        <f>IFERROR(VLOOKUP("906-377348-110",B:AB,15+8,0),0)</f>
        <v>0</v>
      </c>
      <c r="Y1223">
        <f>IFERROR(VLOOKUP("906-377348-110",B:AB,16+8,0),0)</f>
        <v>0</v>
      </c>
      <c r="Z1223">
        <f>IFERROR(VLOOKUP("906-377348-110",B:AB,17+8,0),0)</f>
        <v>0</v>
      </c>
      <c r="AA1223">
        <f>IFERROR(VLOOKUP("906-377348-110",B:AB,18+8,0),0)</f>
        <v>0</v>
      </c>
      <c r="AB1223">
        <f>IFERROR(VLOOKUP("906-377348-110",B:AB,19+8,0),0)</f>
        <v>0</v>
      </c>
      <c r="AC1223">
        <f>IFERROR(VLOOKUP("906-377348-110",B:AB,20+8,0),0)</f>
        <v>0</v>
      </c>
      <c r="AD1223">
        <f>IFERROR(VLOOKUP("906-377348-110",B:AB,21+8,0),0)</f>
        <v>0</v>
      </c>
      <c r="AE1223">
        <f>IFERROR(VLOOKUP("906-377348-110",B:AB,22+8,0),0)</f>
        <v>0</v>
      </c>
      <c r="AF1223">
        <f>IFERROR(VLOOKUP("906-377348-110",B:AB,23+8,0),0)</f>
        <v>0</v>
      </c>
      <c r="AG1223">
        <f>IFERROR(VLOOKUP("906-377348-110",B:AB,24+8,0),0)</f>
        <v>0</v>
      </c>
      <c r="AH1223">
        <f>IFERROR(VLOOKUP("906-377348-110",B:AB,25+8,0),0)</f>
        <v>0</v>
      </c>
      <c r="AI1223">
        <f>IFERROR(VLOOKUP("906-377348-110",B:AB,26+8,0),0)</f>
        <v>0</v>
      </c>
      <c r="AJ1223">
        <f>IFERROR(VLOOKUP("906-377348-110",B:AB,27+8,0),0)</f>
        <v>0</v>
      </c>
      <c r="AK1223">
        <f>IFERROR(VLOOKUP("906-377348-110",B:AB,28+8,0),0)</f>
        <v>0</v>
      </c>
      <c r="AL1223">
        <f>IFERROR(VLOOKUP("906-377348-110",B:AB,29+8,0),0)</f>
        <v>0</v>
      </c>
      <c r="AM1223">
        <f>IFERROR(VLOOKUP("906-377348-110",B:AB,30+8,0),0)</f>
        <v>0</v>
      </c>
      <c r="AN1223">
        <f>IFERROR(VLOOKUP("906-377348-110",B:AB,31+8,0),0)</f>
        <v>0</v>
      </c>
      <c r="AO1223">
        <f>SUN(INDIRECT(ADDRESS(1222,8)):INDIRECT(ADDRESS(1222,39)))</f>
        <v>0</v>
      </c>
    </row>
    <row r="1224" spans="1:41">
      <c r="H1224" t="s">
        <v>179</v>
      </c>
      <c r="J1224">
        <f>INDIRECT(ADDRESS(1224,9))+INDIRECT(ADDRESS(1222,10))-INDIRECT(ADDRESS(1223,10))</f>
        <v>0</v>
      </c>
      <c r="K1224">
        <f>INDIRECT(ADDRESS(1224,10))+INDIRECT(ADDRESS(1222,11))-INDIRECT(ADDRESS(1223,11))</f>
        <v>0</v>
      </c>
      <c r="L1224">
        <f>INDIRECT(ADDRESS(1224,11))+INDIRECT(ADDRESS(1222,12))-INDIRECT(ADDRESS(1223,12))</f>
        <v>0</v>
      </c>
      <c r="M1224">
        <f>INDIRECT(ADDRESS(1224,12))+INDIRECT(ADDRESS(1222,13))-INDIRECT(ADDRESS(1223,13))</f>
        <v>0</v>
      </c>
      <c r="N1224">
        <f>INDIRECT(ADDRESS(1224,13))+INDIRECT(ADDRESS(1222,14))-INDIRECT(ADDRESS(1223,14))</f>
        <v>0</v>
      </c>
      <c r="O1224">
        <f>INDIRECT(ADDRESS(1224,14))+INDIRECT(ADDRESS(1222,15))-INDIRECT(ADDRESS(1223,15))</f>
        <v>0</v>
      </c>
      <c r="P1224">
        <f>INDIRECT(ADDRESS(1224,15))+INDIRECT(ADDRESS(1222,16))-INDIRECT(ADDRESS(1223,16))</f>
        <v>0</v>
      </c>
      <c r="Q1224">
        <f>INDIRECT(ADDRESS(1224,16))+INDIRECT(ADDRESS(1222,17))-INDIRECT(ADDRESS(1223,17))</f>
        <v>0</v>
      </c>
      <c r="R1224">
        <f>INDIRECT(ADDRESS(1224,17))+INDIRECT(ADDRESS(1222,18))-INDIRECT(ADDRESS(1223,18))</f>
        <v>0</v>
      </c>
      <c r="S1224">
        <f>INDIRECT(ADDRESS(1224,18))+INDIRECT(ADDRESS(1222,19))-INDIRECT(ADDRESS(1223,19))</f>
        <v>0</v>
      </c>
      <c r="T1224">
        <f>INDIRECT(ADDRESS(1224,19))+INDIRECT(ADDRESS(1222,20))-INDIRECT(ADDRESS(1223,20))</f>
        <v>0</v>
      </c>
      <c r="U1224">
        <f>INDIRECT(ADDRESS(1224,20))+INDIRECT(ADDRESS(1222,21))-INDIRECT(ADDRESS(1223,21))</f>
        <v>0</v>
      </c>
      <c r="V1224">
        <f>INDIRECT(ADDRESS(1224,21))+INDIRECT(ADDRESS(1222,22))-INDIRECT(ADDRESS(1223,22))</f>
        <v>0</v>
      </c>
      <c r="W1224">
        <f>INDIRECT(ADDRESS(1224,22))+INDIRECT(ADDRESS(1222,23))-INDIRECT(ADDRESS(1223,23))</f>
        <v>0</v>
      </c>
      <c r="X1224">
        <f>INDIRECT(ADDRESS(1224,23))+INDIRECT(ADDRESS(1222,24))-INDIRECT(ADDRESS(1223,24))</f>
        <v>0</v>
      </c>
      <c r="Y1224">
        <f>INDIRECT(ADDRESS(1224,24))+INDIRECT(ADDRESS(1222,25))-INDIRECT(ADDRESS(1223,25))</f>
        <v>0</v>
      </c>
      <c r="Z1224">
        <f>INDIRECT(ADDRESS(1224,25))+INDIRECT(ADDRESS(1222,26))-INDIRECT(ADDRESS(1223,26))</f>
        <v>0</v>
      </c>
      <c r="AA1224">
        <f>INDIRECT(ADDRESS(1224,26))+INDIRECT(ADDRESS(1222,27))-INDIRECT(ADDRESS(1223,27))</f>
        <v>0</v>
      </c>
      <c r="AB1224">
        <f>INDIRECT(ADDRESS(1224,27))+INDIRECT(ADDRESS(1222,28))-INDIRECT(ADDRESS(1223,28))</f>
        <v>0</v>
      </c>
      <c r="AC1224">
        <f>INDIRECT(ADDRESS(1224,28))+INDIRECT(ADDRESS(1222,29))-INDIRECT(ADDRESS(1223,29))</f>
        <v>0</v>
      </c>
      <c r="AD1224">
        <f>INDIRECT(ADDRESS(1224,29))+INDIRECT(ADDRESS(1222,30))-INDIRECT(ADDRESS(1223,30))</f>
        <v>0</v>
      </c>
      <c r="AE1224">
        <f>INDIRECT(ADDRESS(1224,30))+INDIRECT(ADDRESS(1222,31))-INDIRECT(ADDRESS(1223,31))</f>
        <v>0</v>
      </c>
      <c r="AF1224">
        <f>INDIRECT(ADDRESS(1224,31))+INDIRECT(ADDRESS(1222,32))-INDIRECT(ADDRESS(1223,32))</f>
        <v>0</v>
      </c>
      <c r="AG1224">
        <f>INDIRECT(ADDRESS(1224,32))+INDIRECT(ADDRESS(1222,33))-INDIRECT(ADDRESS(1223,33))</f>
        <v>0</v>
      </c>
      <c r="AH1224">
        <f>INDIRECT(ADDRESS(1224,33))+INDIRECT(ADDRESS(1222,34))-INDIRECT(ADDRESS(1223,34))</f>
        <v>0</v>
      </c>
      <c r="AI1224">
        <f>INDIRECT(ADDRESS(1224,34))+INDIRECT(ADDRESS(1222,35))-INDIRECT(ADDRESS(1223,35))</f>
        <v>0</v>
      </c>
      <c r="AJ1224">
        <f>INDIRECT(ADDRESS(1224,35))+INDIRECT(ADDRESS(1222,36))-INDIRECT(ADDRESS(1223,36))</f>
        <v>0</v>
      </c>
      <c r="AK1224">
        <f>INDIRECT(ADDRESS(1224,36))+INDIRECT(ADDRESS(1222,37))-INDIRECT(ADDRESS(1223,37))</f>
        <v>0</v>
      </c>
      <c r="AL1224">
        <f>INDIRECT(ADDRESS(1224,37))+INDIRECT(ADDRESS(1222,38))-INDIRECT(ADDRESS(1223,38))</f>
        <v>0</v>
      </c>
      <c r="AM1224">
        <f>INDIRECT(ADDRESS(1224,38))+INDIRECT(ADDRESS(1222,39))-INDIRECT(ADDRESS(1223,39))</f>
        <v>0</v>
      </c>
      <c r="AN1224">
        <f>INDIRECT(ADDRESS(1224,39))+INDIRECT(ADDRESS(1222,40))-INDIRECT(ADDRESS(1223,40))</f>
        <v>0</v>
      </c>
      <c r="AO1224">
        <f>SUM(INDIRECT(ADDRESS(1223,8)):INDIRECT(ADDRESS(1223,39)))</f>
        <v>0</v>
      </c>
    </row>
    <row r="1225" spans="1:41">
      <c r="A1225" t="s">
        <v>185</v>
      </c>
      <c r="B1225" t="s">
        <v>618</v>
      </c>
      <c r="C1225" t="s">
        <v>619</v>
      </c>
      <c r="E1225">
        <v>1</v>
      </c>
      <c r="I1225" t="s">
        <v>177</v>
      </c>
    </row>
    <row r="1226" spans="1:41">
      <c r="I1226" t="s">
        <v>178</v>
      </c>
      <c r="J1226">
        <f>IFERROR(VLOOKUP("906-377348-110",B:AB,1+8,0),0)</f>
        <v>0</v>
      </c>
      <c r="K1226">
        <f>IFERROR(VLOOKUP("906-377348-110",B:AB,2+8,0),0)</f>
        <v>0</v>
      </c>
      <c r="L1226">
        <f>IFERROR(VLOOKUP("906-377348-110",B:AB,3+8,0),0)</f>
        <v>0</v>
      </c>
      <c r="M1226">
        <f>IFERROR(VLOOKUP("906-377348-110",B:AB,4+8,0),0)</f>
        <v>0</v>
      </c>
      <c r="N1226">
        <f>IFERROR(VLOOKUP("906-377348-110",B:AB,5+8,0),0)</f>
        <v>0</v>
      </c>
      <c r="O1226">
        <f>IFERROR(VLOOKUP("906-377348-110",B:AB,6+8,0),0)</f>
        <v>0</v>
      </c>
      <c r="P1226">
        <f>IFERROR(VLOOKUP("906-377348-110",B:AB,7+8,0),0)</f>
        <v>0</v>
      </c>
      <c r="Q1226">
        <f>IFERROR(VLOOKUP("906-377348-110",B:AB,8+8,0),0)</f>
        <v>0</v>
      </c>
      <c r="R1226">
        <f>IFERROR(VLOOKUP("906-377348-110",B:AB,9+8,0),0)</f>
        <v>0</v>
      </c>
      <c r="S1226">
        <f>IFERROR(VLOOKUP("906-377348-110",B:AB,10+8,0),0)</f>
        <v>0</v>
      </c>
      <c r="T1226">
        <f>IFERROR(VLOOKUP("906-377348-110",B:AB,11+8,0),0)</f>
        <v>0</v>
      </c>
      <c r="U1226">
        <f>IFERROR(VLOOKUP("906-377348-110",B:AB,12+8,0),0)</f>
        <v>0</v>
      </c>
      <c r="V1226">
        <f>IFERROR(VLOOKUP("906-377348-110",B:AB,13+8,0),0)</f>
        <v>0</v>
      </c>
      <c r="W1226">
        <f>IFERROR(VLOOKUP("906-377348-110",B:AB,14+8,0),0)</f>
        <v>0</v>
      </c>
      <c r="X1226">
        <f>IFERROR(VLOOKUP("906-377348-110",B:AB,15+8,0),0)</f>
        <v>0</v>
      </c>
      <c r="Y1226">
        <f>IFERROR(VLOOKUP("906-377348-110",B:AB,16+8,0),0)</f>
        <v>0</v>
      </c>
      <c r="Z1226">
        <f>IFERROR(VLOOKUP("906-377348-110",B:AB,17+8,0),0)</f>
        <v>0</v>
      </c>
      <c r="AA1226">
        <f>IFERROR(VLOOKUP("906-377348-110",B:AB,18+8,0),0)</f>
        <v>0</v>
      </c>
      <c r="AB1226">
        <f>IFERROR(VLOOKUP("906-377348-110",B:AB,19+8,0),0)</f>
        <v>0</v>
      </c>
      <c r="AC1226">
        <f>IFERROR(VLOOKUP("906-377348-110",B:AB,20+8,0),0)</f>
        <v>0</v>
      </c>
      <c r="AD1226">
        <f>IFERROR(VLOOKUP("906-377348-110",B:AB,21+8,0),0)</f>
        <v>0</v>
      </c>
      <c r="AE1226">
        <f>IFERROR(VLOOKUP("906-377348-110",B:AB,22+8,0),0)</f>
        <v>0</v>
      </c>
      <c r="AF1226">
        <f>IFERROR(VLOOKUP("906-377348-110",B:AB,23+8,0),0)</f>
        <v>0</v>
      </c>
      <c r="AG1226">
        <f>IFERROR(VLOOKUP("906-377348-110",B:AB,24+8,0),0)</f>
        <v>0</v>
      </c>
      <c r="AH1226">
        <f>IFERROR(VLOOKUP("906-377348-110",B:AB,25+8,0),0)</f>
        <v>0</v>
      </c>
      <c r="AI1226">
        <f>IFERROR(VLOOKUP("906-377348-110",B:AB,26+8,0),0)</f>
        <v>0</v>
      </c>
      <c r="AJ1226">
        <f>IFERROR(VLOOKUP("906-377348-110",B:AB,27+8,0),0)</f>
        <v>0</v>
      </c>
      <c r="AK1226">
        <f>IFERROR(VLOOKUP("906-377348-110",B:AB,28+8,0),0)</f>
        <v>0</v>
      </c>
      <c r="AL1226">
        <f>IFERROR(VLOOKUP("906-377348-110",B:AB,29+8,0),0)</f>
        <v>0</v>
      </c>
      <c r="AM1226">
        <f>IFERROR(VLOOKUP("906-377348-110",B:AB,30+8,0),0)</f>
        <v>0</v>
      </c>
      <c r="AN1226">
        <f>IFERROR(VLOOKUP("906-377348-110",B:AB,31+8,0),0)</f>
        <v>0</v>
      </c>
      <c r="AO1226">
        <f>SUN(INDIRECT(ADDRESS(1225,8)):INDIRECT(ADDRESS(1225,39)))</f>
        <v>0</v>
      </c>
    </row>
    <row r="1227" spans="1:41">
      <c r="H1227" t="s">
        <v>179</v>
      </c>
      <c r="J1227">
        <f>INDIRECT(ADDRESS(1227,9))+INDIRECT(ADDRESS(1225,10))-INDIRECT(ADDRESS(1226,10))</f>
        <v>0</v>
      </c>
      <c r="K1227">
        <f>INDIRECT(ADDRESS(1227,10))+INDIRECT(ADDRESS(1225,11))-INDIRECT(ADDRESS(1226,11))</f>
        <v>0</v>
      </c>
      <c r="L1227">
        <f>INDIRECT(ADDRESS(1227,11))+INDIRECT(ADDRESS(1225,12))-INDIRECT(ADDRESS(1226,12))</f>
        <v>0</v>
      </c>
      <c r="M1227">
        <f>INDIRECT(ADDRESS(1227,12))+INDIRECT(ADDRESS(1225,13))-INDIRECT(ADDRESS(1226,13))</f>
        <v>0</v>
      </c>
      <c r="N1227">
        <f>INDIRECT(ADDRESS(1227,13))+INDIRECT(ADDRESS(1225,14))-INDIRECT(ADDRESS(1226,14))</f>
        <v>0</v>
      </c>
      <c r="O1227">
        <f>INDIRECT(ADDRESS(1227,14))+INDIRECT(ADDRESS(1225,15))-INDIRECT(ADDRESS(1226,15))</f>
        <v>0</v>
      </c>
      <c r="P1227">
        <f>INDIRECT(ADDRESS(1227,15))+INDIRECT(ADDRESS(1225,16))-INDIRECT(ADDRESS(1226,16))</f>
        <v>0</v>
      </c>
      <c r="Q1227">
        <f>INDIRECT(ADDRESS(1227,16))+INDIRECT(ADDRESS(1225,17))-INDIRECT(ADDRESS(1226,17))</f>
        <v>0</v>
      </c>
      <c r="R1227">
        <f>INDIRECT(ADDRESS(1227,17))+INDIRECT(ADDRESS(1225,18))-INDIRECT(ADDRESS(1226,18))</f>
        <v>0</v>
      </c>
      <c r="S1227">
        <f>INDIRECT(ADDRESS(1227,18))+INDIRECT(ADDRESS(1225,19))-INDIRECT(ADDRESS(1226,19))</f>
        <v>0</v>
      </c>
      <c r="T1227">
        <f>INDIRECT(ADDRESS(1227,19))+INDIRECT(ADDRESS(1225,20))-INDIRECT(ADDRESS(1226,20))</f>
        <v>0</v>
      </c>
      <c r="U1227">
        <f>INDIRECT(ADDRESS(1227,20))+INDIRECT(ADDRESS(1225,21))-INDIRECT(ADDRESS(1226,21))</f>
        <v>0</v>
      </c>
      <c r="V1227">
        <f>INDIRECT(ADDRESS(1227,21))+INDIRECT(ADDRESS(1225,22))-INDIRECT(ADDRESS(1226,22))</f>
        <v>0</v>
      </c>
      <c r="W1227">
        <f>INDIRECT(ADDRESS(1227,22))+INDIRECT(ADDRESS(1225,23))-INDIRECT(ADDRESS(1226,23))</f>
        <v>0</v>
      </c>
      <c r="X1227">
        <f>INDIRECT(ADDRESS(1227,23))+INDIRECT(ADDRESS(1225,24))-INDIRECT(ADDRESS(1226,24))</f>
        <v>0</v>
      </c>
      <c r="Y1227">
        <f>INDIRECT(ADDRESS(1227,24))+INDIRECT(ADDRESS(1225,25))-INDIRECT(ADDRESS(1226,25))</f>
        <v>0</v>
      </c>
      <c r="Z1227">
        <f>INDIRECT(ADDRESS(1227,25))+INDIRECT(ADDRESS(1225,26))-INDIRECT(ADDRESS(1226,26))</f>
        <v>0</v>
      </c>
      <c r="AA1227">
        <f>INDIRECT(ADDRESS(1227,26))+INDIRECT(ADDRESS(1225,27))-INDIRECT(ADDRESS(1226,27))</f>
        <v>0</v>
      </c>
      <c r="AB1227">
        <f>INDIRECT(ADDRESS(1227,27))+INDIRECT(ADDRESS(1225,28))-INDIRECT(ADDRESS(1226,28))</f>
        <v>0</v>
      </c>
      <c r="AC1227">
        <f>INDIRECT(ADDRESS(1227,28))+INDIRECT(ADDRESS(1225,29))-INDIRECT(ADDRESS(1226,29))</f>
        <v>0</v>
      </c>
      <c r="AD1227">
        <f>INDIRECT(ADDRESS(1227,29))+INDIRECT(ADDRESS(1225,30))-INDIRECT(ADDRESS(1226,30))</f>
        <v>0</v>
      </c>
      <c r="AE1227">
        <f>INDIRECT(ADDRESS(1227,30))+INDIRECT(ADDRESS(1225,31))-INDIRECT(ADDRESS(1226,31))</f>
        <v>0</v>
      </c>
      <c r="AF1227">
        <f>INDIRECT(ADDRESS(1227,31))+INDIRECT(ADDRESS(1225,32))-INDIRECT(ADDRESS(1226,32))</f>
        <v>0</v>
      </c>
      <c r="AG1227">
        <f>INDIRECT(ADDRESS(1227,32))+INDIRECT(ADDRESS(1225,33))-INDIRECT(ADDRESS(1226,33))</f>
        <v>0</v>
      </c>
      <c r="AH1227">
        <f>INDIRECT(ADDRESS(1227,33))+INDIRECT(ADDRESS(1225,34))-INDIRECT(ADDRESS(1226,34))</f>
        <v>0</v>
      </c>
      <c r="AI1227">
        <f>INDIRECT(ADDRESS(1227,34))+INDIRECT(ADDRESS(1225,35))-INDIRECT(ADDRESS(1226,35))</f>
        <v>0</v>
      </c>
      <c r="AJ1227">
        <f>INDIRECT(ADDRESS(1227,35))+INDIRECT(ADDRESS(1225,36))-INDIRECT(ADDRESS(1226,36))</f>
        <v>0</v>
      </c>
      <c r="AK1227">
        <f>INDIRECT(ADDRESS(1227,36))+INDIRECT(ADDRESS(1225,37))-INDIRECT(ADDRESS(1226,37))</f>
        <v>0</v>
      </c>
      <c r="AL1227">
        <f>INDIRECT(ADDRESS(1227,37))+INDIRECT(ADDRESS(1225,38))-INDIRECT(ADDRESS(1226,38))</f>
        <v>0</v>
      </c>
      <c r="AM1227">
        <f>INDIRECT(ADDRESS(1227,38))+INDIRECT(ADDRESS(1225,39))-INDIRECT(ADDRESS(1226,39))</f>
        <v>0</v>
      </c>
      <c r="AN1227">
        <f>INDIRECT(ADDRESS(1227,39))+INDIRECT(ADDRESS(1225,40))-INDIRECT(ADDRESS(1226,40))</f>
        <v>0</v>
      </c>
      <c r="AO1227">
        <f>SUM(INDIRECT(ADDRESS(1226,8)):INDIRECT(ADDRESS(1226,39)))</f>
        <v>0</v>
      </c>
    </row>
    <row r="1228" spans="1:41">
      <c r="A1228" t="s">
        <v>185</v>
      </c>
      <c r="B1228" t="s">
        <v>596</v>
      </c>
      <c r="C1228" t="s">
        <v>597</v>
      </c>
      <c r="E1228">
        <v>7</v>
      </c>
      <c r="I1228" t="s">
        <v>177</v>
      </c>
    </row>
    <row r="1229" spans="1:41">
      <c r="I1229" t="s">
        <v>178</v>
      </c>
      <c r="J1229">
        <f>IFERROR(VLOOKUP("906-377348-110",B:AB,1+8,0),0)</f>
        <v>0</v>
      </c>
      <c r="K1229">
        <f>IFERROR(VLOOKUP("906-377348-110",B:AB,2+8,0),0)</f>
        <v>0</v>
      </c>
      <c r="L1229">
        <f>IFERROR(VLOOKUP("906-377348-110",B:AB,3+8,0),0)</f>
        <v>0</v>
      </c>
      <c r="M1229">
        <f>IFERROR(VLOOKUP("906-377348-110",B:AB,4+8,0),0)</f>
        <v>0</v>
      </c>
      <c r="N1229">
        <f>IFERROR(VLOOKUP("906-377348-110",B:AB,5+8,0),0)</f>
        <v>0</v>
      </c>
      <c r="O1229">
        <f>IFERROR(VLOOKUP("906-377348-110",B:AB,6+8,0),0)</f>
        <v>0</v>
      </c>
      <c r="P1229">
        <f>IFERROR(VLOOKUP("906-377348-110",B:AB,7+8,0),0)</f>
        <v>0</v>
      </c>
      <c r="Q1229">
        <f>IFERROR(VLOOKUP("906-377348-110",B:AB,8+8,0),0)</f>
        <v>0</v>
      </c>
      <c r="R1229">
        <f>IFERROR(VLOOKUP("906-377348-110",B:AB,9+8,0),0)</f>
        <v>0</v>
      </c>
      <c r="S1229">
        <f>IFERROR(VLOOKUP("906-377348-110",B:AB,10+8,0),0)</f>
        <v>0</v>
      </c>
      <c r="T1229">
        <f>IFERROR(VLOOKUP("906-377348-110",B:AB,11+8,0),0)</f>
        <v>0</v>
      </c>
      <c r="U1229">
        <f>IFERROR(VLOOKUP("906-377348-110",B:AB,12+8,0),0)</f>
        <v>0</v>
      </c>
      <c r="V1229">
        <f>IFERROR(VLOOKUP("906-377348-110",B:AB,13+8,0),0)</f>
        <v>0</v>
      </c>
      <c r="W1229">
        <f>IFERROR(VLOOKUP("906-377348-110",B:AB,14+8,0),0)</f>
        <v>0</v>
      </c>
      <c r="X1229">
        <f>IFERROR(VLOOKUP("906-377348-110",B:AB,15+8,0),0)</f>
        <v>0</v>
      </c>
      <c r="Y1229">
        <f>IFERROR(VLOOKUP("906-377348-110",B:AB,16+8,0),0)</f>
        <v>0</v>
      </c>
      <c r="Z1229">
        <f>IFERROR(VLOOKUP("906-377348-110",B:AB,17+8,0),0)</f>
        <v>0</v>
      </c>
      <c r="AA1229">
        <f>IFERROR(VLOOKUP("906-377348-110",B:AB,18+8,0),0)</f>
        <v>0</v>
      </c>
      <c r="AB1229">
        <f>IFERROR(VLOOKUP("906-377348-110",B:AB,19+8,0),0)</f>
        <v>0</v>
      </c>
      <c r="AC1229">
        <f>IFERROR(VLOOKUP("906-377348-110",B:AB,20+8,0),0)</f>
        <v>0</v>
      </c>
      <c r="AD1229">
        <f>IFERROR(VLOOKUP("906-377348-110",B:AB,21+8,0),0)</f>
        <v>0</v>
      </c>
      <c r="AE1229">
        <f>IFERROR(VLOOKUP("906-377348-110",B:AB,22+8,0),0)</f>
        <v>0</v>
      </c>
      <c r="AF1229">
        <f>IFERROR(VLOOKUP("906-377348-110",B:AB,23+8,0),0)</f>
        <v>0</v>
      </c>
      <c r="AG1229">
        <f>IFERROR(VLOOKUP("906-377348-110",B:AB,24+8,0),0)</f>
        <v>0</v>
      </c>
      <c r="AH1229">
        <f>IFERROR(VLOOKUP("906-377348-110",B:AB,25+8,0),0)</f>
        <v>0</v>
      </c>
      <c r="AI1229">
        <f>IFERROR(VLOOKUP("906-377348-110",B:AB,26+8,0),0)</f>
        <v>0</v>
      </c>
      <c r="AJ1229">
        <f>IFERROR(VLOOKUP("906-377348-110",B:AB,27+8,0),0)</f>
        <v>0</v>
      </c>
      <c r="AK1229">
        <f>IFERROR(VLOOKUP("906-377348-110",B:AB,28+8,0),0)</f>
        <v>0</v>
      </c>
      <c r="AL1229">
        <f>IFERROR(VLOOKUP("906-377348-110",B:AB,29+8,0),0)</f>
        <v>0</v>
      </c>
      <c r="AM1229">
        <f>IFERROR(VLOOKUP("906-377348-110",B:AB,30+8,0),0)</f>
        <v>0</v>
      </c>
      <c r="AN1229">
        <f>IFERROR(VLOOKUP("906-377348-110",B:AB,31+8,0),0)</f>
        <v>0</v>
      </c>
      <c r="AO1229">
        <f>SUN(INDIRECT(ADDRESS(1228,8)):INDIRECT(ADDRESS(1228,39)))</f>
        <v>0</v>
      </c>
    </row>
    <row r="1230" spans="1:41">
      <c r="H1230" t="s">
        <v>179</v>
      </c>
      <c r="J1230">
        <f>INDIRECT(ADDRESS(1230,9))+INDIRECT(ADDRESS(1228,10))-INDIRECT(ADDRESS(1229,10))</f>
        <v>0</v>
      </c>
      <c r="K1230">
        <f>INDIRECT(ADDRESS(1230,10))+INDIRECT(ADDRESS(1228,11))-INDIRECT(ADDRESS(1229,11))</f>
        <v>0</v>
      </c>
      <c r="L1230">
        <f>INDIRECT(ADDRESS(1230,11))+INDIRECT(ADDRESS(1228,12))-INDIRECT(ADDRESS(1229,12))</f>
        <v>0</v>
      </c>
      <c r="M1230">
        <f>INDIRECT(ADDRESS(1230,12))+INDIRECT(ADDRESS(1228,13))-INDIRECT(ADDRESS(1229,13))</f>
        <v>0</v>
      </c>
      <c r="N1230">
        <f>INDIRECT(ADDRESS(1230,13))+INDIRECT(ADDRESS(1228,14))-INDIRECT(ADDRESS(1229,14))</f>
        <v>0</v>
      </c>
      <c r="O1230">
        <f>INDIRECT(ADDRESS(1230,14))+INDIRECT(ADDRESS(1228,15))-INDIRECT(ADDRESS(1229,15))</f>
        <v>0</v>
      </c>
      <c r="P1230">
        <f>INDIRECT(ADDRESS(1230,15))+INDIRECT(ADDRESS(1228,16))-INDIRECT(ADDRESS(1229,16))</f>
        <v>0</v>
      </c>
      <c r="Q1230">
        <f>INDIRECT(ADDRESS(1230,16))+INDIRECT(ADDRESS(1228,17))-INDIRECT(ADDRESS(1229,17))</f>
        <v>0</v>
      </c>
      <c r="R1230">
        <f>INDIRECT(ADDRESS(1230,17))+INDIRECT(ADDRESS(1228,18))-INDIRECT(ADDRESS(1229,18))</f>
        <v>0</v>
      </c>
      <c r="S1230">
        <f>INDIRECT(ADDRESS(1230,18))+INDIRECT(ADDRESS(1228,19))-INDIRECT(ADDRESS(1229,19))</f>
        <v>0</v>
      </c>
      <c r="T1230">
        <f>INDIRECT(ADDRESS(1230,19))+INDIRECT(ADDRESS(1228,20))-INDIRECT(ADDRESS(1229,20))</f>
        <v>0</v>
      </c>
      <c r="U1230">
        <f>INDIRECT(ADDRESS(1230,20))+INDIRECT(ADDRESS(1228,21))-INDIRECT(ADDRESS(1229,21))</f>
        <v>0</v>
      </c>
      <c r="V1230">
        <f>INDIRECT(ADDRESS(1230,21))+INDIRECT(ADDRESS(1228,22))-INDIRECT(ADDRESS(1229,22))</f>
        <v>0</v>
      </c>
      <c r="W1230">
        <f>INDIRECT(ADDRESS(1230,22))+INDIRECT(ADDRESS(1228,23))-INDIRECT(ADDRESS(1229,23))</f>
        <v>0</v>
      </c>
      <c r="X1230">
        <f>INDIRECT(ADDRESS(1230,23))+INDIRECT(ADDRESS(1228,24))-INDIRECT(ADDRESS(1229,24))</f>
        <v>0</v>
      </c>
      <c r="Y1230">
        <f>INDIRECT(ADDRESS(1230,24))+INDIRECT(ADDRESS(1228,25))-INDIRECT(ADDRESS(1229,25))</f>
        <v>0</v>
      </c>
      <c r="Z1230">
        <f>INDIRECT(ADDRESS(1230,25))+INDIRECT(ADDRESS(1228,26))-INDIRECT(ADDRESS(1229,26))</f>
        <v>0</v>
      </c>
      <c r="AA1230">
        <f>INDIRECT(ADDRESS(1230,26))+INDIRECT(ADDRESS(1228,27))-INDIRECT(ADDRESS(1229,27))</f>
        <v>0</v>
      </c>
      <c r="AB1230">
        <f>INDIRECT(ADDRESS(1230,27))+INDIRECT(ADDRESS(1228,28))-INDIRECT(ADDRESS(1229,28))</f>
        <v>0</v>
      </c>
      <c r="AC1230">
        <f>INDIRECT(ADDRESS(1230,28))+INDIRECT(ADDRESS(1228,29))-INDIRECT(ADDRESS(1229,29))</f>
        <v>0</v>
      </c>
      <c r="AD1230">
        <f>INDIRECT(ADDRESS(1230,29))+INDIRECT(ADDRESS(1228,30))-INDIRECT(ADDRESS(1229,30))</f>
        <v>0</v>
      </c>
      <c r="AE1230">
        <f>INDIRECT(ADDRESS(1230,30))+INDIRECT(ADDRESS(1228,31))-INDIRECT(ADDRESS(1229,31))</f>
        <v>0</v>
      </c>
      <c r="AF1230">
        <f>INDIRECT(ADDRESS(1230,31))+INDIRECT(ADDRESS(1228,32))-INDIRECT(ADDRESS(1229,32))</f>
        <v>0</v>
      </c>
      <c r="AG1230">
        <f>INDIRECT(ADDRESS(1230,32))+INDIRECT(ADDRESS(1228,33))-INDIRECT(ADDRESS(1229,33))</f>
        <v>0</v>
      </c>
      <c r="AH1230">
        <f>INDIRECT(ADDRESS(1230,33))+INDIRECT(ADDRESS(1228,34))-INDIRECT(ADDRESS(1229,34))</f>
        <v>0</v>
      </c>
      <c r="AI1230">
        <f>INDIRECT(ADDRESS(1230,34))+INDIRECT(ADDRESS(1228,35))-INDIRECT(ADDRESS(1229,35))</f>
        <v>0</v>
      </c>
      <c r="AJ1230">
        <f>INDIRECT(ADDRESS(1230,35))+INDIRECT(ADDRESS(1228,36))-INDIRECT(ADDRESS(1229,36))</f>
        <v>0</v>
      </c>
      <c r="AK1230">
        <f>INDIRECT(ADDRESS(1230,36))+INDIRECT(ADDRESS(1228,37))-INDIRECT(ADDRESS(1229,37))</f>
        <v>0</v>
      </c>
      <c r="AL1230">
        <f>INDIRECT(ADDRESS(1230,37))+INDIRECT(ADDRESS(1228,38))-INDIRECT(ADDRESS(1229,38))</f>
        <v>0</v>
      </c>
      <c r="AM1230">
        <f>INDIRECT(ADDRESS(1230,38))+INDIRECT(ADDRESS(1228,39))-INDIRECT(ADDRESS(1229,39))</f>
        <v>0</v>
      </c>
      <c r="AN1230">
        <f>INDIRECT(ADDRESS(1230,39))+INDIRECT(ADDRESS(1228,40))-INDIRECT(ADDRESS(1229,40))</f>
        <v>0</v>
      </c>
      <c r="AO1230">
        <f>SUM(INDIRECT(ADDRESS(1229,8)):INDIRECT(ADDRESS(1229,39)))</f>
        <v>0</v>
      </c>
    </row>
    <row r="1231" spans="1:41">
      <c r="A1231" t="s">
        <v>238</v>
      </c>
      <c r="B1231" t="s">
        <v>610</v>
      </c>
      <c r="C1231" t="s">
        <v>611</v>
      </c>
      <c r="E1231">
        <v>0.1875</v>
      </c>
      <c r="I1231" t="s">
        <v>177</v>
      </c>
    </row>
    <row r="1232" spans="1:41">
      <c r="I1232" t="s">
        <v>178</v>
      </c>
      <c r="J1232">
        <f>IFERROR(VLOOKUP("906-377348-110",B:AB,1+8,0),0)</f>
        <v>0</v>
      </c>
      <c r="K1232">
        <f>IFERROR(VLOOKUP("906-377348-110",B:AB,2+8,0),0)</f>
        <v>0</v>
      </c>
      <c r="L1232">
        <f>IFERROR(VLOOKUP("906-377348-110",B:AB,3+8,0),0)</f>
        <v>0</v>
      </c>
      <c r="M1232">
        <f>IFERROR(VLOOKUP("906-377348-110",B:AB,4+8,0),0)</f>
        <v>0</v>
      </c>
      <c r="N1232">
        <f>IFERROR(VLOOKUP("906-377348-110",B:AB,5+8,0),0)</f>
        <v>0</v>
      </c>
      <c r="O1232">
        <f>IFERROR(VLOOKUP("906-377348-110",B:AB,6+8,0),0)</f>
        <v>0</v>
      </c>
      <c r="P1232">
        <f>IFERROR(VLOOKUP("906-377348-110",B:AB,7+8,0),0)</f>
        <v>0</v>
      </c>
      <c r="Q1232">
        <f>IFERROR(VLOOKUP("906-377348-110",B:AB,8+8,0),0)</f>
        <v>0</v>
      </c>
      <c r="R1232">
        <f>IFERROR(VLOOKUP("906-377348-110",B:AB,9+8,0),0)</f>
        <v>0</v>
      </c>
      <c r="S1232">
        <f>IFERROR(VLOOKUP("906-377348-110",B:AB,10+8,0),0)</f>
        <v>0</v>
      </c>
      <c r="T1232">
        <f>IFERROR(VLOOKUP("906-377348-110",B:AB,11+8,0),0)</f>
        <v>0</v>
      </c>
      <c r="U1232">
        <f>IFERROR(VLOOKUP("906-377348-110",B:AB,12+8,0),0)</f>
        <v>0</v>
      </c>
      <c r="V1232">
        <f>IFERROR(VLOOKUP("906-377348-110",B:AB,13+8,0),0)</f>
        <v>0</v>
      </c>
      <c r="W1232">
        <f>IFERROR(VLOOKUP("906-377348-110",B:AB,14+8,0),0)</f>
        <v>0</v>
      </c>
      <c r="X1232">
        <f>IFERROR(VLOOKUP("906-377348-110",B:AB,15+8,0),0)</f>
        <v>0</v>
      </c>
      <c r="Y1232">
        <f>IFERROR(VLOOKUP("906-377348-110",B:AB,16+8,0),0)</f>
        <v>0</v>
      </c>
      <c r="Z1232">
        <f>IFERROR(VLOOKUP("906-377348-110",B:AB,17+8,0),0)</f>
        <v>0</v>
      </c>
      <c r="AA1232">
        <f>IFERROR(VLOOKUP("906-377348-110",B:AB,18+8,0),0)</f>
        <v>0</v>
      </c>
      <c r="AB1232">
        <f>IFERROR(VLOOKUP("906-377348-110",B:AB,19+8,0),0)</f>
        <v>0</v>
      </c>
      <c r="AC1232">
        <f>IFERROR(VLOOKUP("906-377348-110",B:AB,20+8,0),0)</f>
        <v>0</v>
      </c>
      <c r="AD1232">
        <f>IFERROR(VLOOKUP("906-377348-110",B:AB,21+8,0),0)</f>
        <v>0</v>
      </c>
      <c r="AE1232">
        <f>IFERROR(VLOOKUP("906-377348-110",B:AB,22+8,0),0)</f>
        <v>0</v>
      </c>
      <c r="AF1232">
        <f>IFERROR(VLOOKUP("906-377348-110",B:AB,23+8,0),0)</f>
        <v>0</v>
      </c>
      <c r="AG1232">
        <f>IFERROR(VLOOKUP("906-377348-110",B:AB,24+8,0),0)</f>
        <v>0</v>
      </c>
      <c r="AH1232">
        <f>IFERROR(VLOOKUP("906-377348-110",B:AB,25+8,0),0)</f>
        <v>0</v>
      </c>
      <c r="AI1232">
        <f>IFERROR(VLOOKUP("906-377348-110",B:AB,26+8,0),0)</f>
        <v>0</v>
      </c>
      <c r="AJ1232">
        <f>IFERROR(VLOOKUP("906-377348-110",B:AB,27+8,0),0)</f>
        <v>0</v>
      </c>
      <c r="AK1232">
        <f>IFERROR(VLOOKUP("906-377348-110",B:AB,28+8,0),0)</f>
        <v>0</v>
      </c>
      <c r="AL1232">
        <f>IFERROR(VLOOKUP("906-377348-110",B:AB,29+8,0),0)</f>
        <v>0</v>
      </c>
      <c r="AM1232">
        <f>IFERROR(VLOOKUP("906-377348-110",B:AB,30+8,0),0)</f>
        <v>0</v>
      </c>
      <c r="AN1232">
        <f>IFERROR(VLOOKUP("906-377348-110",B:AB,31+8,0),0)</f>
        <v>0</v>
      </c>
      <c r="AO1232">
        <f>SUN(INDIRECT(ADDRESS(1231,8)):INDIRECT(ADDRESS(1231,39)))</f>
        <v>0</v>
      </c>
    </row>
    <row r="1233" spans="1:41">
      <c r="H1233" t="s">
        <v>179</v>
      </c>
      <c r="J1233">
        <f>INDIRECT(ADDRESS(1233,9))+INDIRECT(ADDRESS(1231,10))-INDIRECT(ADDRESS(1232,10))</f>
        <v>0</v>
      </c>
      <c r="K1233">
        <f>INDIRECT(ADDRESS(1233,10))+INDIRECT(ADDRESS(1231,11))-INDIRECT(ADDRESS(1232,11))</f>
        <v>0</v>
      </c>
      <c r="L1233">
        <f>INDIRECT(ADDRESS(1233,11))+INDIRECT(ADDRESS(1231,12))-INDIRECT(ADDRESS(1232,12))</f>
        <v>0</v>
      </c>
      <c r="M1233">
        <f>INDIRECT(ADDRESS(1233,12))+INDIRECT(ADDRESS(1231,13))-INDIRECT(ADDRESS(1232,13))</f>
        <v>0</v>
      </c>
      <c r="N1233">
        <f>INDIRECT(ADDRESS(1233,13))+INDIRECT(ADDRESS(1231,14))-INDIRECT(ADDRESS(1232,14))</f>
        <v>0</v>
      </c>
      <c r="O1233">
        <f>INDIRECT(ADDRESS(1233,14))+INDIRECT(ADDRESS(1231,15))-INDIRECT(ADDRESS(1232,15))</f>
        <v>0</v>
      </c>
      <c r="P1233">
        <f>INDIRECT(ADDRESS(1233,15))+INDIRECT(ADDRESS(1231,16))-INDIRECT(ADDRESS(1232,16))</f>
        <v>0</v>
      </c>
      <c r="Q1233">
        <f>INDIRECT(ADDRESS(1233,16))+INDIRECT(ADDRESS(1231,17))-INDIRECT(ADDRESS(1232,17))</f>
        <v>0</v>
      </c>
      <c r="R1233">
        <f>INDIRECT(ADDRESS(1233,17))+INDIRECT(ADDRESS(1231,18))-INDIRECT(ADDRESS(1232,18))</f>
        <v>0</v>
      </c>
      <c r="S1233">
        <f>INDIRECT(ADDRESS(1233,18))+INDIRECT(ADDRESS(1231,19))-INDIRECT(ADDRESS(1232,19))</f>
        <v>0</v>
      </c>
      <c r="T1233">
        <f>INDIRECT(ADDRESS(1233,19))+INDIRECT(ADDRESS(1231,20))-INDIRECT(ADDRESS(1232,20))</f>
        <v>0</v>
      </c>
      <c r="U1233">
        <f>INDIRECT(ADDRESS(1233,20))+INDIRECT(ADDRESS(1231,21))-INDIRECT(ADDRESS(1232,21))</f>
        <v>0</v>
      </c>
      <c r="V1233">
        <f>INDIRECT(ADDRESS(1233,21))+INDIRECT(ADDRESS(1231,22))-INDIRECT(ADDRESS(1232,22))</f>
        <v>0</v>
      </c>
      <c r="W1233">
        <f>INDIRECT(ADDRESS(1233,22))+INDIRECT(ADDRESS(1231,23))-INDIRECT(ADDRESS(1232,23))</f>
        <v>0</v>
      </c>
      <c r="X1233">
        <f>INDIRECT(ADDRESS(1233,23))+INDIRECT(ADDRESS(1231,24))-INDIRECT(ADDRESS(1232,24))</f>
        <v>0</v>
      </c>
      <c r="Y1233">
        <f>INDIRECT(ADDRESS(1233,24))+INDIRECT(ADDRESS(1231,25))-INDIRECT(ADDRESS(1232,25))</f>
        <v>0</v>
      </c>
      <c r="Z1233">
        <f>INDIRECT(ADDRESS(1233,25))+INDIRECT(ADDRESS(1231,26))-INDIRECT(ADDRESS(1232,26))</f>
        <v>0</v>
      </c>
      <c r="AA1233">
        <f>INDIRECT(ADDRESS(1233,26))+INDIRECT(ADDRESS(1231,27))-INDIRECT(ADDRESS(1232,27))</f>
        <v>0</v>
      </c>
      <c r="AB1233">
        <f>INDIRECT(ADDRESS(1233,27))+INDIRECT(ADDRESS(1231,28))-INDIRECT(ADDRESS(1232,28))</f>
        <v>0</v>
      </c>
      <c r="AC1233">
        <f>INDIRECT(ADDRESS(1233,28))+INDIRECT(ADDRESS(1231,29))-INDIRECT(ADDRESS(1232,29))</f>
        <v>0</v>
      </c>
      <c r="AD1233">
        <f>INDIRECT(ADDRESS(1233,29))+INDIRECT(ADDRESS(1231,30))-INDIRECT(ADDRESS(1232,30))</f>
        <v>0</v>
      </c>
      <c r="AE1233">
        <f>INDIRECT(ADDRESS(1233,30))+INDIRECT(ADDRESS(1231,31))-INDIRECT(ADDRESS(1232,31))</f>
        <v>0</v>
      </c>
      <c r="AF1233">
        <f>INDIRECT(ADDRESS(1233,31))+INDIRECT(ADDRESS(1231,32))-INDIRECT(ADDRESS(1232,32))</f>
        <v>0</v>
      </c>
      <c r="AG1233">
        <f>INDIRECT(ADDRESS(1233,32))+INDIRECT(ADDRESS(1231,33))-INDIRECT(ADDRESS(1232,33))</f>
        <v>0</v>
      </c>
      <c r="AH1233">
        <f>INDIRECT(ADDRESS(1233,33))+INDIRECT(ADDRESS(1231,34))-INDIRECT(ADDRESS(1232,34))</f>
        <v>0</v>
      </c>
      <c r="AI1233">
        <f>INDIRECT(ADDRESS(1233,34))+INDIRECT(ADDRESS(1231,35))-INDIRECT(ADDRESS(1232,35))</f>
        <v>0</v>
      </c>
      <c r="AJ1233">
        <f>INDIRECT(ADDRESS(1233,35))+INDIRECT(ADDRESS(1231,36))-INDIRECT(ADDRESS(1232,36))</f>
        <v>0</v>
      </c>
      <c r="AK1233">
        <f>INDIRECT(ADDRESS(1233,36))+INDIRECT(ADDRESS(1231,37))-INDIRECT(ADDRESS(1232,37))</f>
        <v>0</v>
      </c>
      <c r="AL1233">
        <f>INDIRECT(ADDRESS(1233,37))+INDIRECT(ADDRESS(1231,38))-INDIRECT(ADDRESS(1232,38))</f>
        <v>0</v>
      </c>
      <c r="AM1233">
        <f>INDIRECT(ADDRESS(1233,38))+INDIRECT(ADDRESS(1231,39))-INDIRECT(ADDRESS(1232,39))</f>
        <v>0</v>
      </c>
      <c r="AN1233">
        <f>INDIRECT(ADDRESS(1233,39))+INDIRECT(ADDRESS(1231,40))-INDIRECT(ADDRESS(1232,40))</f>
        <v>0</v>
      </c>
      <c r="AO1233">
        <f>SUM(INDIRECT(ADDRESS(1232,8)):INDIRECT(ADDRESS(1232,39)))</f>
        <v>0</v>
      </c>
    </row>
    <row r="1234" spans="1:41">
      <c r="A1234" t="s">
        <v>238</v>
      </c>
      <c r="B1234" t="s">
        <v>608</v>
      </c>
      <c r="C1234" t="s">
        <v>609</v>
      </c>
      <c r="E1234">
        <v>0.0625</v>
      </c>
      <c r="I1234" t="s">
        <v>177</v>
      </c>
    </row>
    <row r="1235" spans="1:41">
      <c r="I1235" t="s">
        <v>178</v>
      </c>
      <c r="J1235">
        <f>IFERROR(VLOOKUP("906-377348-110",B:AB,1+8,0),0)</f>
        <v>0</v>
      </c>
      <c r="K1235">
        <f>IFERROR(VLOOKUP("906-377348-110",B:AB,2+8,0),0)</f>
        <v>0</v>
      </c>
      <c r="L1235">
        <f>IFERROR(VLOOKUP("906-377348-110",B:AB,3+8,0),0)</f>
        <v>0</v>
      </c>
      <c r="M1235">
        <f>IFERROR(VLOOKUP("906-377348-110",B:AB,4+8,0),0)</f>
        <v>0</v>
      </c>
      <c r="N1235">
        <f>IFERROR(VLOOKUP("906-377348-110",B:AB,5+8,0),0)</f>
        <v>0</v>
      </c>
      <c r="O1235">
        <f>IFERROR(VLOOKUP("906-377348-110",B:AB,6+8,0),0)</f>
        <v>0</v>
      </c>
      <c r="P1235">
        <f>IFERROR(VLOOKUP("906-377348-110",B:AB,7+8,0),0)</f>
        <v>0</v>
      </c>
      <c r="Q1235">
        <f>IFERROR(VLOOKUP("906-377348-110",B:AB,8+8,0),0)</f>
        <v>0</v>
      </c>
      <c r="R1235">
        <f>IFERROR(VLOOKUP("906-377348-110",B:AB,9+8,0),0)</f>
        <v>0</v>
      </c>
      <c r="S1235">
        <f>IFERROR(VLOOKUP("906-377348-110",B:AB,10+8,0),0)</f>
        <v>0</v>
      </c>
      <c r="T1235">
        <f>IFERROR(VLOOKUP("906-377348-110",B:AB,11+8,0),0)</f>
        <v>0</v>
      </c>
      <c r="U1235">
        <f>IFERROR(VLOOKUP("906-377348-110",B:AB,12+8,0),0)</f>
        <v>0</v>
      </c>
      <c r="V1235">
        <f>IFERROR(VLOOKUP("906-377348-110",B:AB,13+8,0),0)</f>
        <v>0</v>
      </c>
      <c r="W1235">
        <f>IFERROR(VLOOKUP("906-377348-110",B:AB,14+8,0),0)</f>
        <v>0</v>
      </c>
      <c r="X1235">
        <f>IFERROR(VLOOKUP("906-377348-110",B:AB,15+8,0),0)</f>
        <v>0</v>
      </c>
      <c r="Y1235">
        <f>IFERROR(VLOOKUP("906-377348-110",B:AB,16+8,0),0)</f>
        <v>0</v>
      </c>
      <c r="Z1235">
        <f>IFERROR(VLOOKUP("906-377348-110",B:AB,17+8,0),0)</f>
        <v>0</v>
      </c>
      <c r="AA1235">
        <f>IFERROR(VLOOKUP("906-377348-110",B:AB,18+8,0),0)</f>
        <v>0</v>
      </c>
      <c r="AB1235">
        <f>IFERROR(VLOOKUP("906-377348-110",B:AB,19+8,0),0)</f>
        <v>0</v>
      </c>
      <c r="AC1235">
        <f>IFERROR(VLOOKUP("906-377348-110",B:AB,20+8,0),0)</f>
        <v>0</v>
      </c>
      <c r="AD1235">
        <f>IFERROR(VLOOKUP("906-377348-110",B:AB,21+8,0),0)</f>
        <v>0</v>
      </c>
      <c r="AE1235">
        <f>IFERROR(VLOOKUP("906-377348-110",B:AB,22+8,0),0)</f>
        <v>0</v>
      </c>
      <c r="AF1235">
        <f>IFERROR(VLOOKUP("906-377348-110",B:AB,23+8,0),0)</f>
        <v>0</v>
      </c>
      <c r="AG1235">
        <f>IFERROR(VLOOKUP("906-377348-110",B:AB,24+8,0),0)</f>
        <v>0</v>
      </c>
      <c r="AH1235">
        <f>IFERROR(VLOOKUP("906-377348-110",B:AB,25+8,0),0)</f>
        <v>0</v>
      </c>
      <c r="AI1235">
        <f>IFERROR(VLOOKUP("906-377348-110",B:AB,26+8,0),0)</f>
        <v>0</v>
      </c>
      <c r="AJ1235">
        <f>IFERROR(VLOOKUP("906-377348-110",B:AB,27+8,0),0)</f>
        <v>0</v>
      </c>
      <c r="AK1235">
        <f>IFERROR(VLOOKUP("906-377348-110",B:AB,28+8,0),0)</f>
        <v>0</v>
      </c>
      <c r="AL1235">
        <f>IFERROR(VLOOKUP("906-377348-110",B:AB,29+8,0),0)</f>
        <v>0</v>
      </c>
      <c r="AM1235">
        <f>IFERROR(VLOOKUP("906-377348-110",B:AB,30+8,0),0)</f>
        <v>0</v>
      </c>
      <c r="AN1235">
        <f>IFERROR(VLOOKUP("906-377348-110",B:AB,31+8,0),0)</f>
        <v>0</v>
      </c>
      <c r="AO1235">
        <f>SUN(INDIRECT(ADDRESS(1234,8)):INDIRECT(ADDRESS(1234,39)))</f>
        <v>0</v>
      </c>
    </row>
    <row r="1236" spans="1:41">
      <c r="H1236" t="s">
        <v>179</v>
      </c>
      <c r="J1236">
        <f>INDIRECT(ADDRESS(1236,9))+INDIRECT(ADDRESS(1234,10))-INDIRECT(ADDRESS(1235,10))</f>
        <v>0</v>
      </c>
      <c r="K1236">
        <f>INDIRECT(ADDRESS(1236,10))+INDIRECT(ADDRESS(1234,11))-INDIRECT(ADDRESS(1235,11))</f>
        <v>0</v>
      </c>
      <c r="L1236">
        <f>INDIRECT(ADDRESS(1236,11))+INDIRECT(ADDRESS(1234,12))-INDIRECT(ADDRESS(1235,12))</f>
        <v>0</v>
      </c>
      <c r="M1236">
        <f>INDIRECT(ADDRESS(1236,12))+INDIRECT(ADDRESS(1234,13))-INDIRECT(ADDRESS(1235,13))</f>
        <v>0</v>
      </c>
      <c r="N1236">
        <f>INDIRECT(ADDRESS(1236,13))+INDIRECT(ADDRESS(1234,14))-INDIRECT(ADDRESS(1235,14))</f>
        <v>0</v>
      </c>
      <c r="O1236">
        <f>INDIRECT(ADDRESS(1236,14))+INDIRECT(ADDRESS(1234,15))-INDIRECT(ADDRESS(1235,15))</f>
        <v>0</v>
      </c>
      <c r="P1236">
        <f>INDIRECT(ADDRESS(1236,15))+INDIRECT(ADDRESS(1234,16))-INDIRECT(ADDRESS(1235,16))</f>
        <v>0</v>
      </c>
      <c r="Q1236">
        <f>INDIRECT(ADDRESS(1236,16))+INDIRECT(ADDRESS(1234,17))-INDIRECT(ADDRESS(1235,17))</f>
        <v>0</v>
      </c>
      <c r="R1236">
        <f>INDIRECT(ADDRESS(1236,17))+INDIRECT(ADDRESS(1234,18))-INDIRECT(ADDRESS(1235,18))</f>
        <v>0</v>
      </c>
      <c r="S1236">
        <f>INDIRECT(ADDRESS(1236,18))+INDIRECT(ADDRESS(1234,19))-INDIRECT(ADDRESS(1235,19))</f>
        <v>0</v>
      </c>
      <c r="T1236">
        <f>INDIRECT(ADDRESS(1236,19))+INDIRECT(ADDRESS(1234,20))-INDIRECT(ADDRESS(1235,20))</f>
        <v>0</v>
      </c>
      <c r="U1236">
        <f>INDIRECT(ADDRESS(1236,20))+INDIRECT(ADDRESS(1234,21))-INDIRECT(ADDRESS(1235,21))</f>
        <v>0</v>
      </c>
      <c r="V1236">
        <f>INDIRECT(ADDRESS(1236,21))+INDIRECT(ADDRESS(1234,22))-INDIRECT(ADDRESS(1235,22))</f>
        <v>0</v>
      </c>
      <c r="W1236">
        <f>INDIRECT(ADDRESS(1236,22))+INDIRECT(ADDRESS(1234,23))-INDIRECT(ADDRESS(1235,23))</f>
        <v>0</v>
      </c>
      <c r="X1236">
        <f>INDIRECT(ADDRESS(1236,23))+INDIRECT(ADDRESS(1234,24))-INDIRECT(ADDRESS(1235,24))</f>
        <v>0</v>
      </c>
      <c r="Y1236">
        <f>INDIRECT(ADDRESS(1236,24))+INDIRECT(ADDRESS(1234,25))-INDIRECT(ADDRESS(1235,25))</f>
        <v>0</v>
      </c>
      <c r="Z1236">
        <f>INDIRECT(ADDRESS(1236,25))+INDIRECT(ADDRESS(1234,26))-INDIRECT(ADDRESS(1235,26))</f>
        <v>0</v>
      </c>
      <c r="AA1236">
        <f>INDIRECT(ADDRESS(1236,26))+INDIRECT(ADDRESS(1234,27))-INDIRECT(ADDRESS(1235,27))</f>
        <v>0</v>
      </c>
      <c r="AB1236">
        <f>INDIRECT(ADDRESS(1236,27))+INDIRECT(ADDRESS(1234,28))-INDIRECT(ADDRESS(1235,28))</f>
        <v>0</v>
      </c>
      <c r="AC1236">
        <f>INDIRECT(ADDRESS(1236,28))+INDIRECT(ADDRESS(1234,29))-INDIRECT(ADDRESS(1235,29))</f>
        <v>0</v>
      </c>
      <c r="AD1236">
        <f>INDIRECT(ADDRESS(1236,29))+INDIRECT(ADDRESS(1234,30))-INDIRECT(ADDRESS(1235,30))</f>
        <v>0</v>
      </c>
      <c r="AE1236">
        <f>INDIRECT(ADDRESS(1236,30))+INDIRECT(ADDRESS(1234,31))-INDIRECT(ADDRESS(1235,31))</f>
        <v>0</v>
      </c>
      <c r="AF1236">
        <f>INDIRECT(ADDRESS(1236,31))+INDIRECT(ADDRESS(1234,32))-INDIRECT(ADDRESS(1235,32))</f>
        <v>0</v>
      </c>
      <c r="AG1236">
        <f>INDIRECT(ADDRESS(1236,32))+INDIRECT(ADDRESS(1234,33))-INDIRECT(ADDRESS(1235,33))</f>
        <v>0</v>
      </c>
      <c r="AH1236">
        <f>INDIRECT(ADDRESS(1236,33))+INDIRECT(ADDRESS(1234,34))-INDIRECT(ADDRESS(1235,34))</f>
        <v>0</v>
      </c>
      <c r="AI1236">
        <f>INDIRECT(ADDRESS(1236,34))+INDIRECT(ADDRESS(1234,35))-INDIRECT(ADDRESS(1235,35))</f>
        <v>0</v>
      </c>
      <c r="AJ1236">
        <f>INDIRECT(ADDRESS(1236,35))+INDIRECT(ADDRESS(1234,36))-INDIRECT(ADDRESS(1235,36))</f>
        <v>0</v>
      </c>
      <c r="AK1236">
        <f>INDIRECT(ADDRESS(1236,36))+INDIRECT(ADDRESS(1234,37))-INDIRECT(ADDRESS(1235,37))</f>
        <v>0</v>
      </c>
      <c r="AL1236">
        <f>INDIRECT(ADDRESS(1236,37))+INDIRECT(ADDRESS(1234,38))-INDIRECT(ADDRESS(1235,38))</f>
        <v>0</v>
      </c>
      <c r="AM1236">
        <f>INDIRECT(ADDRESS(1236,38))+INDIRECT(ADDRESS(1234,39))-INDIRECT(ADDRESS(1235,39))</f>
        <v>0</v>
      </c>
      <c r="AN1236">
        <f>INDIRECT(ADDRESS(1236,39))+INDIRECT(ADDRESS(1234,40))-INDIRECT(ADDRESS(1235,40))</f>
        <v>0</v>
      </c>
      <c r="AO1236">
        <f>SUM(INDIRECT(ADDRESS(1235,8)):INDIRECT(ADDRESS(1235,39)))</f>
        <v>0</v>
      </c>
    </row>
    <row r="1237" spans="1:41">
      <c r="A1237" t="s">
        <v>8</v>
      </c>
      <c r="B1237" t="s">
        <v>99</v>
      </c>
      <c r="C1237" t="s">
        <v>100</v>
      </c>
      <c r="E1237">
        <v>1</v>
      </c>
      <c r="I1237" t="s">
        <v>177</v>
      </c>
    </row>
    <row r="1238" spans="1:41">
      <c r="I1238" t="s">
        <v>178</v>
      </c>
      <c r="J1238">
        <f>IFERROR(VLOOKUP("906-793000-100",Out!B:AB,1+8,0),0)</f>
        <v>0</v>
      </c>
      <c r="K1238">
        <f>IFERROR(VLOOKUP("906-793000-100",Out!B:AB,2+8,0),0)</f>
        <v>0</v>
      </c>
      <c r="L1238">
        <f>IFERROR(VLOOKUP("906-793000-100",Out!B:AB,3+8,0),0)</f>
        <v>0</v>
      </c>
      <c r="M1238">
        <f>IFERROR(VLOOKUP("906-793000-100",Out!B:AB,4+8,0),0)</f>
        <v>0</v>
      </c>
      <c r="N1238">
        <f>IFERROR(VLOOKUP("906-793000-100",Out!B:AB,5+8,0),0)</f>
        <v>0</v>
      </c>
      <c r="O1238">
        <f>IFERROR(VLOOKUP("906-793000-100",Out!B:AB,6+8,0),0)</f>
        <v>0</v>
      </c>
      <c r="P1238">
        <f>IFERROR(VLOOKUP("906-793000-100",Out!B:AB,7+8,0),0)</f>
        <v>0</v>
      </c>
      <c r="Q1238">
        <f>IFERROR(VLOOKUP("906-793000-100",Out!B:AB,8+8,0),0)</f>
        <v>0</v>
      </c>
      <c r="R1238">
        <f>IFERROR(VLOOKUP("906-793000-100",Out!B:AB,9+8,0),0)</f>
        <v>0</v>
      </c>
      <c r="S1238">
        <f>IFERROR(VLOOKUP("906-793000-100",Out!B:AB,10+8,0),0)</f>
        <v>0</v>
      </c>
      <c r="T1238">
        <f>IFERROR(VLOOKUP("906-793000-100",Out!B:AB,11+8,0),0)</f>
        <v>0</v>
      </c>
      <c r="U1238">
        <f>IFERROR(VLOOKUP("906-793000-100",Out!B:AB,12+8,0),0)</f>
        <v>0</v>
      </c>
      <c r="V1238">
        <f>IFERROR(VLOOKUP("906-793000-100",Out!B:AB,13+8,0),0)</f>
        <v>0</v>
      </c>
      <c r="W1238">
        <f>IFERROR(VLOOKUP("906-793000-100",Out!B:AB,14+8,0),0)</f>
        <v>0</v>
      </c>
      <c r="X1238">
        <f>IFERROR(VLOOKUP("906-793000-100",Out!B:AB,15+8,0),0)</f>
        <v>0</v>
      </c>
      <c r="Y1238">
        <f>IFERROR(VLOOKUP("906-793000-100",Out!B:AB,16+8,0),0)</f>
        <v>0</v>
      </c>
      <c r="Z1238">
        <f>IFERROR(VLOOKUP("906-793000-100",Out!B:AB,17+8,0),0)</f>
        <v>0</v>
      </c>
      <c r="AA1238">
        <f>IFERROR(VLOOKUP("906-793000-100",Out!B:AB,18+8,0),0)</f>
        <v>0</v>
      </c>
      <c r="AB1238">
        <f>IFERROR(VLOOKUP("906-793000-100",Out!B:AB,19+8,0),0)</f>
        <v>0</v>
      </c>
      <c r="AC1238">
        <f>IFERROR(VLOOKUP("906-793000-100",Out!B:AB,20+8,0),0)</f>
        <v>0</v>
      </c>
      <c r="AD1238">
        <f>IFERROR(VLOOKUP("906-793000-100",Out!B:AB,21+8,0),0)</f>
        <v>0</v>
      </c>
      <c r="AE1238">
        <f>IFERROR(VLOOKUP("906-793000-100",Out!B:AB,22+8,0),0)</f>
        <v>0</v>
      </c>
      <c r="AF1238">
        <f>IFERROR(VLOOKUP("906-793000-100",Out!B:AB,23+8,0),0)</f>
        <v>0</v>
      </c>
      <c r="AG1238">
        <f>IFERROR(VLOOKUP("906-793000-100",Out!B:AB,24+8,0),0)</f>
        <v>0</v>
      </c>
      <c r="AH1238">
        <f>IFERROR(VLOOKUP("906-793000-100",Out!B:AB,25+8,0),0)</f>
        <v>0</v>
      </c>
      <c r="AI1238">
        <f>IFERROR(VLOOKUP("906-793000-100",Out!B:AB,26+8,0),0)</f>
        <v>0</v>
      </c>
      <c r="AJ1238">
        <f>IFERROR(VLOOKUP("906-793000-100",Out!B:AB,27+8,0),0)</f>
        <v>0</v>
      </c>
      <c r="AK1238">
        <f>IFERROR(VLOOKUP("906-793000-100",Out!B:AB,28+8,0),0)</f>
        <v>0</v>
      </c>
      <c r="AL1238">
        <f>IFERROR(VLOOKUP("906-793000-100",Out!B:AB,29+8,0),0)</f>
        <v>0</v>
      </c>
      <c r="AM1238">
        <f>IFERROR(VLOOKUP("906-793000-100",Out!B:AB,30+8,0),0)</f>
        <v>0</v>
      </c>
      <c r="AN1238">
        <f>IFERROR(VLOOKUP("906-793000-100",Out!B:AB,31+8,0),0)</f>
        <v>0</v>
      </c>
      <c r="AO1238">
        <f>SUN(INDIRECT(ADDRESS(1237,8)):INDIRECT(ADDRESS(1237,39)))</f>
        <v>0</v>
      </c>
    </row>
    <row r="1239" spans="1:41">
      <c r="H1239" t="s">
        <v>179</v>
      </c>
      <c r="J1239">
        <f>INDIRECT(ADDRESS(1239,9))+INDIRECT(ADDRESS(1237,10))-INDIRECT(ADDRESS(1238,10))</f>
        <v>0</v>
      </c>
      <c r="K1239">
        <f>INDIRECT(ADDRESS(1239,10))+INDIRECT(ADDRESS(1237,11))-INDIRECT(ADDRESS(1238,11))</f>
        <v>0</v>
      </c>
      <c r="L1239">
        <f>INDIRECT(ADDRESS(1239,11))+INDIRECT(ADDRESS(1237,12))-INDIRECT(ADDRESS(1238,12))</f>
        <v>0</v>
      </c>
      <c r="M1239">
        <f>INDIRECT(ADDRESS(1239,12))+INDIRECT(ADDRESS(1237,13))-INDIRECT(ADDRESS(1238,13))</f>
        <v>0</v>
      </c>
      <c r="N1239">
        <f>INDIRECT(ADDRESS(1239,13))+INDIRECT(ADDRESS(1237,14))-INDIRECT(ADDRESS(1238,14))</f>
        <v>0</v>
      </c>
      <c r="O1239">
        <f>INDIRECT(ADDRESS(1239,14))+INDIRECT(ADDRESS(1237,15))-INDIRECT(ADDRESS(1238,15))</f>
        <v>0</v>
      </c>
      <c r="P1239">
        <f>INDIRECT(ADDRESS(1239,15))+INDIRECT(ADDRESS(1237,16))-INDIRECT(ADDRESS(1238,16))</f>
        <v>0</v>
      </c>
      <c r="Q1239">
        <f>INDIRECT(ADDRESS(1239,16))+INDIRECT(ADDRESS(1237,17))-INDIRECT(ADDRESS(1238,17))</f>
        <v>0</v>
      </c>
      <c r="R1239">
        <f>INDIRECT(ADDRESS(1239,17))+INDIRECT(ADDRESS(1237,18))-INDIRECT(ADDRESS(1238,18))</f>
        <v>0</v>
      </c>
      <c r="S1239">
        <f>INDIRECT(ADDRESS(1239,18))+INDIRECT(ADDRESS(1237,19))-INDIRECT(ADDRESS(1238,19))</f>
        <v>0</v>
      </c>
      <c r="T1239">
        <f>INDIRECT(ADDRESS(1239,19))+INDIRECT(ADDRESS(1237,20))-INDIRECT(ADDRESS(1238,20))</f>
        <v>0</v>
      </c>
      <c r="U1239">
        <f>INDIRECT(ADDRESS(1239,20))+INDIRECT(ADDRESS(1237,21))-INDIRECT(ADDRESS(1238,21))</f>
        <v>0</v>
      </c>
      <c r="V1239">
        <f>INDIRECT(ADDRESS(1239,21))+INDIRECT(ADDRESS(1237,22))-INDIRECT(ADDRESS(1238,22))</f>
        <v>0</v>
      </c>
      <c r="W1239">
        <f>INDIRECT(ADDRESS(1239,22))+INDIRECT(ADDRESS(1237,23))-INDIRECT(ADDRESS(1238,23))</f>
        <v>0</v>
      </c>
      <c r="X1239">
        <f>INDIRECT(ADDRESS(1239,23))+INDIRECT(ADDRESS(1237,24))-INDIRECT(ADDRESS(1238,24))</f>
        <v>0</v>
      </c>
      <c r="Y1239">
        <f>INDIRECT(ADDRESS(1239,24))+INDIRECT(ADDRESS(1237,25))-INDIRECT(ADDRESS(1238,25))</f>
        <v>0</v>
      </c>
      <c r="Z1239">
        <f>INDIRECT(ADDRESS(1239,25))+INDIRECT(ADDRESS(1237,26))-INDIRECT(ADDRESS(1238,26))</f>
        <v>0</v>
      </c>
      <c r="AA1239">
        <f>INDIRECT(ADDRESS(1239,26))+INDIRECT(ADDRESS(1237,27))-INDIRECT(ADDRESS(1238,27))</f>
        <v>0</v>
      </c>
      <c r="AB1239">
        <f>INDIRECT(ADDRESS(1239,27))+INDIRECT(ADDRESS(1237,28))-INDIRECT(ADDRESS(1238,28))</f>
        <v>0</v>
      </c>
      <c r="AC1239">
        <f>INDIRECT(ADDRESS(1239,28))+INDIRECT(ADDRESS(1237,29))-INDIRECT(ADDRESS(1238,29))</f>
        <v>0</v>
      </c>
      <c r="AD1239">
        <f>INDIRECT(ADDRESS(1239,29))+INDIRECT(ADDRESS(1237,30))-INDIRECT(ADDRESS(1238,30))</f>
        <v>0</v>
      </c>
      <c r="AE1239">
        <f>INDIRECT(ADDRESS(1239,30))+INDIRECT(ADDRESS(1237,31))-INDIRECT(ADDRESS(1238,31))</f>
        <v>0</v>
      </c>
      <c r="AF1239">
        <f>INDIRECT(ADDRESS(1239,31))+INDIRECT(ADDRESS(1237,32))-INDIRECT(ADDRESS(1238,32))</f>
        <v>0</v>
      </c>
      <c r="AG1239">
        <f>INDIRECT(ADDRESS(1239,32))+INDIRECT(ADDRESS(1237,33))-INDIRECT(ADDRESS(1238,33))</f>
        <v>0</v>
      </c>
      <c r="AH1239">
        <f>INDIRECT(ADDRESS(1239,33))+INDIRECT(ADDRESS(1237,34))-INDIRECT(ADDRESS(1238,34))</f>
        <v>0</v>
      </c>
      <c r="AI1239">
        <f>INDIRECT(ADDRESS(1239,34))+INDIRECT(ADDRESS(1237,35))-INDIRECT(ADDRESS(1238,35))</f>
        <v>0</v>
      </c>
      <c r="AJ1239">
        <f>INDIRECT(ADDRESS(1239,35))+INDIRECT(ADDRESS(1237,36))-INDIRECT(ADDRESS(1238,36))</f>
        <v>0</v>
      </c>
      <c r="AK1239">
        <f>INDIRECT(ADDRESS(1239,36))+INDIRECT(ADDRESS(1237,37))-INDIRECT(ADDRESS(1238,37))</f>
        <v>0</v>
      </c>
      <c r="AL1239">
        <f>INDIRECT(ADDRESS(1239,37))+INDIRECT(ADDRESS(1237,38))-INDIRECT(ADDRESS(1238,38))</f>
        <v>0</v>
      </c>
      <c r="AM1239">
        <f>INDIRECT(ADDRESS(1239,38))+INDIRECT(ADDRESS(1237,39))-INDIRECT(ADDRESS(1238,39))</f>
        <v>0</v>
      </c>
      <c r="AN1239">
        <f>INDIRECT(ADDRESS(1239,39))+INDIRECT(ADDRESS(1237,40))-INDIRECT(ADDRESS(1238,40))</f>
        <v>0</v>
      </c>
      <c r="AO1239">
        <f>SUM(INDIRECT(ADDRESS(1238,8)):INDIRECT(ADDRESS(1238,39)))</f>
        <v>0</v>
      </c>
    </row>
    <row r="1240" spans="1:41">
      <c r="A1240" t="s">
        <v>8</v>
      </c>
      <c r="B1240" t="s">
        <v>101</v>
      </c>
      <c r="C1240" t="s">
        <v>102</v>
      </c>
      <c r="E1240">
        <v>1</v>
      </c>
      <c r="I1240" t="s">
        <v>177</v>
      </c>
    </row>
    <row r="1241" spans="1:41">
      <c r="I1241" t="s">
        <v>178</v>
      </c>
      <c r="J1241">
        <f>IFERROR(VLOOKUP("906-091000-110",Out!B:AB,1+8,0),0)</f>
        <v>0</v>
      </c>
      <c r="K1241">
        <f>IFERROR(VLOOKUP("906-091000-110",Out!B:AB,2+8,0),0)</f>
        <v>0</v>
      </c>
      <c r="L1241">
        <f>IFERROR(VLOOKUP("906-091000-110",Out!B:AB,3+8,0),0)</f>
        <v>0</v>
      </c>
      <c r="M1241">
        <f>IFERROR(VLOOKUP("906-091000-110",Out!B:AB,4+8,0),0)</f>
        <v>0</v>
      </c>
      <c r="N1241">
        <f>IFERROR(VLOOKUP("906-091000-110",Out!B:AB,5+8,0),0)</f>
        <v>0</v>
      </c>
      <c r="O1241">
        <f>IFERROR(VLOOKUP("906-091000-110",Out!B:AB,6+8,0),0)</f>
        <v>0</v>
      </c>
      <c r="P1241">
        <f>IFERROR(VLOOKUP("906-091000-110",Out!B:AB,7+8,0),0)</f>
        <v>0</v>
      </c>
      <c r="Q1241">
        <f>IFERROR(VLOOKUP("906-091000-110",Out!B:AB,8+8,0),0)</f>
        <v>0</v>
      </c>
      <c r="R1241">
        <f>IFERROR(VLOOKUP("906-091000-110",Out!B:AB,9+8,0),0)</f>
        <v>0</v>
      </c>
      <c r="S1241">
        <f>IFERROR(VLOOKUP("906-091000-110",Out!B:AB,10+8,0),0)</f>
        <v>0</v>
      </c>
      <c r="T1241">
        <f>IFERROR(VLOOKUP("906-091000-110",Out!B:AB,11+8,0),0)</f>
        <v>0</v>
      </c>
      <c r="U1241">
        <f>IFERROR(VLOOKUP("906-091000-110",Out!B:AB,12+8,0),0)</f>
        <v>0</v>
      </c>
      <c r="V1241">
        <f>IFERROR(VLOOKUP("906-091000-110",Out!B:AB,13+8,0),0)</f>
        <v>0</v>
      </c>
      <c r="W1241">
        <f>IFERROR(VLOOKUP("906-091000-110",Out!B:AB,14+8,0),0)</f>
        <v>0</v>
      </c>
      <c r="X1241">
        <f>IFERROR(VLOOKUP("906-091000-110",Out!B:AB,15+8,0),0)</f>
        <v>0</v>
      </c>
      <c r="Y1241">
        <f>IFERROR(VLOOKUP("906-091000-110",Out!B:AB,16+8,0),0)</f>
        <v>0</v>
      </c>
      <c r="Z1241">
        <f>IFERROR(VLOOKUP("906-091000-110",Out!B:AB,17+8,0),0)</f>
        <v>0</v>
      </c>
      <c r="AA1241">
        <f>IFERROR(VLOOKUP("906-091000-110",Out!B:AB,18+8,0),0)</f>
        <v>0</v>
      </c>
      <c r="AB1241">
        <f>IFERROR(VLOOKUP("906-091000-110",Out!B:AB,19+8,0),0)</f>
        <v>0</v>
      </c>
      <c r="AC1241">
        <f>IFERROR(VLOOKUP("906-091000-110",Out!B:AB,20+8,0),0)</f>
        <v>0</v>
      </c>
      <c r="AD1241">
        <f>IFERROR(VLOOKUP("906-091000-110",Out!B:AB,21+8,0),0)</f>
        <v>0</v>
      </c>
      <c r="AE1241">
        <f>IFERROR(VLOOKUP("906-091000-110",Out!B:AB,22+8,0),0)</f>
        <v>0</v>
      </c>
      <c r="AF1241">
        <f>IFERROR(VLOOKUP("906-091000-110",Out!B:AB,23+8,0),0)</f>
        <v>0</v>
      </c>
      <c r="AG1241">
        <f>IFERROR(VLOOKUP("906-091000-110",Out!B:AB,24+8,0),0)</f>
        <v>0</v>
      </c>
      <c r="AH1241">
        <f>IFERROR(VLOOKUP("906-091000-110",Out!B:AB,25+8,0),0)</f>
        <v>0</v>
      </c>
      <c r="AI1241">
        <f>IFERROR(VLOOKUP("906-091000-110",Out!B:AB,26+8,0),0)</f>
        <v>0</v>
      </c>
      <c r="AJ1241">
        <f>IFERROR(VLOOKUP("906-091000-110",Out!B:AB,27+8,0),0)</f>
        <v>0</v>
      </c>
      <c r="AK1241">
        <f>IFERROR(VLOOKUP("906-091000-110",Out!B:AB,28+8,0),0)</f>
        <v>0</v>
      </c>
      <c r="AL1241">
        <f>IFERROR(VLOOKUP("906-091000-110",Out!B:AB,29+8,0),0)</f>
        <v>0</v>
      </c>
      <c r="AM1241">
        <f>IFERROR(VLOOKUP("906-091000-110",Out!B:AB,30+8,0),0)</f>
        <v>0</v>
      </c>
      <c r="AN1241">
        <f>IFERROR(VLOOKUP("906-091000-110",Out!B:AB,31+8,0),0)</f>
        <v>0</v>
      </c>
      <c r="AO1241">
        <f>SUN(INDIRECT(ADDRESS(1240,8)):INDIRECT(ADDRESS(1240,39)))</f>
        <v>0</v>
      </c>
    </row>
    <row r="1242" spans="1:41">
      <c r="H1242" t="s">
        <v>179</v>
      </c>
      <c r="J1242">
        <f>INDIRECT(ADDRESS(1242,9))+INDIRECT(ADDRESS(1240,10))-INDIRECT(ADDRESS(1241,10))</f>
        <v>0</v>
      </c>
      <c r="K1242">
        <f>INDIRECT(ADDRESS(1242,10))+INDIRECT(ADDRESS(1240,11))-INDIRECT(ADDRESS(1241,11))</f>
        <v>0</v>
      </c>
      <c r="L1242">
        <f>INDIRECT(ADDRESS(1242,11))+INDIRECT(ADDRESS(1240,12))-INDIRECT(ADDRESS(1241,12))</f>
        <v>0</v>
      </c>
      <c r="M1242">
        <f>INDIRECT(ADDRESS(1242,12))+INDIRECT(ADDRESS(1240,13))-INDIRECT(ADDRESS(1241,13))</f>
        <v>0</v>
      </c>
      <c r="N1242">
        <f>INDIRECT(ADDRESS(1242,13))+INDIRECT(ADDRESS(1240,14))-INDIRECT(ADDRESS(1241,14))</f>
        <v>0</v>
      </c>
      <c r="O1242">
        <f>INDIRECT(ADDRESS(1242,14))+INDIRECT(ADDRESS(1240,15))-INDIRECT(ADDRESS(1241,15))</f>
        <v>0</v>
      </c>
      <c r="P1242">
        <f>INDIRECT(ADDRESS(1242,15))+INDIRECT(ADDRESS(1240,16))-INDIRECT(ADDRESS(1241,16))</f>
        <v>0</v>
      </c>
      <c r="Q1242">
        <f>INDIRECT(ADDRESS(1242,16))+INDIRECT(ADDRESS(1240,17))-INDIRECT(ADDRESS(1241,17))</f>
        <v>0</v>
      </c>
      <c r="R1242">
        <f>INDIRECT(ADDRESS(1242,17))+INDIRECT(ADDRESS(1240,18))-INDIRECT(ADDRESS(1241,18))</f>
        <v>0</v>
      </c>
      <c r="S1242">
        <f>INDIRECT(ADDRESS(1242,18))+INDIRECT(ADDRESS(1240,19))-INDIRECT(ADDRESS(1241,19))</f>
        <v>0</v>
      </c>
      <c r="T1242">
        <f>INDIRECT(ADDRESS(1242,19))+INDIRECT(ADDRESS(1240,20))-INDIRECT(ADDRESS(1241,20))</f>
        <v>0</v>
      </c>
      <c r="U1242">
        <f>INDIRECT(ADDRESS(1242,20))+INDIRECT(ADDRESS(1240,21))-INDIRECT(ADDRESS(1241,21))</f>
        <v>0</v>
      </c>
      <c r="V1242">
        <f>INDIRECT(ADDRESS(1242,21))+INDIRECT(ADDRESS(1240,22))-INDIRECT(ADDRESS(1241,22))</f>
        <v>0</v>
      </c>
      <c r="W1242">
        <f>INDIRECT(ADDRESS(1242,22))+INDIRECT(ADDRESS(1240,23))-INDIRECT(ADDRESS(1241,23))</f>
        <v>0</v>
      </c>
      <c r="X1242">
        <f>INDIRECT(ADDRESS(1242,23))+INDIRECT(ADDRESS(1240,24))-INDIRECT(ADDRESS(1241,24))</f>
        <v>0</v>
      </c>
      <c r="Y1242">
        <f>INDIRECT(ADDRESS(1242,24))+INDIRECT(ADDRESS(1240,25))-INDIRECT(ADDRESS(1241,25))</f>
        <v>0</v>
      </c>
      <c r="Z1242">
        <f>INDIRECT(ADDRESS(1242,25))+INDIRECT(ADDRESS(1240,26))-INDIRECT(ADDRESS(1241,26))</f>
        <v>0</v>
      </c>
      <c r="AA1242">
        <f>INDIRECT(ADDRESS(1242,26))+INDIRECT(ADDRESS(1240,27))-INDIRECT(ADDRESS(1241,27))</f>
        <v>0</v>
      </c>
      <c r="AB1242">
        <f>INDIRECT(ADDRESS(1242,27))+INDIRECT(ADDRESS(1240,28))-INDIRECT(ADDRESS(1241,28))</f>
        <v>0</v>
      </c>
      <c r="AC1242">
        <f>INDIRECT(ADDRESS(1242,28))+INDIRECT(ADDRESS(1240,29))-INDIRECT(ADDRESS(1241,29))</f>
        <v>0</v>
      </c>
      <c r="AD1242">
        <f>INDIRECT(ADDRESS(1242,29))+INDIRECT(ADDRESS(1240,30))-INDIRECT(ADDRESS(1241,30))</f>
        <v>0</v>
      </c>
      <c r="AE1242">
        <f>INDIRECT(ADDRESS(1242,30))+INDIRECT(ADDRESS(1240,31))-INDIRECT(ADDRESS(1241,31))</f>
        <v>0</v>
      </c>
      <c r="AF1242">
        <f>INDIRECT(ADDRESS(1242,31))+INDIRECT(ADDRESS(1240,32))-INDIRECT(ADDRESS(1241,32))</f>
        <v>0</v>
      </c>
      <c r="AG1242">
        <f>INDIRECT(ADDRESS(1242,32))+INDIRECT(ADDRESS(1240,33))-INDIRECT(ADDRESS(1241,33))</f>
        <v>0</v>
      </c>
      <c r="AH1242">
        <f>INDIRECT(ADDRESS(1242,33))+INDIRECT(ADDRESS(1240,34))-INDIRECT(ADDRESS(1241,34))</f>
        <v>0</v>
      </c>
      <c r="AI1242">
        <f>INDIRECT(ADDRESS(1242,34))+INDIRECT(ADDRESS(1240,35))-INDIRECT(ADDRESS(1241,35))</f>
        <v>0</v>
      </c>
      <c r="AJ1242">
        <f>INDIRECT(ADDRESS(1242,35))+INDIRECT(ADDRESS(1240,36))-INDIRECT(ADDRESS(1241,36))</f>
        <v>0</v>
      </c>
      <c r="AK1242">
        <f>INDIRECT(ADDRESS(1242,36))+INDIRECT(ADDRESS(1240,37))-INDIRECT(ADDRESS(1241,37))</f>
        <v>0</v>
      </c>
      <c r="AL1242">
        <f>INDIRECT(ADDRESS(1242,37))+INDIRECT(ADDRESS(1240,38))-INDIRECT(ADDRESS(1241,38))</f>
        <v>0</v>
      </c>
      <c r="AM1242">
        <f>INDIRECT(ADDRESS(1242,38))+INDIRECT(ADDRESS(1240,39))-INDIRECT(ADDRESS(1241,39))</f>
        <v>0</v>
      </c>
      <c r="AN1242">
        <f>INDIRECT(ADDRESS(1242,39))+INDIRECT(ADDRESS(1240,40))-INDIRECT(ADDRESS(1241,40))</f>
        <v>0</v>
      </c>
      <c r="AO1242">
        <f>SUM(INDIRECT(ADDRESS(1241,8)):INDIRECT(ADDRESS(1241,39)))</f>
        <v>0</v>
      </c>
    </row>
    <row r="1243" spans="1:41">
      <c r="A1243" t="s">
        <v>180</v>
      </c>
      <c r="B1243" t="s">
        <v>620</v>
      </c>
      <c r="C1243" t="s">
        <v>621</v>
      </c>
      <c r="E1243">
        <v>1</v>
      </c>
      <c r="I1243" t="s">
        <v>177</v>
      </c>
    </row>
    <row r="1244" spans="1:41">
      <c r="I1244" t="s">
        <v>178</v>
      </c>
      <c r="J1244">
        <f>IFERROR(VLOOKUP("906-091000-110",B:AB,1+8,0),0)</f>
        <v>0</v>
      </c>
      <c r="K1244">
        <f>IFERROR(VLOOKUP("906-091000-110",B:AB,2+8,0),0)</f>
        <v>0</v>
      </c>
      <c r="L1244">
        <f>IFERROR(VLOOKUP("906-091000-110",B:AB,3+8,0),0)</f>
        <v>0</v>
      </c>
      <c r="M1244">
        <f>IFERROR(VLOOKUP("906-091000-110",B:AB,4+8,0),0)</f>
        <v>0</v>
      </c>
      <c r="N1244">
        <f>IFERROR(VLOOKUP("906-091000-110",B:AB,5+8,0),0)</f>
        <v>0</v>
      </c>
      <c r="O1244">
        <f>IFERROR(VLOOKUP("906-091000-110",B:AB,6+8,0),0)</f>
        <v>0</v>
      </c>
      <c r="P1244">
        <f>IFERROR(VLOOKUP("906-091000-110",B:AB,7+8,0),0)</f>
        <v>0</v>
      </c>
      <c r="Q1244">
        <f>IFERROR(VLOOKUP("906-091000-110",B:AB,8+8,0),0)</f>
        <v>0</v>
      </c>
      <c r="R1244">
        <f>IFERROR(VLOOKUP("906-091000-110",B:AB,9+8,0),0)</f>
        <v>0</v>
      </c>
      <c r="S1244">
        <f>IFERROR(VLOOKUP("906-091000-110",B:AB,10+8,0),0)</f>
        <v>0</v>
      </c>
      <c r="T1244">
        <f>IFERROR(VLOOKUP("906-091000-110",B:AB,11+8,0),0)</f>
        <v>0</v>
      </c>
      <c r="U1244">
        <f>IFERROR(VLOOKUP("906-091000-110",B:AB,12+8,0),0)</f>
        <v>0</v>
      </c>
      <c r="V1244">
        <f>IFERROR(VLOOKUP("906-091000-110",B:AB,13+8,0),0)</f>
        <v>0</v>
      </c>
      <c r="W1244">
        <f>IFERROR(VLOOKUP("906-091000-110",B:AB,14+8,0),0)</f>
        <v>0</v>
      </c>
      <c r="X1244">
        <f>IFERROR(VLOOKUP("906-091000-110",B:AB,15+8,0),0)</f>
        <v>0</v>
      </c>
      <c r="Y1244">
        <f>IFERROR(VLOOKUP("906-091000-110",B:AB,16+8,0),0)</f>
        <v>0</v>
      </c>
      <c r="Z1244">
        <f>IFERROR(VLOOKUP("906-091000-110",B:AB,17+8,0),0)</f>
        <v>0</v>
      </c>
      <c r="AA1244">
        <f>IFERROR(VLOOKUP("906-091000-110",B:AB,18+8,0),0)</f>
        <v>0</v>
      </c>
      <c r="AB1244">
        <f>IFERROR(VLOOKUP("906-091000-110",B:AB,19+8,0),0)</f>
        <v>0</v>
      </c>
      <c r="AC1244">
        <f>IFERROR(VLOOKUP("906-091000-110",B:AB,20+8,0),0)</f>
        <v>0</v>
      </c>
      <c r="AD1244">
        <f>IFERROR(VLOOKUP("906-091000-110",B:AB,21+8,0),0)</f>
        <v>0</v>
      </c>
      <c r="AE1244">
        <f>IFERROR(VLOOKUP("906-091000-110",B:AB,22+8,0),0)</f>
        <v>0</v>
      </c>
      <c r="AF1244">
        <f>IFERROR(VLOOKUP("906-091000-110",B:AB,23+8,0),0)</f>
        <v>0</v>
      </c>
      <c r="AG1244">
        <f>IFERROR(VLOOKUP("906-091000-110",B:AB,24+8,0),0)</f>
        <v>0</v>
      </c>
      <c r="AH1244">
        <f>IFERROR(VLOOKUP("906-091000-110",B:AB,25+8,0),0)</f>
        <v>0</v>
      </c>
      <c r="AI1244">
        <f>IFERROR(VLOOKUP("906-091000-110",B:AB,26+8,0),0)</f>
        <v>0</v>
      </c>
      <c r="AJ1244">
        <f>IFERROR(VLOOKUP("906-091000-110",B:AB,27+8,0),0)</f>
        <v>0</v>
      </c>
      <c r="AK1244">
        <f>IFERROR(VLOOKUP("906-091000-110",B:AB,28+8,0),0)</f>
        <v>0</v>
      </c>
      <c r="AL1244">
        <f>IFERROR(VLOOKUP("906-091000-110",B:AB,29+8,0),0)</f>
        <v>0</v>
      </c>
      <c r="AM1244">
        <f>IFERROR(VLOOKUP("906-091000-110",B:AB,30+8,0),0)</f>
        <v>0</v>
      </c>
      <c r="AN1244">
        <f>IFERROR(VLOOKUP("906-091000-110",B:AB,31+8,0),0)</f>
        <v>0</v>
      </c>
      <c r="AO1244">
        <f>SUN(INDIRECT(ADDRESS(1243,8)):INDIRECT(ADDRESS(1243,39)))</f>
        <v>0</v>
      </c>
    </row>
    <row r="1245" spans="1:41">
      <c r="H1245" t="s">
        <v>179</v>
      </c>
      <c r="J1245">
        <f>INDIRECT(ADDRESS(1245,9))+INDIRECT(ADDRESS(1243,10))-INDIRECT(ADDRESS(1244,10))</f>
        <v>0</v>
      </c>
      <c r="K1245">
        <f>INDIRECT(ADDRESS(1245,10))+INDIRECT(ADDRESS(1243,11))-INDIRECT(ADDRESS(1244,11))</f>
        <v>0</v>
      </c>
      <c r="L1245">
        <f>INDIRECT(ADDRESS(1245,11))+INDIRECT(ADDRESS(1243,12))-INDIRECT(ADDRESS(1244,12))</f>
        <v>0</v>
      </c>
      <c r="M1245">
        <f>INDIRECT(ADDRESS(1245,12))+INDIRECT(ADDRESS(1243,13))-INDIRECT(ADDRESS(1244,13))</f>
        <v>0</v>
      </c>
      <c r="N1245">
        <f>INDIRECT(ADDRESS(1245,13))+INDIRECT(ADDRESS(1243,14))-INDIRECT(ADDRESS(1244,14))</f>
        <v>0</v>
      </c>
      <c r="O1245">
        <f>INDIRECT(ADDRESS(1245,14))+INDIRECT(ADDRESS(1243,15))-INDIRECT(ADDRESS(1244,15))</f>
        <v>0</v>
      </c>
      <c r="P1245">
        <f>INDIRECT(ADDRESS(1245,15))+INDIRECT(ADDRESS(1243,16))-INDIRECT(ADDRESS(1244,16))</f>
        <v>0</v>
      </c>
      <c r="Q1245">
        <f>INDIRECT(ADDRESS(1245,16))+INDIRECT(ADDRESS(1243,17))-INDIRECT(ADDRESS(1244,17))</f>
        <v>0</v>
      </c>
      <c r="R1245">
        <f>INDIRECT(ADDRESS(1245,17))+INDIRECT(ADDRESS(1243,18))-INDIRECT(ADDRESS(1244,18))</f>
        <v>0</v>
      </c>
      <c r="S1245">
        <f>INDIRECT(ADDRESS(1245,18))+INDIRECT(ADDRESS(1243,19))-INDIRECT(ADDRESS(1244,19))</f>
        <v>0</v>
      </c>
      <c r="T1245">
        <f>INDIRECT(ADDRESS(1245,19))+INDIRECT(ADDRESS(1243,20))-INDIRECT(ADDRESS(1244,20))</f>
        <v>0</v>
      </c>
      <c r="U1245">
        <f>INDIRECT(ADDRESS(1245,20))+INDIRECT(ADDRESS(1243,21))-INDIRECT(ADDRESS(1244,21))</f>
        <v>0</v>
      </c>
      <c r="V1245">
        <f>INDIRECT(ADDRESS(1245,21))+INDIRECT(ADDRESS(1243,22))-INDIRECT(ADDRESS(1244,22))</f>
        <v>0</v>
      </c>
      <c r="W1245">
        <f>INDIRECT(ADDRESS(1245,22))+INDIRECT(ADDRESS(1243,23))-INDIRECT(ADDRESS(1244,23))</f>
        <v>0</v>
      </c>
      <c r="X1245">
        <f>INDIRECT(ADDRESS(1245,23))+INDIRECT(ADDRESS(1243,24))-INDIRECT(ADDRESS(1244,24))</f>
        <v>0</v>
      </c>
      <c r="Y1245">
        <f>INDIRECT(ADDRESS(1245,24))+INDIRECT(ADDRESS(1243,25))-INDIRECT(ADDRESS(1244,25))</f>
        <v>0</v>
      </c>
      <c r="Z1245">
        <f>INDIRECT(ADDRESS(1245,25))+INDIRECT(ADDRESS(1243,26))-INDIRECT(ADDRESS(1244,26))</f>
        <v>0</v>
      </c>
      <c r="AA1245">
        <f>INDIRECT(ADDRESS(1245,26))+INDIRECT(ADDRESS(1243,27))-INDIRECT(ADDRESS(1244,27))</f>
        <v>0</v>
      </c>
      <c r="AB1245">
        <f>INDIRECT(ADDRESS(1245,27))+INDIRECT(ADDRESS(1243,28))-INDIRECT(ADDRESS(1244,28))</f>
        <v>0</v>
      </c>
      <c r="AC1245">
        <f>INDIRECT(ADDRESS(1245,28))+INDIRECT(ADDRESS(1243,29))-INDIRECT(ADDRESS(1244,29))</f>
        <v>0</v>
      </c>
      <c r="AD1245">
        <f>INDIRECT(ADDRESS(1245,29))+INDIRECT(ADDRESS(1243,30))-INDIRECT(ADDRESS(1244,30))</f>
        <v>0</v>
      </c>
      <c r="AE1245">
        <f>INDIRECT(ADDRESS(1245,30))+INDIRECT(ADDRESS(1243,31))-INDIRECT(ADDRESS(1244,31))</f>
        <v>0</v>
      </c>
      <c r="AF1245">
        <f>INDIRECT(ADDRESS(1245,31))+INDIRECT(ADDRESS(1243,32))-INDIRECT(ADDRESS(1244,32))</f>
        <v>0</v>
      </c>
      <c r="AG1245">
        <f>INDIRECT(ADDRESS(1245,32))+INDIRECT(ADDRESS(1243,33))-INDIRECT(ADDRESS(1244,33))</f>
        <v>0</v>
      </c>
      <c r="AH1245">
        <f>INDIRECT(ADDRESS(1245,33))+INDIRECT(ADDRESS(1243,34))-INDIRECT(ADDRESS(1244,34))</f>
        <v>0</v>
      </c>
      <c r="AI1245">
        <f>INDIRECT(ADDRESS(1245,34))+INDIRECT(ADDRESS(1243,35))-INDIRECT(ADDRESS(1244,35))</f>
        <v>0</v>
      </c>
      <c r="AJ1245">
        <f>INDIRECT(ADDRESS(1245,35))+INDIRECT(ADDRESS(1243,36))-INDIRECT(ADDRESS(1244,36))</f>
        <v>0</v>
      </c>
      <c r="AK1245">
        <f>INDIRECT(ADDRESS(1245,36))+INDIRECT(ADDRESS(1243,37))-INDIRECT(ADDRESS(1244,37))</f>
        <v>0</v>
      </c>
      <c r="AL1245">
        <f>INDIRECT(ADDRESS(1245,37))+INDIRECT(ADDRESS(1243,38))-INDIRECT(ADDRESS(1244,38))</f>
        <v>0</v>
      </c>
      <c r="AM1245">
        <f>INDIRECT(ADDRESS(1245,38))+INDIRECT(ADDRESS(1243,39))-INDIRECT(ADDRESS(1244,39))</f>
        <v>0</v>
      </c>
      <c r="AN1245">
        <f>INDIRECT(ADDRESS(1245,39))+INDIRECT(ADDRESS(1243,40))-INDIRECT(ADDRESS(1244,40))</f>
        <v>0</v>
      </c>
      <c r="AO1245">
        <f>SUM(INDIRECT(ADDRESS(1244,8)):INDIRECT(ADDRESS(1244,39)))</f>
        <v>0</v>
      </c>
    </row>
    <row r="1246" spans="1:41">
      <c r="A1246" t="s">
        <v>180</v>
      </c>
      <c r="B1246" t="s">
        <v>622</v>
      </c>
      <c r="C1246" t="s">
        <v>623</v>
      </c>
      <c r="E1246">
        <v>1</v>
      </c>
      <c r="I1246" t="s">
        <v>177</v>
      </c>
    </row>
    <row r="1247" spans="1:41">
      <c r="I1247" t="s">
        <v>178</v>
      </c>
      <c r="J1247">
        <f>IFERROR(VLOOKUP("906-091000-110",B:AB,1+8,0),0)</f>
        <v>0</v>
      </c>
      <c r="K1247">
        <f>IFERROR(VLOOKUP("906-091000-110",B:AB,2+8,0),0)</f>
        <v>0</v>
      </c>
      <c r="L1247">
        <f>IFERROR(VLOOKUP("906-091000-110",B:AB,3+8,0),0)</f>
        <v>0</v>
      </c>
      <c r="M1247">
        <f>IFERROR(VLOOKUP("906-091000-110",B:AB,4+8,0),0)</f>
        <v>0</v>
      </c>
      <c r="N1247">
        <f>IFERROR(VLOOKUP("906-091000-110",B:AB,5+8,0),0)</f>
        <v>0</v>
      </c>
      <c r="O1247">
        <f>IFERROR(VLOOKUP("906-091000-110",B:AB,6+8,0),0)</f>
        <v>0</v>
      </c>
      <c r="P1247">
        <f>IFERROR(VLOOKUP("906-091000-110",B:AB,7+8,0),0)</f>
        <v>0</v>
      </c>
      <c r="Q1247">
        <f>IFERROR(VLOOKUP("906-091000-110",B:AB,8+8,0),0)</f>
        <v>0</v>
      </c>
      <c r="R1247">
        <f>IFERROR(VLOOKUP("906-091000-110",B:AB,9+8,0),0)</f>
        <v>0</v>
      </c>
      <c r="S1247">
        <f>IFERROR(VLOOKUP("906-091000-110",B:AB,10+8,0),0)</f>
        <v>0</v>
      </c>
      <c r="T1247">
        <f>IFERROR(VLOOKUP("906-091000-110",B:AB,11+8,0),0)</f>
        <v>0</v>
      </c>
      <c r="U1247">
        <f>IFERROR(VLOOKUP("906-091000-110",B:AB,12+8,0),0)</f>
        <v>0</v>
      </c>
      <c r="V1247">
        <f>IFERROR(VLOOKUP("906-091000-110",B:AB,13+8,0),0)</f>
        <v>0</v>
      </c>
      <c r="W1247">
        <f>IFERROR(VLOOKUP("906-091000-110",B:AB,14+8,0),0)</f>
        <v>0</v>
      </c>
      <c r="X1247">
        <f>IFERROR(VLOOKUP("906-091000-110",B:AB,15+8,0),0)</f>
        <v>0</v>
      </c>
      <c r="Y1247">
        <f>IFERROR(VLOOKUP("906-091000-110",B:AB,16+8,0),0)</f>
        <v>0</v>
      </c>
      <c r="Z1247">
        <f>IFERROR(VLOOKUP("906-091000-110",B:AB,17+8,0),0)</f>
        <v>0</v>
      </c>
      <c r="AA1247">
        <f>IFERROR(VLOOKUP("906-091000-110",B:AB,18+8,0),0)</f>
        <v>0</v>
      </c>
      <c r="AB1247">
        <f>IFERROR(VLOOKUP("906-091000-110",B:AB,19+8,0),0)</f>
        <v>0</v>
      </c>
      <c r="AC1247">
        <f>IFERROR(VLOOKUP("906-091000-110",B:AB,20+8,0),0)</f>
        <v>0</v>
      </c>
      <c r="AD1247">
        <f>IFERROR(VLOOKUP("906-091000-110",B:AB,21+8,0),0)</f>
        <v>0</v>
      </c>
      <c r="AE1247">
        <f>IFERROR(VLOOKUP("906-091000-110",B:AB,22+8,0),0)</f>
        <v>0</v>
      </c>
      <c r="AF1247">
        <f>IFERROR(VLOOKUP("906-091000-110",B:AB,23+8,0),0)</f>
        <v>0</v>
      </c>
      <c r="AG1247">
        <f>IFERROR(VLOOKUP("906-091000-110",B:AB,24+8,0),0)</f>
        <v>0</v>
      </c>
      <c r="AH1247">
        <f>IFERROR(VLOOKUP("906-091000-110",B:AB,25+8,0),0)</f>
        <v>0</v>
      </c>
      <c r="AI1247">
        <f>IFERROR(VLOOKUP("906-091000-110",B:AB,26+8,0),0)</f>
        <v>0</v>
      </c>
      <c r="AJ1247">
        <f>IFERROR(VLOOKUP("906-091000-110",B:AB,27+8,0),0)</f>
        <v>0</v>
      </c>
      <c r="AK1247">
        <f>IFERROR(VLOOKUP("906-091000-110",B:AB,28+8,0),0)</f>
        <v>0</v>
      </c>
      <c r="AL1247">
        <f>IFERROR(VLOOKUP("906-091000-110",B:AB,29+8,0),0)</f>
        <v>0</v>
      </c>
      <c r="AM1247">
        <f>IFERROR(VLOOKUP("906-091000-110",B:AB,30+8,0),0)</f>
        <v>0</v>
      </c>
      <c r="AN1247">
        <f>IFERROR(VLOOKUP("906-091000-110",B:AB,31+8,0),0)</f>
        <v>0</v>
      </c>
      <c r="AO1247">
        <f>SUN(INDIRECT(ADDRESS(1246,8)):INDIRECT(ADDRESS(1246,39)))</f>
        <v>0</v>
      </c>
    </row>
    <row r="1248" spans="1:41">
      <c r="H1248" t="s">
        <v>179</v>
      </c>
      <c r="J1248">
        <f>INDIRECT(ADDRESS(1248,9))+INDIRECT(ADDRESS(1246,10))-INDIRECT(ADDRESS(1247,10))</f>
        <v>0</v>
      </c>
      <c r="K1248">
        <f>INDIRECT(ADDRESS(1248,10))+INDIRECT(ADDRESS(1246,11))-INDIRECT(ADDRESS(1247,11))</f>
        <v>0</v>
      </c>
      <c r="L1248">
        <f>INDIRECT(ADDRESS(1248,11))+INDIRECT(ADDRESS(1246,12))-INDIRECT(ADDRESS(1247,12))</f>
        <v>0</v>
      </c>
      <c r="M1248">
        <f>INDIRECT(ADDRESS(1248,12))+INDIRECT(ADDRESS(1246,13))-INDIRECT(ADDRESS(1247,13))</f>
        <v>0</v>
      </c>
      <c r="N1248">
        <f>INDIRECT(ADDRESS(1248,13))+INDIRECT(ADDRESS(1246,14))-INDIRECT(ADDRESS(1247,14))</f>
        <v>0</v>
      </c>
      <c r="O1248">
        <f>INDIRECT(ADDRESS(1248,14))+INDIRECT(ADDRESS(1246,15))-INDIRECT(ADDRESS(1247,15))</f>
        <v>0</v>
      </c>
      <c r="P1248">
        <f>INDIRECT(ADDRESS(1248,15))+INDIRECT(ADDRESS(1246,16))-INDIRECT(ADDRESS(1247,16))</f>
        <v>0</v>
      </c>
      <c r="Q1248">
        <f>INDIRECT(ADDRESS(1248,16))+INDIRECT(ADDRESS(1246,17))-INDIRECT(ADDRESS(1247,17))</f>
        <v>0</v>
      </c>
      <c r="R1248">
        <f>INDIRECT(ADDRESS(1248,17))+INDIRECT(ADDRESS(1246,18))-INDIRECT(ADDRESS(1247,18))</f>
        <v>0</v>
      </c>
      <c r="S1248">
        <f>INDIRECT(ADDRESS(1248,18))+INDIRECT(ADDRESS(1246,19))-INDIRECT(ADDRESS(1247,19))</f>
        <v>0</v>
      </c>
      <c r="T1248">
        <f>INDIRECT(ADDRESS(1248,19))+INDIRECT(ADDRESS(1246,20))-INDIRECT(ADDRESS(1247,20))</f>
        <v>0</v>
      </c>
      <c r="U1248">
        <f>INDIRECT(ADDRESS(1248,20))+INDIRECT(ADDRESS(1246,21))-INDIRECT(ADDRESS(1247,21))</f>
        <v>0</v>
      </c>
      <c r="V1248">
        <f>INDIRECT(ADDRESS(1248,21))+INDIRECT(ADDRESS(1246,22))-INDIRECT(ADDRESS(1247,22))</f>
        <v>0</v>
      </c>
      <c r="W1248">
        <f>INDIRECT(ADDRESS(1248,22))+INDIRECT(ADDRESS(1246,23))-INDIRECT(ADDRESS(1247,23))</f>
        <v>0</v>
      </c>
      <c r="X1248">
        <f>INDIRECT(ADDRESS(1248,23))+INDIRECT(ADDRESS(1246,24))-INDIRECT(ADDRESS(1247,24))</f>
        <v>0</v>
      </c>
      <c r="Y1248">
        <f>INDIRECT(ADDRESS(1248,24))+INDIRECT(ADDRESS(1246,25))-INDIRECT(ADDRESS(1247,25))</f>
        <v>0</v>
      </c>
      <c r="Z1248">
        <f>INDIRECT(ADDRESS(1248,25))+INDIRECT(ADDRESS(1246,26))-INDIRECT(ADDRESS(1247,26))</f>
        <v>0</v>
      </c>
      <c r="AA1248">
        <f>INDIRECT(ADDRESS(1248,26))+INDIRECT(ADDRESS(1246,27))-INDIRECT(ADDRESS(1247,27))</f>
        <v>0</v>
      </c>
      <c r="AB1248">
        <f>INDIRECT(ADDRESS(1248,27))+INDIRECT(ADDRESS(1246,28))-INDIRECT(ADDRESS(1247,28))</f>
        <v>0</v>
      </c>
      <c r="AC1248">
        <f>INDIRECT(ADDRESS(1248,28))+INDIRECT(ADDRESS(1246,29))-INDIRECT(ADDRESS(1247,29))</f>
        <v>0</v>
      </c>
      <c r="AD1248">
        <f>INDIRECT(ADDRESS(1248,29))+INDIRECT(ADDRESS(1246,30))-INDIRECT(ADDRESS(1247,30))</f>
        <v>0</v>
      </c>
      <c r="AE1248">
        <f>INDIRECT(ADDRESS(1248,30))+INDIRECT(ADDRESS(1246,31))-INDIRECT(ADDRESS(1247,31))</f>
        <v>0</v>
      </c>
      <c r="AF1248">
        <f>INDIRECT(ADDRESS(1248,31))+INDIRECT(ADDRESS(1246,32))-INDIRECT(ADDRESS(1247,32))</f>
        <v>0</v>
      </c>
      <c r="AG1248">
        <f>INDIRECT(ADDRESS(1248,32))+INDIRECT(ADDRESS(1246,33))-INDIRECT(ADDRESS(1247,33))</f>
        <v>0</v>
      </c>
      <c r="AH1248">
        <f>INDIRECT(ADDRESS(1248,33))+INDIRECT(ADDRESS(1246,34))-INDIRECT(ADDRESS(1247,34))</f>
        <v>0</v>
      </c>
      <c r="AI1248">
        <f>INDIRECT(ADDRESS(1248,34))+INDIRECT(ADDRESS(1246,35))-INDIRECT(ADDRESS(1247,35))</f>
        <v>0</v>
      </c>
      <c r="AJ1248">
        <f>INDIRECT(ADDRESS(1248,35))+INDIRECT(ADDRESS(1246,36))-INDIRECT(ADDRESS(1247,36))</f>
        <v>0</v>
      </c>
      <c r="AK1248">
        <f>INDIRECT(ADDRESS(1248,36))+INDIRECT(ADDRESS(1246,37))-INDIRECT(ADDRESS(1247,37))</f>
        <v>0</v>
      </c>
      <c r="AL1248">
        <f>INDIRECT(ADDRESS(1248,37))+INDIRECT(ADDRESS(1246,38))-INDIRECT(ADDRESS(1247,38))</f>
        <v>0</v>
      </c>
      <c r="AM1248">
        <f>INDIRECT(ADDRESS(1248,38))+INDIRECT(ADDRESS(1246,39))-INDIRECT(ADDRESS(1247,39))</f>
        <v>0</v>
      </c>
      <c r="AN1248">
        <f>INDIRECT(ADDRESS(1248,39))+INDIRECT(ADDRESS(1246,40))-INDIRECT(ADDRESS(1247,40))</f>
        <v>0</v>
      </c>
      <c r="AO1248">
        <f>SUM(INDIRECT(ADDRESS(1247,8)):INDIRECT(ADDRESS(1247,39)))</f>
        <v>0</v>
      </c>
    </row>
    <row r="1249" spans="1:41">
      <c r="A1249" t="s">
        <v>185</v>
      </c>
      <c r="B1249" t="s">
        <v>624</v>
      </c>
      <c r="C1249" t="s">
        <v>625</v>
      </c>
      <c r="E1249">
        <v>1</v>
      </c>
      <c r="I1249" t="s">
        <v>177</v>
      </c>
    </row>
    <row r="1250" spans="1:41">
      <c r="I1250" t="s">
        <v>178</v>
      </c>
      <c r="J1250">
        <f>IFERROR(VLOOKUP("906-091000-110",B:AB,1+8,0),0)</f>
        <v>0</v>
      </c>
      <c r="K1250">
        <f>IFERROR(VLOOKUP("906-091000-110",B:AB,2+8,0),0)</f>
        <v>0</v>
      </c>
      <c r="L1250">
        <f>IFERROR(VLOOKUP("906-091000-110",B:AB,3+8,0),0)</f>
        <v>0</v>
      </c>
      <c r="M1250">
        <f>IFERROR(VLOOKUP("906-091000-110",B:AB,4+8,0),0)</f>
        <v>0</v>
      </c>
      <c r="N1250">
        <f>IFERROR(VLOOKUP("906-091000-110",B:AB,5+8,0),0)</f>
        <v>0</v>
      </c>
      <c r="O1250">
        <f>IFERROR(VLOOKUP("906-091000-110",B:AB,6+8,0),0)</f>
        <v>0</v>
      </c>
      <c r="P1250">
        <f>IFERROR(VLOOKUP("906-091000-110",B:AB,7+8,0),0)</f>
        <v>0</v>
      </c>
      <c r="Q1250">
        <f>IFERROR(VLOOKUP("906-091000-110",B:AB,8+8,0),0)</f>
        <v>0</v>
      </c>
      <c r="R1250">
        <f>IFERROR(VLOOKUP("906-091000-110",B:AB,9+8,0),0)</f>
        <v>0</v>
      </c>
      <c r="S1250">
        <f>IFERROR(VLOOKUP("906-091000-110",B:AB,10+8,0),0)</f>
        <v>0</v>
      </c>
      <c r="T1250">
        <f>IFERROR(VLOOKUP("906-091000-110",B:AB,11+8,0),0)</f>
        <v>0</v>
      </c>
      <c r="U1250">
        <f>IFERROR(VLOOKUP("906-091000-110",B:AB,12+8,0),0)</f>
        <v>0</v>
      </c>
      <c r="V1250">
        <f>IFERROR(VLOOKUP("906-091000-110",B:AB,13+8,0),0)</f>
        <v>0</v>
      </c>
      <c r="W1250">
        <f>IFERROR(VLOOKUP("906-091000-110",B:AB,14+8,0),0)</f>
        <v>0</v>
      </c>
      <c r="X1250">
        <f>IFERROR(VLOOKUP("906-091000-110",B:AB,15+8,0),0)</f>
        <v>0</v>
      </c>
      <c r="Y1250">
        <f>IFERROR(VLOOKUP("906-091000-110",B:AB,16+8,0),0)</f>
        <v>0</v>
      </c>
      <c r="Z1250">
        <f>IFERROR(VLOOKUP("906-091000-110",B:AB,17+8,0),0)</f>
        <v>0</v>
      </c>
      <c r="AA1250">
        <f>IFERROR(VLOOKUP("906-091000-110",B:AB,18+8,0),0)</f>
        <v>0</v>
      </c>
      <c r="AB1250">
        <f>IFERROR(VLOOKUP("906-091000-110",B:AB,19+8,0),0)</f>
        <v>0</v>
      </c>
      <c r="AC1250">
        <f>IFERROR(VLOOKUP("906-091000-110",B:AB,20+8,0),0)</f>
        <v>0</v>
      </c>
      <c r="AD1250">
        <f>IFERROR(VLOOKUP("906-091000-110",B:AB,21+8,0),0)</f>
        <v>0</v>
      </c>
      <c r="AE1250">
        <f>IFERROR(VLOOKUP("906-091000-110",B:AB,22+8,0),0)</f>
        <v>0</v>
      </c>
      <c r="AF1250">
        <f>IFERROR(VLOOKUP("906-091000-110",B:AB,23+8,0),0)</f>
        <v>0</v>
      </c>
      <c r="AG1250">
        <f>IFERROR(VLOOKUP("906-091000-110",B:AB,24+8,0),0)</f>
        <v>0</v>
      </c>
      <c r="AH1250">
        <f>IFERROR(VLOOKUP("906-091000-110",B:AB,25+8,0),0)</f>
        <v>0</v>
      </c>
      <c r="AI1250">
        <f>IFERROR(VLOOKUP("906-091000-110",B:AB,26+8,0),0)</f>
        <v>0</v>
      </c>
      <c r="AJ1250">
        <f>IFERROR(VLOOKUP("906-091000-110",B:AB,27+8,0),0)</f>
        <v>0</v>
      </c>
      <c r="AK1250">
        <f>IFERROR(VLOOKUP("906-091000-110",B:AB,28+8,0),0)</f>
        <v>0</v>
      </c>
      <c r="AL1250">
        <f>IFERROR(VLOOKUP("906-091000-110",B:AB,29+8,0),0)</f>
        <v>0</v>
      </c>
      <c r="AM1250">
        <f>IFERROR(VLOOKUP("906-091000-110",B:AB,30+8,0),0)</f>
        <v>0</v>
      </c>
      <c r="AN1250">
        <f>IFERROR(VLOOKUP("906-091000-110",B:AB,31+8,0),0)</f>
        <v>0</v>
      </c>
      <c r="AO1250">
        <f>SUN(INDIRECT(ADDRESS(1249,8)):INDIRECT(ADDRESS(1249,39)))</f>
        <v>0</v>
      </c>
    </row>
    <row r="1251" spans="1:41">
      <c r="H1251" t="s">
        <v>179</v>
      </c>
      <c r="J1251">
        <f>INDIRECT(ADDRESS(1251,9))+INDIRECT(ADDRESS(1249,10))-INDIRECT(ADDRESS(1250,10))</f>
        <v>0</v>
      </c>
      <c r="K1251">
        <f>INDIRECT(ADDRESS(1251,10))+INDIRECT(ADDRESS(1249,11))-INDIRECT(ADDRESS(1250,11))</f>
        <v>0</v>
      </c>
      <c r="L1251">
        <f>INDIRECT(ADDRESS(1251,11))+INDIRECT(ADDRESS(1249,12))-INDIRECT(ADDRESS(1250,12))</f>
        <v>0</v>
      </c>
      <c r="M1251">
        <f>INDIRECT(ADDRESS(1251,12))+INDIRECT(ADDRESS(1249,13))-INDIRECT(ADDRESS(1250,13))</f>
        <v>0</v>
      </c>
      <c r="N1251">
        <f>INDIRECT(ADDRESS(1251,13))+INDIRECT(ADDRESS(1249,14))-INDIRECT(ADDRESS(1250,14))</f>
        <v>0</v>
      </c>
      <c r="O1251">
        <f>INDIRECT(ADDRESS(1251,14))+INDIRECT(ADDRESS(1249,15))-INDIRECT(ADDRESS(1250,15))</f>
        <v>0</v>
      </c>
      <c r="P1251">
        <f>INDIRECT(ADDRESS(1251,15))+INDIRECT(ADDRESS(1249,16))-INDIRECT(ADDRESS(1250,16))</f>
        <v>0</v>
      </c>
      <c r="Q1251">
        <f>INDIRECT(ADDRESS(1251,16))+INDIRECT(ADDRESS(1249,17))-INDIRECT(ADDRESS(1250,17))</f>
        <v>0</v>
      </c>
      <c r="R1251">
        <f>INDIRECT(ADDRESS(1251,17))+INDIRECT(ADDRESS(1249,18))-INDIRECT(ADDRESS(1250,18))</f>
        <v>0</v>
      </c>
      <c r="S1251">
        <f>INDIRECT(ADDRESS(1251,18))+INDIRECT(ADDRESS(1249,19))-INDIRECT(ADDRESS(1250,19))</f>
        <v>0</v>
      </c>
      <c r="T1251">
        <f>INDIRECT(ADDRESS(1251,19))+INDIRECT(ADDRESS(1249,20))-INDIRECT(ADDRESS(1250,20))</f>
        <v>0</v>
      </c>
      <c r="U1251">
        <f>INDIRECT(ADDRESS(1251,20))+INDIRECT(ADDRESS(1249,21))-INDIRECT(ADDRESS(1250,21))</f>
        <v>0</v>
      </c>
      <c r="V1251">
        <f>INDIRECT(ADDRESS(1251,21))+INDIRECT(ADDRESS(1249,22))-INDIRECT(ADDRESS(1250,22))</f>
        <v>0</v>
      </c>
      <c r="W1251">
        <f>INDIRECT(ADDRESS(1251,22))+INDIRECT(ADDRESS(1249,23))-INDIRECT(ADDRESS(1250,23))</f>
        <v>0</v>
      </c>
      <c r="X1251">
        <f>INDIRECT(ADDRESS(1251,23))+INDIRECT(ADDRESS(1249,24))-INDIRECT(ADDRESS(1250,24))</f>
        <v>0</v>
      </c>
      <c r="Y1251">
        <f>INDIRECT(ADDRESS(1251,24))+INDIRECT(ADDRESS(1249,25))-INDIRECT(ADDRESS(1250,25))</f>
        <v>0</v>
      </c>
      <c r="Z1251">
        <f>INDIRECT(ADDRESS(1251,25))+INDIRECT(ADDRESS(1249,26))-INDIRECT(ADDRESS(1250,26))</f>
        <v>0</v>
      </c>
      <c r="AA1251">
        <f>INDIRECT(ADDRESS(1251,26))+INDIRECT(ADDRESS(1249,27))-INDIRECT(ADDRESS(1250,27))</f>
        <v>0</v>
      </c>
      <c r="AB1251">
        <f>INDIRECT(ADDRESS(1251,27))+INDIRECT(ADDRESS(1249,28))-INDIRECT(ADDRESS(1250,28))</f>
        <v>0</v>
      </c>
      <c r="AC1251">
        <f>INDIRECT(ADDRESS(1251,28))+INDIRECT(ADDRESS(1249,29))-INDIRECT(ADDRESS(1250,29))</f>
        <v>0</v>
      </c>
      <c r="AD1251">
        <f>INDIRECT(ADDRESS(1251,29))+INDIRECT(ADDRESS(1249,30))-INDIRECT(ADDRESS(1250,30))</f>
        <v>0</v>
      </c>
      <c r="AE1251">
        <f>INDIRECT(ADDRESS(1251,30))+INDIRECT(ADDRESS(1249,31))-INDIRECT(ADDRESS(1250,31))</f>
        <v>0</v>
      </c>
      <c r="AF1251">
        <f>INDIRECT(ADDRESS(1251,31))+INDIRECT(ADDRESS(1249,32))-INDIRECT(ADDRESS(1250,32))</f>
        <v>0</v>
      </c>
      <c r="AG1251">
        <f>INDIRECT(ADDRESS(1251,32))+INDIRECT(ADDRESS(1249,33))-INDIRECT(ADDRESS(1250,33))</f>
        <v>0</v>
      </c>
      <c r="AH1251">
        <f>INDIRECT(ADDRESS(1251,33))+INDIRECT(ADDRESS(1249,34))-INDIRECT(ADDRESS(1250,34))</f>
        <v>0</v>
      </c>
      <c r="AI1251">
        <f>INDIRECT(ADDRESS(1251,34))+INDIRECT(ADDRESS(1249,35))-INDIRECT(ADDRESS(1250,35))</f>
        <v>0</v>
      </c>
      <c r="AJ1251">
        <f>INDIRECT(ADDRESS(1251,35))+INDIRECT(ADDRESS(1249,36))-INDIRECT(ADDRESS(1250,36))</f>
        <v>0</v>
      </c>
      <c r="AK1251">
        <f>INDIRECT(ADDRESS(1251,36))+INDIRECT(ADDRESS(1249,37))-INDIRECT(ADDRESS(1250,37))</f>
        <v>0</v>
      </c>
      <c r="AL1251">
        <f>INDIRECT(ADDRESS(1251,37))+INDIRECT(ADDRESS(1249,38))-INDIRECT(ADDRESS(1250,38))</f>
        <v>0</v>
      </c>
      <c r="AM1251">
        <f>INDIRECT(ADDRESS(1251,38))+INDIRECT(ADDRESS(1249,39))-INDIRECT(ADDRESS(1250,39))</f>
        <v>0</v>
      </c>
      <c r="AN1251">
        <f>INDIRECT(ADDRESS(1251,39))+INDIRECT(ADDRESS(1249,40))-INDIRECT(ADDRESS(1250,40))</f>
        <v>0</v>
      </c>
      <c r="AO1251">
        <f>SUM(INDIRECT(ADDRESS(1250,8)):INDIRECT(ADDRESS(1250,39)))</f>
        <v>0</v>
      </c>
    </row>
    <row r="1252" spans="1:41">
      <c r="A1252" t="s">
        <v>185</v>
      </c>
      <c r="B1252" t="s">
        <v>626</v>
      </c>
      <c r="C1252" t="s">
        <v>627</v>
      </c>
      <c r="E1252">
        <v>0.5</v>
      </c>
      <c r="I1252" t="s">
        <v>177</v>
      </c>
    </row>
    <row r="1253" spans="1:41">
      <c r="I1253" t="s">
        <v>178</v>
      </c>
      <c r="J1253">
        <f>IFERROR(VLOOKUP("906-091000-110",B:AB,1+8,0),0)</f>
        <v>0</v>
      </c>
      <c r="K1253">
        <f>IFERROR(VLOOKUP("906-091000-110",B:AB,2+8,0),0)</f>
        <v>0</v>
      </c>
      <c r="L1253">
        <f>IFERROR(VLOOKUP("906-091000-110",B:AB,3+8,0),0)</f>
        <v>0</v>
      </c>
      <c r="M1253">
        <f>IFERROR(VLOOKUP("906-091000-110",B:AB,4+8,0),0)</f>
        <v>0</v>
      </c>
      <c r="N1253">
        <f>IFERROR(VLOOKUP("906-091000-110",B:AB,5+8,0),0)</f>
        <v>0</v>
      </c>
      <c r="O1253">
        <f>IFERROR(VLOOKUP("906-091000-110",B:AB,6+8,0),0)</f>
        <v>0</v>
      </c>
      <c r="P1253">
        <f>IFERROR(VLOOKUP("906-091000-110",B:AB,7+8,0),0)</f>
        <v>0</v>
      </c>
      <c r="Q1253">
        <f>IFERROR(VLOOKUP("906-091000-110",B:AB,8+8,0),0)</f>
        <v>0</v>
      </c>
      <c r="R1253">
        <f>IFERROR(VLOOKUP("906-091000-110",B:AB,9+8,0),0)</f>
        <v>0</v>
      </c>
      <c r="S1253">
        <f>IFERROR(VLOOKUP("906-091000-110",B:AB,10+8,0),0)</f>
        <v>0</v>
      </c>
      <c r="T1253">
        <f>IFERROR(VLOOKUP("906-091000-110",B:AB,11+8,0),0)</f>
        <v>0</v>
      </c>
      <c r="U1253">
        <f>IFERROR(VLOOKUP("906-091000-110",B:AB,12+8,0),0)</f>
        <v>0</v>
      </c>
      <c r="V1253">
        <f>IFERROR(VLOOKUP("906-091000-110",B:AB,13+8,0),0)</f>
        <v>0</v>
      </c>
      <c r="W1253">
        <f>IFERROR(VLOOKUP("906-091000-110",B:AB,14+8,0),0)</f>
        <v>0</v>
      </c>
      <c r="X1253">
        <f>IFERROR(VLOOKUP("906-091000-110",B:AB,15+8,0),0)</f>
        <v>0</v>
      </c>
      <c r="Y1253">
        <f>IFERROR(VLOOKUP("906-091000-110",B:AB,16+8,0),0)</f>
        <v>0</v>
      </c>
      <c r="Z1253">
        <f>IFERROR(VLOOKUP("906-091000-110",B:AB,17+8,0),0)</f>
        <v>0</v>
      </c>
      <c r="AA1253">
        <f>IFERROR(VLOOKUP("906-091000-110",B:AB,18+8,0),0)</f>
        <v>0</v>
      </c>
      <c r="AB1253">
        <f>IFERROR(VLOOKUP("906-091000-110",B:AB,19+8,0),0)</f>
        <v>0</v>
      </c>
      <c r="AC1253">
        <f>IFERROR(VLOOKUP("906-091000-110",B:AB,20+8,0),0)</f>
        <v>0</v>
      </c>
      <c r="AD1253">
        <f>IFERROR(VLOOKUP("906-091000-110",B:AB,21+8,0),0)</f>
        <v>0</v>
      </c>
      <c r="AE1253">
        <f>IFERROR(VLOOKUP("906-091000-110",B:AB,22+8,0),0)</f>
        <v>0</v>
      </c>
      <c r="AF1253">
        <f>IFERROR(VLOOKUP("906-091000-110",B:AB,23+8,0),0)</f>
        <v>0</v>
      </c>
      <c r="AG1253">
        <f>IFERROR(VLOOKUP("906-091000-110",B:AB,24+8,0),0)</f>
        <v>0</v>
      </c>
      <c r="AH1253">
        <f>IFERROR(VLOOKUP("906-091000-110",B:AB,25+8,0),0)</f>
        <v>0</v>
      </c>
      <c r="AI1253">
        <f>IFERROR(VLOOKUP("906-091000-110",B:AB,26+8,0),0)</f>
        <v>0</v>
      </c>
      <c r="AJ1253">
        <f>IFERROR(VLOOKUP("906-091000-110",B:AB,27+8,0),0)</f>
        <v>0</v>
      </c>
      <c r="AK1253">
        <f>IFERROR(VLOOKUP("906-091000-110",B:AB,28+8,0),0)</f>
        <v>0</v>
      </c>
      <c r="AL1253">
        <f>IFERROR(VLOOKUP("906-091000-110",B:AB,29+8,0),0)</f>
        <v>0</v>
      </c>
      <c r="AM1253">
        <f>IFERROR(VLOOKUP("906-091000-110",B:AB,30+8,0),0)</f>
        <v>0</v>
      </c>
      <c r="AN1253">
        <f>IFERROR(VLOOKUP("906-091000-110",B:AB,31+8,0),0)</f>
        <v>0</v>
      </c>
      <c r="AO1253">
        <f>SUN(INDIRECT(ADDRESS(1252,8)):INDIRECT(ADDRESS(1252,39)))</f>
        <v>0</v>
      </c>
    </row>
    <row r="1254" spans="1:41">
      <c r="H1254" t="s">
        <v>179</v>
      </c>
      <c r="J1254">
        <f>INDIRECT(ADDRESS(1254,9))+INDIRECT(ADDRESS(1252,10))-INDIRECT(ADDRESS(1253,10))</f>
        <v>0</v>
      </c>
      <c r="K1254">
        <f>INDIRECT(ADDRESS(1254,10))+INDIRECT(ADDRESS(1252,11))-INDIRECT(ADDRESS(1253,11))</f>
        <v>0</v>
      </c>
      <c r="L1254">
        <f>INDIRECT(ADDRESS(1254,11))+INDIRECT(ADDRESS(1252,12))-INDIRECT(ADDRESS(1253,12))</f>
        <v>0</v>
      </c>
      <c r="M1254">
        <f>INDIRECT(ADDRESS(1254,12))+INDIRECT(ADDRESS(1252,13))-INDIRECT(ADDRESS(1253,13))</f>
        <v>0</v>
      </c>
      <c r="N1254">
        <f>INDIRECT(ADDRESS(1254,13))+INDIRECT(ADDRESS(1252,14))-INDIRECT(ADDRESS(1253,14))</f>
        <v>0</v>
      </c>
      <c r="O1254">
        <f>INDIRECT(ADDRESS(1254,14))+INDIRECT(ADDRESS(1252,15))-INDIRECT(ADDRESS(1253,15))</f>
        <v>0</v>
      </c>
      <c r="P1254">
        <f>INDIRECT(ADDRESS(1254,15))+INDIRECT(ADDRESS(1252,16))-INDIRECT(ADDRESS(1253,16))</f>
        <v>0</v>
      </c>
      <c r="Q1254">
        <f>INDIRECT(ADDRESS(1254,16))+INDIRECT(ADDRESS(1252,17))-INDIRECT(ADDRESS(1253,17))</f>
        <v>0</v>
      </c>
      <c r="R1254">
        <f>INDIRECT(ADDRESS(1254,17))+INDIRECT(ADDRESS(1252,18))-INDIRECT(ADDRESS(1253,18))</f>
        <v>0</v>
      </c>
      <c r="S1254">
        <f>INDIRECT(ADDRESS(1254,18))+INDIRECT(ADDRESS(1252,19))-INDIRECT(ADDRESS(1253,19))</f>
        <v>0</v>
      </c>
      <c r="T1254">
        <f>INDIRECT(ADDRESS(1254,19))+INDIRECT(ADDRESS(1252,20))-INDIRECT(ADDRESS(1253,20))</f>
        <v>0</v>
      </c>
      <c r="U1254">
        <f>INDIRECT(ADDRESS(1254,20))+INDIRECT(ADDRESS(1252,21))-INDIRECT(ADDRESS(1253,21))</f>
        <v>0</v>
      </c>
      <c r="V1254">
        <f>INDIRECT(ADDRESS(1254,21))+INDIRECT(ADDRESS(1252,22))-INDIRECT(ADDRESS(1253,22))</f>
        <v>0</v>
      </c>
      <c r="W1254">
        <f>INDIRECT(ADDRESS(1254,22))+INDIRECT(ADDRESS(1252,23))-INDIRECT(ADDRESS(1253,23))</f>
        <v>0</v>
      </c>
      <c r="X1254">
        <f>INDIRECT(ADDRESS(1254,23))+INDIRECT(ADDRESS(1252,24))-INDIRECT(ADDRESS(1253,24))</f>
        <v>0</v>
      </c>
      <c r="Y1254">
        <f>INDIRECT(ADDRESS(1254,24))+INDIRECT(ADDRESS(1252,25))-INDIRECT(ADDRESS(1253,25))</f>
        <v>0</v>
      </c>
      <c r="Z1254">
        <f>INDIRECT(ADDRESS(1254,25))+INDIRECT(ADDRESS(1252,26))-INDIRECT(ADDRESS(1253,26))</f>
        <v>0</v>
      </c>
      <c r="AA1254">
        <f>INDIRECT(ADDRESS(1254,26))+INDIRECT(ADDRESS(1252,27))-INDIRECT(ADDRESS(1253,27))</f>
        <v>0</v>
      </c>
      <c r="AB1254">
        <f>INDIRECT(ADDRESS(1254,27))+INDIRECT(ADDRESS(1252,28))-INDIRECT(ADDRESS(1253,28))</f>
        <v>0</v>
      </c>
      <c r="AC1254">
        <f>INDIRECT(ADDRESS(1254,28))+INDIRECT(ADDRESS(1252,29))-INDIRECT(ADDRESS(1253,29))</f>
        <v>0</v>
      </c>
      <c r="AD1254">
        <f>INDIRECT(ADDRESS(1254,29))+INDIRECT(ADDRESS(1252,30))-INDIRECT(ADDRESS(1253,30))</f>
        <v>0</v>
      </c>
      <c r="AE1254">
        <f>INDIRECT(ADDRESS(1254,30))+INDIRECT(ADDRESS(1252,31))-INDIRECT(ADDRESS(1253,31))</f>
        <v>0</v>
      </c>
      <c r="AF1254">
        <f>INDIRECT(ADDRESS(1254,31))+INDIRECT(ADDRESS(1252,32))-INDIRECT(ADDRESS(1253,32))</f>
        <v>0</v>
      </c>
      <c r="AG1254">
        <f>INDIRECT(ADDRESS(1254,32))+INDIRECT(ADDRESS(1252,33))-INDIRECT(ADDRESS(1253,33))</f>
        <v>0</v>
      </c>
      <c r="AH1254">
        <f>INDIRECT(ADDRESS(1254,33))+INDIRECT(ADDRESS(1252,34))-INDIRECT(ADDRESS(1253,34))</f>
        <v>0</v>
      </c>
      <c r="AI1254">
        <f>INDIRECT(ADDRESS(1254,34))+INDIRECT(ADDRESS(1252,35))-INDIRECT(ADDRESS(1253,35))</f>
        <v>0</v>
      </c>
      <c r="AJ1254">
        <f>INDIRECT(ADDRESS(1254,35))+INDIRECT(ADDRESS(1252,36))-INDIRECT(ADDRESS(1253,36))</f>
        <v>0</v>
      </c>
      <c r="AK1254">
        <f>INDIRECT(ADDRESS(1254,36))+INDIRECT(ADDRESS(1252,37))-INDIRECT(ADDRESS(1253,37))</f>
        <v>0</v>
      </c>
      <c r="AL1254">
        <f>INDIRECT(ADDRESS(1254,37))+INDIRECT(ADDRESS(1252,38))-INDIRECT(ADDRESS(1253,38))</f>
        <v>0</v>
      </c>
      <c r="AM1254">
        <f>INDIRECT(ADDRESS(1254,38))+INDIRECT(ADDRESS(1252,39))-INDIRECT(ADDRESS(1253,39))</f>
        <v>0</v>
      </c>
      <c r="AN1254">
        <f>INDIRECT(ADDRESS(1254,39))+INDIRECT(ADDRESS(1252,40))-INDIRECT(ADDRESS(1253,40))</f>
        <v>0</v>
      </c>
      <c r="AO1254">
        <f>SUM(INDIRECT(ADDRESS(1253,8)):INDIRECT(ADDRESS(1253,39)))</f>
        <v>0</v>
      </c>
    </row>
    <row r="1255" spans="1:41">
      <c r="A1255" t="s">
        <v>8</v>
      </c>
      <c r="B1255" t="s">
        <v>103</v>
      </c>
      <c r="C1255" t="s">
        <v>104</v>
      </c>
      <c r="E1255">
        <v>1</v>
      </c>
      <c r="I1255" t="s">
        <v>177</v>
      </c>
    </row>
    <row r="1256" spans="1:41">
      <c r="I1256" t="s">
        <v>178</v>
      </c>
      <c r="J1256">
        <f>IFERROR(VLOOKUP("906-288000-110",Out!B:AB,1+8,0),0)</f>
        <v>0</v>
      </c>
      <c r="K1256">
        <f>IFERROR(VLOOKUP("906-288000-110",Out!B:AB,2+8,0),0)</f>
        <v>0</v>
      </c>
      <c r="L1256">
        <f>IFERROR(VLOOKUP("906-288000-110",Out!B:AB,3+8,0),0)</f>
        <v>0</v>
      </c>
      <c r="M1256">
        <f>IFERROR(VLOOKUP("906-288000-110",Out!B:AB,4+8,0),0)</f>
        <v>0</v>
      </c>
      <c r="N1256">
        <f>IFERROR(VLOOKUP("906-288000-110",Out!B:AB,5+8,0),0)</f>
        <v>0</v>
      </c>
      <c r="O1256">
        <f>IFERROR(VLOOKUP("906-288000-110",Out!B:AB,6+8,0),0)</f>
        <v>0</v>
      </c>
      <c r="P1256">
        <f>IFERROR(VLOOKUP("906-288000-110",Out!B:AB,7+8,0),0)</f>
        <v>0</v>
      </c>
      <c r="Q1256">
        <f>IFERROR(VLOOKUP("906-288000-110",Out!B:AB,8+8,0),0)</f>
        <v>0</v>
      </c>
      <c r="R1256">
        <f>IFERROR(VLOOKUP("906-288000-110",Out!B:AB,9+8,0),0)</f>
        <v>0</v>
      </c>
      <c r="S1256">
        <f>IFERROR(VLOOKUP("906-288000-110",Out!B:AB,10+8,0),0)</f>
        <v>0</v>
      </c>
      <c r="T1256">
        <f>IFERROR(VLOOKUP("906-288000-110",Out!B:AB,11+8,0),0)</f>
        <v>0</v>
      </c>
      <c r="U1256">
        <f>IFERROR(VLOOKUP("906-288000-110",Out!B:AB,12+8,0),0)</f>
        <v>0</v>
      </c>
      <c r="V1256">
        <f>IFERROR(VLOOKUP("906-288000-110",Out!B:AB,13+8,0),0)</f>
        <v>0</v>
      </c>
      <c r="W1256">
        <f>IFERROR(VLOOKUP("906-288000-110",Out!B:AB,14+8,0),0)</f>
        <v>0</v>
      </c>
      <c r="X1256">
        <f>IFERROR(VLOOKUP("906-288000-110",Out!B:AB,15+8,0),0)</f>
        <v>0</v>
      </c>
      <c r="Y1256">
        <f>IFERROR(VLOOKUP("906-288000-110",Out!B:AB,16+8,0),0)</f>
        <v>0</v>
      </c>
      <c r="Z1256">
        <f>IFERROR(VLOOKUP("906-288000-110",Out!B:AB,17+8,0),0)</f>
        <v>0</v>
      </c>
      <c r="AA1256">
        <f>IFERROR(VLOOKUP("906-288000-110",Out!B:AB,18+8,0),0)</f>
        <v>0</v>
      </c>
      <c r="AB1256">
        <f>IFERROR(VLOOKUP("906-288000-110",Out!B:AB,19+8,0),0)</f>
        <v>0</v>
      </c>
      <c r="AC1256">
        <f>IFERROR(VLOOKUP("906-288000-110",Out!B:AB,20+8,0),0)</f>
        <v>0</v>
      </c>
      <c r="AD1256">
        <f>IFERROR(VLOOKUP("906-288000-110",Out!B:AB,21+8,0),0)</f>
        <v>0</v>
      </c>
      <c r="AE1256">
        <f>IFERROR(VLOOKUP("906-288000-110",Out!B:AB,22+8,0),0)</f>
        <v>0</v>
      </c>
      <c r="AF1256">
        <f>IFERROR(VLOOKUP("906-288000-110",Out!B:AB,23+8,0),0)</f>
        <v>0</v>
      </c>
      <c r="AG1256">
        <f>IFERROR(VLOOKUP("906-288000-110",Out!B:AB,24+8,0),0)</f>
        <v>0</v>
      </c>
      <c r="AH1256">
        <f>IFERROR(VLOOKUP("906-288000-110",Out!B:AB,25+8,0),0)</f>
        <v>0</v>
      </c>
      <c r="AI1256">
        <f>IFERROR(VLOOKUP("906-288000-110",Out!B:AB,26+8,0),0)</f>
        <v>0</v>
      </c>
      <c r="AJ1256">
        <f>IFERROR(VLOOKUP("906-288000-110",Out!B:AB,27+8,0),0)</f>
        <v>0</v>
      </c>
      <c r="AK1256">
        <f>IFERROR(VLOOKUP("906-288000-110",Out!B:AB,28+8,0),0)</f>
        <v>0</v>
      </c>
      <c r="AL1256">
        <f>IFERROR(VLOOKUP("906-288000-110",Out!B:AB,29+8,0),0)</f>
        <v>0</v>
      </c>
      <c r="AM1256">
        <f>IFERROR(VLOOKUP("906-288000-110",Out!B:AB,30+8,0),0)</f>
        <v>0</v>
      </c>
      <c r="AN1256">
        <f>IFERROR(VLOOKUP("906-288000-110",Out!B:AB,31+8,0),0)</f>
        <v>0</v>
      </c>
      <c r="AO1256">
        <f>SUN(INDIRECT(ADDRESS(1255,8)):INDIRECT(ADDRESS(1255,39)))</f>
        <v>0</v>
      </c>
    </row>
    <row r="1257" spans="1:41">
      <c r="H1257" t="s">
        <v>179</v>
      </c>
      <c r="J1257">
        <f>INDIRECT(ADDRESS(1257,9))+INDIRECT(ADDRESS(1255,10))-INDIRECT(ADDRESS(1256,10))</f>
        <v>0</v>
      </c>
      <c r="K1257">
        <f>INDIRECT(ADDRESS(1257,10))+INDIRECT(ADDRESS(1255,11))-INDIRECT(ADDRESS(1256,11))</f>
        <v>0</v>
      </c>
      <c r="L1257">
        <f>INDIRECT(ADDRESS(1257,11))+INDIRECT(ADDRESS(1255,12))-INDIRECT(ADDRESS(1256,12))</f>
        <v>0</v>
      </c>
      <c r="M1257">
        <f>INDIRECT(ADDRESS(1257,12))+INDIRECT(ADDRESS(1255,13))-INDIRECT(ADDRESS(1256,13))</f>
        <v>0</v>
      </c>
      <c r="N1257">
        <f>INDIRECT(ADDRESS(1257,13))+INDIRECT(ADDRESS(1255,14))-INDIRECT(ADDRESS(1256,14))</f>
        <v>0</v>
      </c>
      <c r="O1257">
        <f>INDIRECT(ADDRESS(1257,14))+INDIRECT(ADDRESS(1255,15))-INDIRECT(ADDRESS(1256,15))</f>
        <v>0</v>
      </c>
      <c r="P1257">
        <f>INDIRECT(ADDRESS(1257,15))+INDIRECT(ADDRESS(1255,16))-INDIRECT(ADDRESS(1256,16))</f>
        <v>0</v>
      </c>
      <c r="Q1257">
        <f>INDIRECT(ADDRESS(1257,16))+INDIRECT(ADDRESS(1255,17))-INDIRECT(ADDRESS(1256,17))</f>
        <v>0</v>
      </c>
      <c r="R1257">
        <f>INDIRECT(ADDRESS(1257,17))+INDIRECT(ADDRESS(1255,18))-INDIRECT(ADDRESS(1256,18))</f>
        <v>0</v>
      </c>
      <c r="S1257">
        <f>INDIRECT(ADDRESS(1257,18))+INDIRECT(ADDRESS(1255,19))-INDIRECT(ADDRESS(1256,19))</f>
        <v>0</v>
      </c>
      <c r="T1257">
        <f>INDIRECT(ADDRESS(1257,19))+INDIRECT(ADDRESS(1255,20))-INDIRECT(ADDRESS(1256,20))</f>
        <v>0</v>
      </c>
      <c r="U1257">
        <f>INDIRECT(ADDRESS(1257,20))+INDIRECT(ADDRESS(1255,21))-INDIRECT(ADDRESS(1256,21))</f>
        <v>0</v>
      </c>
      <c r="V1257">
        <f>INDIRECT(ADDRESS(1257,21))+INDIRECT(ADDRESS(1255,22))-INDIRECT(ADDRESS(1256,22))</f>
        <v>0</v>
      </c>
      <c r="W1257">
        <f>INDIRECT(ADDRESS(1257,22))+INDIRECT(ADDRESS(1255,23))-INDIRECT(ADDRESS(1256,23))</f>
        <v>0</v>
      </c>
      <c r="X1257">
        <f>INDIRECT(ADDRESS(1257,23))+INDIRECT(ADDRESS(1255,24))-INDIRECT(ADDRESS(1256,24))</f>
        <v>0</v>
      </c>
      <c r="Y1257">
        <f>INDIRECT(ADDRESS(1257,24))+INDIRECT(ADDRESS(1255,25))-INDIRECT(ADDRESS(1256,25))</f>
        <v>0</v>
      </c>
      <c r="Z1257">
        <f>INDIRECT(ADDRESS(1257,25))+INDIRECT(ADDRESS(1255,26))-INDIRECT(ADDRESS(1256,26))</f>
        <v>0</v>
      </c>
      <c r="AA1257">
        <f>INDIRECT(ADDRESS(1257,26))+INDIRECT(ADDRESS(1255,27))-INDIRECT(ADDRESS(1256,27))</f>
        <v>0</v>
      </c>
      <c r="AB1257">
        <f>INDIRECT(ADDRESS(1257,27))+INDIRECT(ADDRESS(1255,28))-INDIRECT(ADDRESS(1256,28))</f>
        <v>0</v>
      </c>
      <c r="AC1257">
        <f>INDIRECT(ADDRESS(1257,28))+INDIRECT(ADDRESS(1255,29))-INDIRECT(ADDRESS(1256,29))</f>
        <v>0</v>
      </c>
      <c r="AD1257">
        <f>INDIRECT(ADDRESS(1257,29))+INDIRECT(ADDRESS(1255,30))-INDIRECT(ADDRESS(1256,30))</f>
        <v>0</v>
      </c>
      <c r="AE1257">
        <f>INDIRECT(ADDRESS(1257,30))+INDIRECT(ADDRESS(1255,31))-INDIRECT(ADDRESS(1256,31))</f>
        <v>0</v>
      </c>
      <c r="AF1257">
        <f>INDIRECT(ADDRESS(1257,31))+INDIRECT(ADDRESS(1255,32))-INDIRECT(ADDRESS(1256,32))</f>
        <v>0</v>
      </c>
      <c r="AG1257">
        <f>INDIRECT(ADDRESS(1257,32))+INDIRECT(ADDRESS(1255,33))-INDIRECT(ADDRESS(1256,33))</f>
        <v>0</v>
      </c>
      <c r="AH1257">
        <f>INDIRECT(ADDRESS(1257,33))+INDIRECT(ADDRESS(1255,34))-INDIRECT(ADDRESS(1256,34))</f>
        <v>0</v>
      </c>
      <c r="AI1257">
        <f>INDIRECT(ADDRESS(1257,34))+INDIRECT(ADDRESS(1255,35))-INDIRECT(ADDRESS(1256,35))</f>
        <v>0</v>
      </c>
      <c r="AJ1257">
        <f>INDIRECT(ADDRESS(1257,35))+INDIRECT(ADDRESS(1255,36))-INDIRECT(ADDRESS(1256,36))</f>
        <v>0</v>
      </c>
      <c r="AK1257">
        <f>INDIRECT(ADDRESS(1257,36))+INDIRECT(ADDRESS(1255,37))-INDIRECT(ADDRESS(1256,37))</f>
        <v>0</v>
      </c>
      <c r="AL1257">
        <f>INDIRECT(ADDRESS(1257,37))+INDIRECT(ADDRESS(1255,38))-INDIRECT(ADDRESS(1256,38))</f>
        <v>0</v>
      </c>
      <c r="AM1257">
        <f>INDIRECT(ADDRESS(1257,38))+INDIRECT(ADDRESS(1255,39))-INDIRECT(ADDRESS(1256,39))</f>
        <v>0</v>
      </c>
      <c r="AN1257">
        <f>INDIRECT(ADDRESS(1257,39))+INDIRECT(ADDRESS(1255,40))-INDIRECT(ADDRESS(1256,40))</f>
        <v>0</v>
      </c>
      <c r="AO1257">
        <f>SUM(INDIRECT(ADDRESS(1256,8)):INDIRECT(ADDRESS(1256,39)))</f>
        <v>0</v>
      </c>
    </row>
    <row r="1258" spans="1:41">
      <c r="A1258" t="s">
        <v>180</v>
      </c>
      <c r="B1258" t="s">
        <v>628</v>
      </c>
      <c r="C1258" t="s">
        <v>629</v>
      </c>
      <c r="E1258">
        <v>1</v>
      </c>
      <c r="I1258" t="s">
        <v>177</v>
      </c>
    </row>
    <row r="1259" spans="1:41">
      <c r="I1259" t="s">
        <v>178</v>
      </c>
      <c r="J1259">
        <f>IFERROR(VLOOKUP("906-288000-110",B:AB,1+8,0),0)</f>
        <v>0</v>
      </c>
      <c r="K1259">
        <f>IFERROR(VLOOKUP("906-288000-110",B:AB,2+8,0),0)</f>
        <v>0</v>
      </c>
      <c r="L1259">
        <f>IFERROR(VLOOKUP("906-288000-110",B:AB,3+8,0),0)</f>
        <v>0</v>
      </c>
      <c r="M1259">
        <f>IFERROR(VLOOKUP("906-288000-110",B:AB,4+8,0),0)</f>
        <v>0</v>
      </c>
      <c r="N1259">
        <f>IFERROR(VLOOKUP("906-288000-110",B:AB,5+8,0),0)</f>
        <v>0</v>
      </c>
      <c r="O1259">
        <f>IFERROR(VLOOKUP("906-288000-110",B:AB,6+8,0),0)</f>
        <v>0</v>
      </c>
      <c r="P1259">
        <f>IFERROR(VLOOKUP("906-288000-110",B:AB,7+8,0),0)</f>
        <v>0</v>
      </c>
      <c r="Q1259">
        <f>IFERROR(VLOOKUP("906-288000-110",B:AB,8+8,0),0)</f>
        <v>0</v>
      </c>
      <c r="R1259">
        <f>IFERROR(VLOOKUP("906-288000-110",B:AB,9+8,0),0)</f>
        <v>0</v>
      </c>
      <c r="S1259">
        <f>IFERROR(VLOOKUP("906-288000-110",B:AB,10+8,0),0)</f>
        <v>0</v>
      </c>
      <c r="T1259">
        <f>IFERROR(VLOOKUP("906-288000-110",B:AB,11+8,0),0)</f>
        <v>0</v>
      </c>
      <c r="U1259">
        <f>IFERROR(VLOOKUP("906-288000-110",B:AB,12+8,0),0)</f>
        <v>0</v>
      </c>
      <c r="V1259">
        <f>IFERROR(VLOOKUP("906-288000-110",B:AB,13+8,0),0)</f>
        <v>0</v>
      </c>
      <c r="W1259">
        <f>IFERROR(VLOOKUP("906-288000-110",B:AB,14+8,0),0)</f>
        <v>0</v>
      </c>
      <c r="X1259">
        <f>IFERROR(VLOOKUP("906-288000-110",B:AB,15+8,0),0)</f>
        <v>0</v>
      </c>
      <c r="Y1259">
        <f>IFERROR(VLOOKUP("906-288000-110",B:AB,16+8,0),0)</f>
        <v>0</v>
      </c>
      <c r="Z1259">
        <f>IFERROR(VLOOKUP("906-288000-110",B:AB,17+8,0),0)</f>
        <v>0</v>
      </c>
      <c r="AA1259">
        <f>IFERROR(VLOOKUP("906-288000-110",B:AB,18+8,0),0)</f>
        <v>0</v>
      </c>
      <c r="AB1259">
        <f>IFERROR(VLOOKUP("906-288000-110",B:AB,19+8,0),0)</f>
        <v>0</v>
      </c>
      <c r="AC1259">
        <f>IFERROR(VLOOKUP("906-288000-110",B:AB,20+8,0),0)</f>
        <v>0</v>
      </c>
      <c r="AD1259">
        <f>IFERROR(VLOOKUP("906-288000-110",B:AB,21+8,0),0)</f>
        <v>0</v>
      </c>
      <c r="AE1259">
        <f>IFERROR(VLOOKUP("906-288000-110",B:AB,22+8,0),0)</f>
        <v>0</v>
      </c>
      <c r="AF1259">
        <f>IFERROR(VLOOKUP("906-288000-110",B:AB,23+8,0),0)</f>
        <v>0</v>
      </c>
      <c r="AG1259">
        <f>IFERROR(VLOOKUP("906-288000-110",B:AB,24+8,0),0)</f>
        <v>0</v>
      </c>
      <c r="AH1259">
        <f>IFERROR(VLOOKUP("906-288000-110",B:AB,25+8,0),0)</f>
        <v>0</v>
      </c>
      <c r="AI1259">
        <f>IFERROR(VLOOKUP("906-288000-110",B:AB,26+8,0),0)</f>
        <v>0</v>
      </c>
      <c r="AJ1259">
        <f>IFERROR(VLOOKUP("906-288000-110",B:AB,27+8,0),0)</f>
        <v>0</v>
      </c>
      <c r="AK1259">
        <f>IFERROR(VLOOKUP("906-288000-110",B:AB,28+8,0),0)</f>
        <v>0</v>
      </c>
      <c r="AL1259">
        <f>IFERROR(VLOOKUP("906-288000-110",B:AB,29+8,0),0)</f>
        <v>0</v>
      </c>
      <c r="AM1259">
        <f>IFERROR(VLOOKUP("906-288000-110",B:AB,30+8,0),0)</f>
        <v>0</v>
      </c>
      <c r="AN1259">
        <f>IFERROR(VLOOKUP("906-288000-110",B:AB,31+8,0),0)</f>
        <v>0</v>
      </c>
      <c r="AO1259">
        <f>SUN(INDIRECT(ADDRESS(1258,8)):INDIRECT(ADDRESS(1258,39)))</f>
        <v>0</v>
      </c>
    </row>
    <row r="1260" spans="1:41">
      <c r="H1260" t="s">
        <v>179</v>
      </c>
      <c r="J1260">
        <f>INDIRECT(ADDRESS(1260,9))+INDIRECT(ADDRESS(1258,10))-INDIRECT(ADDRESS(1259,10))</f>
        <v>0</v>
      </c>
      <c r="K1260">
        <f>INDIRECT(ADDRESS(1260,10))+INDIRECT(ADDRESS(1258,11))-INDIRECT(ADDRESS(1259,11))</f>
        <v>0</v>
      </c>
      <c r="L1260">
        <f>INDIRECT(ADDRESS(1260,11))+INDIRECT(ADDRESS(1258,12))-INDIRECT(ADDRESS(1259,12))</f>
        <v>0</v>
      </c>
      <c r="M1260">
        <f>INDIRECT(ADDRESS(1260,12))+INDIRECT(ADDRESS(1258,13))-INDIRECT(ADDRESS(1259,13))</f>
        <v>0</v>
      </c>
      <c r="N1260">
        <f>INDIRECT(ADDRESS(1260,13))+INDIRECT(ADDRESS(1258,14))-INDIRECT(ADDRESS(1259,14))</f>
        <v>0</v>
      </c>
      <c r="O1260">
        <f>INDIRECT(ADDRESS(1260,14))+INDIRECT(ADDRESS(1258,15))-INDIRECT(ADDRESS(1259,15))</f>
        <v>0</v>
      </c>
      <c r="P1260">
        <f>INDIRECT(ADDRESS(1260,15))+INDIRECT(ADDRESS(1258,16))-INDIRECT(ADDRESS(1259,16))</f>
        <v>0</v>
      </c>
      <c r="Q1260">
        <f>INDIRECT(ADDRESS(1260,16))+INDIRECT(ADDRESS(1258,17))-INDIRECT(ADDRESS(1259,17))</f>
        <v>0</v>
      </c>
      <c r="R1260">
        <f>INDIRECT(ADDRESS(1260,17))+INDIRECT(ADDRESS(1258,18))-INDIRECT(ADDRESS(1259,18))</f>
        <v>0</v>
      </c>
      <c r="S1260">
        <f>INDIRECT(ADDRESS(1260,18))+INDIRECT(ADDRESS(1258,19))-INDIRECT(ADDRESS(1259,19))</f>
        <v>0</v>
      </c>
      <c r="T1260">
        <f>INDIRECT(ADDRESS(1260,19))+INDIRECT(ADDRESS(1258,20))-INDIRECT(ADDRESS(1259,20))</f>
        <v>0</v>
      </c>
      <c r="U1260">
        <f>INDIRECT(ADDRESS(1260,20))+INDIRECT(ADDRESS(1258,21))-INDIRECT(ADDRESS(1259,21))</f>
        <v>0</v>
      </c>
      <c r="V1260">
        <f>INDIRECT(ADDRESS(1260,21))+INDIRECT(ADDRESS(1258,22))-INDIRECT(ADDRESS(1259,22))</f>
        <v>0</v>
      </c>
      <c r="W1260">
        <f>INDIRECT(ADDRESS(1260,22))+INDIRECT(ADDRESS(1258,23))-INDIRECT(ADDRESS(1259,23))</f>
        <v>0</v>
      </c>
      <c r="X1260">
        <f>INDIRECT(ADDRESS(1260,23))+INDIRECT(ADDRESS(1258,24))-INDIRECT(ADDRESS(1259,24))</f>
        <v>0</v>
      </c>
      <c r="Y1260">
        <f>INDIRECT(ADDRESS(1260,24))+INDIRECT(ADDRESS(1258,25))-INDIRECT(ADDRESS(1259,25))</f>
        <v>0</v>
      </c>
      <c r="Z1260">
        <f>INDIRECT(ADDRESS(1260,25))+INDIRECT(ADDRESS(1258,26))-INDIRECT(ADDRESS(1259,26))</f>
        <v>0</v>
      </c>
      <c r="AA1260">
        <f>INDIRECT(ADDRESS(1260,26))+INDIRECT(ADDRESS(1258,27))-INDIRECT(ADDRESS(1259,27))</f>
        <v>0</v>
      </c>
      <c r="AB1260">
        <f>INDIRECT(ADDRESS(1260,27))+INDIRECT(ADDRESS(1258,28))-INDIRECT(ADDRESS(1259,28))</f>
        <v>0</v>
      </c>
      <c r="AC1260">
        <f>INDIRECT(ADDRESS(1260,28))+INDIRECT(ADDRESS(1258,29))-INDIRECT(ADDRESS(1259,29))</f>
        <v>0</v>
      </c>
      <c r="AD1260">
        <f>INDIRECT(ADDRESS(1260,29))+INDIRECT(ADDRESS(1258,30))-INDIRECT(ADDRESS(1259,30))</f>
        <v>0</v>
      </c>
      <c r="AE1260">
        <f>INDIRECT(ADDRESS(1260,30))+INDIRECT(ADDRESS(1258,31))-INDIRECT(ADDRESS(1259,31))</f>
        <v>0</v>
      </c>
      <c r="AF1260">
        <f>INDIRECT(ADDRESS(1260,31))+INDIRECT(ADDRESS(1258,32))-INDIRECT(ADDRESS(1259,32))</f>
        <v>0</v>
      </c>
      <c r="AG1260">
        <f>INDIRECT(ADDRESS(1260,32))+INDIRECT(ADDRESS(1258,33))-INDIRECT(ADDRESS(1259,33))</f>
        <v>0</v>
      </c>
      <c r="AH1260">
        <f>INDIRECT(ADDRESS(1260,33))+INDIRECT(ADDRESS(1258,34))-INDIRECT(ADDRESS(1259,34))</f>
        <v>0</v>
      </c>
      <c r="AI1260">
        <f>INDIRECT(ADDRESS(1260,34))+INDIRECT(ADDRESS(1258,35))-INDIRECT(ADDRESS(1259,35))</f>
        <v>0</v>
      </c>
      <c r="AJ1260">
        <f>INDIRECT(ADDRESS(1260,35))+INDIRECT(ADDRESS(1258,36))-INDIRECT(ADDRESS(1259,36))</f>
        <v>0</v>
      </c>
      <c r="AK1260">
        <f>INDIRECT(ADDRESS(1260,36))+INDIRECT(ADDRESS(1258,37))-INDIRECT(ADDRESS(1259,37))</f>
        <v>0</v>
      </c>
      <c r="AL1260">
        <f>INDIRECT(ADDRESS(1260,37))+INDIRECT(ADDRESS(1258,38))-INDIRECT(ADDRESS(1259,38))</f>
        <v>0</v>
      </c>
      <c r="AM1260">
        <f>INDIRECT(ADDRESS(1260,38))+INDIRECT(ADDRESS(1258,39))-INDIRECT(ADDRESS(1259,39))</f>
        <v>0</v>
      </c>
      <c r="AN1260">
        <f>INDIRECT(ADDRESS(1260,39))+INDIRECT(ADDRESS(1258,40))-INDIRECT(ADDRESS(1259,40))</f>
        <v>0</v>
      </c>
      <c r="AO1260">
        <f>SUM(INDIRECT(ADDRESS(1259,8)):INDIRECT(ADDRESS(1259,39)))</f>
        <v>0</v>
      </c>
    </row>
    <row r="1261" spans="1:41">
      <c r="A1261" t="s">
        <v>180</v>
      </c>
      <c r="B1261" t="s">
        <v>630</v>
      </c>
      <c r="C1261" t="s">
        <v>631</v>
      </c>
      <c r="E1261">
        <v>1</v>
      </c>
      <c r="I1261" t="s">
        <v>177</v>
      </c>
    </row>
    <row r="1262" spans="1:41">
      <c r="I1262" t="s">
        <v>178</v>
      </c>
      <c r="J1262">
        <f>IFERROR(VLOOKUP("906-288000-110",B:AB,1+8,0),0)</f>
        <v>0</v>
      </c>
      <c r="K1262">
        <f>IFERROR(VLOOKUP("906-288000-110",B:AB,2+8,0),0)</f>
        <v>0</v>
      </c>
      <c r="L1262">
        <f>IFERROR(VLOOKUP("906-288000-110",B:AB,3+8,0),0)</f>
        <v>0</v>
      </c>
      <c r="M1262">
        <f>IFERROR(VLOOKUP("906-288000-110",B:AB,4+8,0),0)</f>
        <v>0</v>
      </c>
      <c r="N1262">
        <f>IFERROR(VLOOKUP("906-288000-110",B:AB,5+8,0),0)</f>
        <v>0</v>
      </c>
      <c r="O1262">
        <f>IFERROR(VLOOKUP("906-288000-110",B:AB,6+8,0),0)</f>
        <v>0</v>
      </c>
      <c r="P1262">
        <f>IFERROR(VLOOKUP("906-288000-110",B:AB,7+8,0),0)</f>
        <v>0</v>
      </c>
      <c r="Q1262">
        <f>IFERROR(VLOOKUP("906-288000-110",B:AB,8+8,0),0)</f>
        <v>0</v>
      </c>
      <c r="R1262">
        <f>IFERROR(VLOOKUP("906-288000-110",B:AB,9+8,0),0)</f>
        <v>0</v>
      </c>
      <c r="S1262">
        <f>IFERROR(VLOOKUP("906-288000-110",B:AB,10+8,0),0)</f>
        <v>0</v>
      </c>
      <c r="T1262">
        <f>IFERROR(VLOOKUP("906-288000-110",B:AB,11+8,0),0)</f>
        <v>0</v>
      </c>
      <c r="U1262">
        <f>IFERROR(VLOOKUP("906-288000-110",B:AB,12+8,0),0)</f>
        <v>0</v>
      </c>
      <c r="V1262">
        <f>IFERROR(VLOOKUP("906-288000-110",B:AB,13+8,0),0)</f>
        <v>0</v>
      </c>
      <c r="W1262">
        <f>IFERROR(VLOOKUP("906-288000-110",B:AB,14+8,0),0)</f>
        <v>0</v>
      </c>
      <c r="X1262">
        <f>IFERROR(VLOOKUP("906-288000-110",B:AB,15+8,0),0)</f>
        <v>0</v>
      </c>
      <c r="Y1262">
        <f>IFERROR(VLOOKUP("906-288000-110",B:AB,16+8,0),0)</f>
        <v>0</v>
      </c>
      <c r="Z1262">
        <f>IFERROR(VLOOKUP("906-288000-110",B:AB,17+8,0),0)</f>
        <v>0</v>
      </c>
      <c r="AA1262">
        <f>IFERROR(VLOOKUP("906-288000-110",B:AB,18+8,0),0)</f>
        <v>0</v>
      </c>
      <c r="AB1262">
        <f>IFERROR(VLOOKUP("906-288000-110",B:AB,19+8,0),0)</f>
        <v>0</v>
      </c>
      <c r="AC1262">
        <f>IFERROR(VLOOKUP("906-288000-110",B:AB,20+8,0),0)</f>
        <v>0</v>
      </c>
      <c r="AD1262">
        <f>IFERROR(VLOOKUP("906-288000-110",B:AB,21+8,0),0)</f>
        <v>0</v>
      </c>
      <c r="AE1262">
        <f>IFERROR(VLOOKUP("906-288000-110",B:AB,22+8,0),0)</f>
        <v>0</v>
      </c>
      <c r="AF1262">
        <f>IFERROR(VLOOKUP("906-288000-110",B:AB,23+8,0),0)</f>
        <v>0</v>
      </c>
      <c r="AG1262">
        <f>IFERROR(VLOOKUP("906-288000-110",B:AB,24+8,0),0)</f>
        <v>0</v>
      </c>
      <c r="AH1262">
        <f>IFERROR(VLOOKUP("906-288000-110",B:AB,25+8,0),0)</f>
        <v>0</v>
      </c>
      <c r="AI1262">
        <f>IFERROR(VLOOKUP("906-288000-110",B:AB,26+8,0),0)</f>
        <v>0</v>
      </c>
      <c r="AJ1262">
        <f>IFERROR(VLOOKUP("906-288000-110",B:AB,27+8,0),0)</f>
        <v>0</v>
      </c>
      <c r="AK1262">
        <f>IFERROR(VLOOKUP("906-288000-110",B:AB,28+8,0),0)</f>
        <v>0</v>
      </c>
      <c r="AL1262">
        <f>IFERROR(VLOOKUP("906-288000-110",B:AB,29+8,0),0)</f>
        <v>0</v>
      </c>
      <c r="AM1262">
        <f>IFERROR(VLOOKUP("906-288000-110",B:AB,30+8,0),0)</f>
        <v>0</v>
      </c>
      <c r="AN1262">
        <f>IFERROR(VLOOKUP("906-288000-110",B:AB,31+8,0),0)</f>
        <v>0</v>
      </c>
      <c r="AO1262">
        <f>SUN(INDIRECT(ADDRESS(1261,8)):INDIRECT(ADDRESS(1261,39)))</f>
        <v>0</v>
      </c>
    </row>
    <row r="1263" spans="1:41">
      <c r="H1263" t="s">
        <v>179</v>
      </c>
      <c r="J1263">
        <f>INDIRECT(ADDRESS(1263,9))+INDIRECT(ADDRESS(1261,10))-INDIRECT(ADDRESS(1262,10))</f>
        <v>0</v>
      </c>
      <c r="K1263">
        <f>INDIRECT(ADDRESS(1263,10))+INDIRECT(ADDRESS(1261,11))-INDIRECT(ADDRESS(1262,11))</f>
        <v>0</v>
      </c>
      <c r="L1263">
        <f>INDIRECT(ADDRESS(1263,11))+INDIRECT(ADDRESS(1261,12))-INDIRECT(ADDRESS(1262,12))</f>
        <v>0</v>
      </c>
      <c r="M1263">
        <f>INDIRECT(ADDRESS(1263,12))+INDIRECT(ADDRESS(1261,13))-INDIRECT(ADDRESS(1262,13))</f>
        <v>0</v>
      </c>
      <c r="N1263">
        <f>INDIRECT(ADDRESS(1263,13))+INDIRECT(ADDRESS(1261,14))-INDIRECT(ADDRESS(1262,14))</f>
        <v>0</v>
      </c>
      <c r="O1263">
        <f>INDIRECT(ADDRESS(1263,14))+INDIRECT(ADDRESS(1261,15))-INDIRECT(ADDRESS(1262,15))</f>
        <v>0</v>
      </c>
      <c r="P1263">
        <f>INDIRECT(ADDRESS(1263,15))+INDIRECT(ADDRESS(1261,16))-INDIRECT(ADDRESS(1262,16))</f>
        <v>0</v>
      </c>
      <c r="Q1263">
        <f>INDIRECT(ADDRESS(1263,16))+INDIRECT(ADDRESS(1261,17))-INDIRECT(ADDRESS(1262,17))</f>
        <v>0</v>
      </c>
      <c r="R1263">
        <f>INDIRECT(ADDRESS(1263,17))+INDIRECT(ADDRESS(1261,18))-INDIRECT(ADDRESS(1262,18))</f>
        <v>0</v>
      </c>
      <c r="S1263">
        <f>INDIRECT(ADDRESS(1263,18))+INDIRECT(ADDRESS(1261,19))-INDIRECT(ADDRESS(1262,19))</f>
        <v>0</v>
      </c>
      <c r="T1263">
        <f>INDIRECT(ADDRESS(1263,19))+INDIRECT(ADDRESS(1261,20))-INDIRECT(ADDRESS(1262,20))</f>
        <v>0</v>
      </c>
      <c r="U1263">
        <f>INDIRECT(ADDRESS(1263,20))+INDIRECT(ADDRESS(1261,21))-INDIRECT(ADDRESS(1262,21))</f>
        <v>0</v>
      </c>
      <c r="V1263">
        <f>INDIRECT(ADDRESS(1263,21))+INDIRECT(ADDRESS(1261,22))-INDIRECT(ADDRESS(1262,22))</f>
        <v>0</v>
      </c>
      <c r="W1263">
        <f>INDIRECT(ADDRESS(1263,22))+INDIRECT(ADDRESS(1261,23))-INDIRECT(ADDRESS(1262,23))</f>
        <v>0</v>
      </c>
      <c r="X1263">
        <f>INDIRECT(ADDRESS(1263,23))+INDIRECT(ADDRESS(1261,24))-INDIRECT(ADDRESS(1262,24))</f>
        <v>0</v>
      </c>
      <c r="Y1263">
        <f>INDIRECT(ADDRESS(1263,24))+INDIRECT(ADDRESS(1261,25))-INDIRECT(ADDRESS(1262,25))</f>
        <v>0</v>
      </c>
      <c r="Z1263">
        <f>INDIRECT(ADDRESS(1263,25))+INDIRECT(ADDRESS(1261,26))-INDIRECT(ADDRESS(1262,26))</f>
        <v>0</v>
      </c>
      <c r="AA1263">
        <f>INDIRECT(ADDRESS(1263,26))+INDIRECT(ADDRESS(1261,27))-INDIRECT(ADDRESS(1262,27))</f>
        <v>0</v>
      </c>
      <c r="AB1263">
        <f>INDIRECT(ADDRESS(1263,27))+INDIRECT(ADDRESS(1261,28))-INDIRECT(ADDRESS(1262,28))</f>
        <v>0</v>
      </c>
      <c r="AC1263">
        <f>INDIRECT(ADDRESS(1263,28))+INDIRECT(ADDRESS(1261,29))-INDIRECT(ADDRESS(1262,29))</f>
        <v>0</v>
      </c>
      <c r="AD1263">
        <f>INDIRECT(ADDRESS(1263,29))+INDIRECT(ADDRESS(1261,30))-INDIRECT(ADDRESS(1262,30))</f>
        <v>0</v>
      </c>
      <c r="AE1263">
        <f>INDIRECT(ADDRESS(1263,30))+INDIRECT(ADDRESS(1261,31))-INDIRECT(ADDRESS(1262,31))</f>
        <v>0</v>
      </c>
      <c r="AF1263">
        <f>INDIRECT(ADDRESS(1263,31))+INDIRECT(ADDRESS(1261,32))-INDIRECT(ADDRESS(1262,32))</f>
        <v>0</v>
      </c>
      <c r="AG1263">
        <f>INDIRECT(ADDRESS(1263,32))+INDIRECT(ADDRESS(1261,33))-INDIRECT(ADDRESS(1262,33))</f>
        <v>0</v>
      </c>
      <c r="AH1263">
        <f>INDIRECT(ADDRESS(1263,33))+INDIRECT(ADDRESS(1261,34))-INDIRECT(ADDRESS(1262,34))</f>
        <v>0</v>
      </c>
      <c r="AI1263">
        <f>INDIRECT(ADDRESS(1263,34))+INDIRECT(ADDRESS(1261,35))-INDIRECT(ADDRESS(1262,35))</f>
        <v>0</v>
      </c>
      <c r="AJ1263">
        <f>INDIRECT(ADDRESS(1263,35))+INDIRECT(ADDRESS(1261,36))-INDIRECT(ADDRESS(1262,36))</f>
        <v>0</v>
      </c>
      <c r="AK1263">
        <f>INDIRECT(ADDRESS(1263,36))+INDIRECT(ADDRESS(1261,37))-INDIRECT(ADDRESS(1262,37))</f>
        <v>0</v>
      </c>
      <c r="AL1263">
        <f>INDIRECT(ADDRESS(1263,37))+INDIRECT(ADDRESS(1261,38))-INDIRECT(ADDRESS(1262,38))</f>
        <v>0</v>
      </c>
      <c r="AM1263">
        <f>INDIRECT(ADDRESS(1263,38))+INDIRECT(ADDRESS(1261,39))-INDIRECT(ADDRESS(1262,39))</f>
        <v>0</v>
      </c>
      <c r="AN1263">
        <f>INDIRECT(ADDRESS(1263,39))+INDIRECT(ADDRESS(1261,40))-INDIRECT(ADDRESS(1262,40))</f>
        <v>0</v>
      </c>
      <c r="AO1263">
        <f>SUM(INDIRECT(ADDRESS(1262,8)):INDIRECT(ADDRESS(1262,39)))</f>
        <v>0</v>
      </c>
    </row>
    <row r="1264" spans="1:41">
      <c r="A1264" t="s">
        <v>180</v>
      </c>
      <c r="B1264" t="s">
        <v>632</v>
      </c>
      <c r="C1264" t="s">
        <v>633</v>
      </c>
      <c r="E1264">
        <v>1</v>
      </c>
      <c r="I1264" t="s">
        <v>177</v>
      </c>
    </row>
    <row r="1265" spans="1:41">
      <c r="I1265" t="s">
        <v>178</v>
      </c>
      <c r="J1265">
        <f>IFERROR(VLOOKUP("906-288000-110",B:AB,1+8,0),0)</f>
        <v>0</v>
      </c>
      <c r="K1265">
        <f>IFERROR(VLOOKUP("906-288000-110",B:AB,2+8,0),0)</f>
        <v>0</v>
      </c>
      <c r="L1265">
        <f>IFERROR(VLOOKUP("906-288000-110",B:AB,3+8,0),0)</f>
        <v>0</v>
      </c>
      <c r="M1265">
        <f>IFERROR(VLOOKUP("906-288000-110",B:AB,4+8,0),0)</f>
        <v>0</v>
      </c>
      <c r="N1265">
        <f>IFERROR(VLOOKUP("906-288000-110",B:AB,5+8,0),0)</f>
        <v>0</v>
      </c>
      <c r="O1265">
        <f>IFERROR(VLOOKUP("906-288000-110",B:AB,6+8,0),0)</f>
        <v>0</v>
      </c>
      <c r="P1265">
        <f>IFERROR(VLOOKUP("906-288000-110",B:AB,7+8,0),0)</f>
        <v>0</v>
      </c>
      <c r="Q1265">
        <f>IFERROR(VLOOKUP("906-288000-110",B:AB,8+8,0),0)</f>
        <v>0</v>
      </c>
      <c r="R1265">
        <f>IFERROR(VLOOKUP("906-288000-110",B:AB,9+8,0),0)</f>
        <v>0</v>
      </c>
      <c r="S1265">
        <f>IFERROR(VLOOKUP("906-288000-110",B:AB,10+8,0),0)</f>
        <v>0</v>
      </c>
      <c r="T1265">
        <f>IFERROR(VLOOKUP("906-288000-110",B:AB,11+8,0),0)</f>
        <v>0</v>
      </c>
      <c r="U1265">
        <f>IFERROR(VLOOKUP("906-288000-110",B:AB,12+8,0),0)</f>
        <v>0</v>
      </c>
      <c r="V1265">
        <f>IFERROR(VLOOKUP("906-288000-110",B:AB,13+8,0),0)</f>
        <v>0</v>
      </c>
      <c r="W1265">
        <f>IFERROR(VLOOKUP("906-288000-110",B:AB,14+8,0),0)</f>
        <v>0</v>
      </c>
      <c r="X1265">
        <f>IFERROR(VLOOKUP("906-288000-110",B:AB,15+8,0),0)</f>
        <v>0</v>
      </c>
      <c r="Y1265">
        <f>IFERROR(VLOOKUP("906-288000-110",B:AB,16+8,0),0)</f>
        <v>0</v>
      </c>
      <c r="Z1265">
        <f>IFERROR(VLOOKUP("906-288000-110",B:AB,17+8,0),0)</f>
        <v>0</v>
      </c>
      <c r="AA1265">
        <f>IFERROR(VLOOKUP("906-288000-110",B:AB,18+8,0),0)</f>
        <v>0</v>
      </c>
      <c r="AB1265">
        <f>IFERROR(VLOOKUP("906-288000-110",B:AB,19+8,0),0)</f>
        <v>0</v>
      </c>
      <c r="AC1265">
        <f>IFERROR(VLOOKUP("906-288000-110",B:AB,20+8,0),0)</f>
        <v>0</v>
      </c>
      <c r="AD1265">
        <f>IFERROR(VLOOKUP("906-288000-110",B:AB,21+8,0),0)</f>
        <v>0</v>
      </c>
      <c r="AE1265">
        <f>IFERROR(VLOOKUP("906-288000-110",B:AB,22+8,0),0)</f>
        <v>0</v>
      </c>
      <c r="AF1265">
        <f>IFERROR(VLOOKUP("906-288000-110",B:AB,23+8,0),0)</f>
        <v>0</v>
      </c>
      <c r="AG1265">
        <f>IFERROR(VLOOKUP("906-288000-110",B:AB,24+8,0),0)</f>
        <v>0</v>
      </c>
      <c r="AH1265">
        <f>IFERROR(VLOOKUP("906-288000-110",B:AB,25+8,0),0)</f>
        <v>0</v>
      </c>
      <c r="AI1265">
        <f>IFERROR(VLOOKUP("906-288000-110",B:AB,26+8,0),0)</f>
        <v>0</v>
      </c>
      <c r="AJ1265">
        <f>IFERROR(VLOOKUP("906-288000-110",B:AB,27+8,0),0)</f>
        <v>0</v>
      </c>
      <c r="AK1265">
        <f>IFERROR(VLOOKUP("906-288000-110",B:AB,28+8,0),0)</f>
        <v>0</v>
      </c>
      <c r="AL1265">
        <f>IFERROR(VLOOKUP("906-288000-110",B:AB,29+8,0),0)</f>
        <v>0</v>
      </c>
      <c r="AM1265">
        <f>IFERROR(VLOOKUP("906-288000-110",B:AB,30+8,0),0)</f>
        <v>0</v>
      </c>
      <c r="AN1265">
        <f>IFERROR(VLOOKUP("906-288000-110",B:AB,31+8,0),0)</f>
        <v>0</v>
      </c>
      <c r="AO1265">
        <f>SUN(INDIRECT(ADDRESS(1264,8)):INDIRECT(ADDRESS(1264,39)))</f>
        <v>0</v>
      </c>
    </row>
    <row r="1266" spans="1:41">
      <c r="H1266" t="s">
        <v>179</v>
      </c>
      <c r="J1266">
        <f>INDIRECT(ADDRESS(1266,9))+INDIRECT(ADDRESS(1264,10))-INDIRECT(ADDRESS(1265,10))</f>
        <v>0</v>
      </c>
      <c r="K1266">
        <f>INDIRECT(ADDRESS(1266,10))+INDIRECT(ADDRESS(1264,11))-INDIRECT(ADDRESS(1265,11))</f>
        <v>0</v>
      </c>
      <c r="L1266">
        <f>INDIRECT(ADDRESS(1266,11))+INDIRECT(ADDRESS(1264,12))-INDIRECT(ADDRESS(1265,12))</f>
        <v>0</v>
      </c>
      <c r="M1266">
        <f>INDIRECT(ADDRESS(1266,12))+INDIRECT(ADDRESS(1264,13))-INDIRECT(ADDRESS(1265,13))</f>
        <v>0</v>
      </c>
      <c r="N1266">
        <f>INDIRECT(ADDRESS(1266,13))+INDIRECT(ADDRESS(1264,14))-INDIRECT(ADDRESS(1265,14))</f>
        <v>0</v>
      </c>
      <c r="O1266">
        <f>INDIRECT(ADDRESS(1266,14))+INDIRECT(ADDRESS(1264,15))-INDIRECT(ADDRESS(1265,15))</f>
        <v>0</v>
      </c>
      <c r="P1266">
        <f>INDIRECT(ADDRESS(1266,15))+INDIRECT(ADDRESS(1264,16))-INDIRECT(ADDRESS(1265,16))</f>
        <v>0</v>
      </c>
      <c r="Q1266">
        <f>INDIRECT(ADDRESS(1266,16))+INDIRECT(ADDRESS(1264,17))-INDIRECT(ADDRESS(1265,17))</f>
        <v>0</v>
      </c>
      <c r="R1266">
        <f>INDIRECT(ADDRESS(1266,17))+INDIRECT(ADDRESS(1264,18))-INDIRECT(ADDRESS(1265,18))</f>
        <v>0</v>
      </c>
      <c r="S1266">
        <f>INDIRECT(ADDRESS(1266,18))+INDIRECT(ADDRESS(1264,19))-INDIRECT(ADDRESS(1265,19))</f>
        <v>0</v>
      </c>
      <c r="T1266">
        <f>INDIRECT(ADDRESS(1266,19))+INDIRECT(ADDRESS(1264,20))-INDIRECT(ADDRESS(1265,20))</f>
        <v>0</v>
      </c>
      <c r="U1266">
        <f>INDIRECT(ADDRESS(1266,20))+INDIRECT(ADDRESS(1264,21))-INDIRECT(ADDRESS(1265,21))</f>
        <v>0</v>
      </c>
      <c r="V1266">
        <f>INDIRECT(ADDRESS(1266,21))+INDIRECT(ADDRESS(1264,22))-INDIRECT(ADDRESS(1265,22))</f>
        <v>0</v>
      </c>
      <c r="W1266">
        <f>INDIRECT(ADDRESS(1266,22))+INDIRECT(ADDRESS(1264,23))-INDIRECT(ADDRESS(1265,23))</f>
        <v>0</v>
      </c>
      <c r="X1266">
        <f>INDIRECT(ADDRESS(1266,23))+INDIRECT(ADDRESS(1264,24))-INDIRECT(ADDRESS(1265,24))</f>
        <v>0</v>
      </c>
      <c r="Y1266">
        <f>INDIRECT(ADDRESS(1266,24))+INDIRECT(ADDRESS(1264,25))-INDIRECT(ADDRESS(1265,25))</f>
        <v>0</v>
      </c>
      <c r="Z1266">
        <f>INDIRECT(ADDRESS(1266,25))+INDIRECT(ADDRESS(1264,26))-INDIRECT(ADDRESS(1265,26))</f>
        <v>0</v>
      </c>
      <c r="AA1266">
        <f>INDIRECT(ADDRESS(1266,26))+INDIRECT(ADDRESS(1264,27))-INDIRECT(ADDRESS(1265,27))</f>
        <v>0</v>
      </c>
      <c r="AB1266">
        <f>INDIRECT(ADDRESS(1266,27))+INDIRECT(ADDRESS(1264,28))-INDIRECT(ADDRESS(1265,28))</f>
        <v>0</v>
      </c>
      <c r="AC1266">
        <f>INDIRECT(ADDRESS(1266,28))+INDIRECT(ADDRESS(1264,29))-INDIRECT(ADDRESS(1265,29))</f>
        <v>0</v>
      </c>
      <c r="AD1266">
        <f>INDIRECT(ADDRESS(1266,29))+INDIRECT(ADDRESS(1264,30))-INDIRECT(ADDRESS(1265,30))</f>
        <v>0</v>
      </c>
      <c r="AE1266">
        <f>INDIRECT(ADDRESS(1266,30))+INDIRECT(ADDRESS(1264,31))-INDIRECT(ADDRESS(1265,31))</f>
        <v>0</v>
      </c>
      <c r="AF1266">
        <f>INDIRECT(ADDRESS(1266,31))+INDIRECT(ADDRESS(1264,32))-INDIRECT(ADDRESS(1265,32))</f>
        <v>0</v>
      </c>
      <c r="AG1266">
        <f>INDIRECT(ADDRESS(1266,32))+INDIRECT(ADDRESS(1264,33))-INDIRECT(ADDRESS(1265,33))</f>
        <v>0</v>
      </c>
      <c r="AH1266">
        <f>INDIRECT(ADDRESS(1266,33))+INDIRECT(ADDRESS(1264,34))-INDIRECT(ADDRESS(1265,34))</f>
        <v>0</v>
      </c>
      <c r="AI1266">
        <f>INDIRECT(ADDRESS(1266,34))+INDIRECT(ADDRESS(1264,35))-INDIRECT(ADDRESS(1265,35))</f>
        <v>0</v>
      </c>
      <c r="AJ1266">
        <f>INDIRECT(ADDRESS(1266,35))+INDIRECT(ADDRESS(1264,36))-INDIRECT(ADDRESS(1265,36))</f>
        <v>0</v>
      </c>
      <c r="AK1266">
        <f>INDIRECT(ADDRESS(1266,36))+INDIRECT(ADDRESS(1264,37))-INDIRECT(ADDRESS(1265,37))</f>
        <v>0</v>
      </c>
      <c r="AL1266">
        <f>INDIRECT(ADDRESS(1266,37))+INDIRECT(ADDRESS(1264,38))-INDIRECT(ADDRESS(1265,38))</f>
        <v>0</v>
      </c>
      <c r="AM1266">
        <f>INDIRECT(ADDRESS(1266,38))+INDIRECT(ADDRESS(1264,39))-INDIRECT(ADDRESS(1265,39))</f>
        <v>0</v>
      </c>
      <c r="AN1266">
        <f>INDIRECT(ADDRESS(1266,39))+INDIRECT(ADDRESS(1264,40))-INDIRECT(ADDRESS(1265,40))</f>
        <v>0</v>
      </c>
      <c r="AO1266">
        <f>SUM(INDIRECT(ADDRESS(1265,8)):INDIRECT(ADDRESS(1265,39)))</f>
        <v>0</v>
      </c>
    </row>
    <row r="1267" spans="1:41">
      <c r="A1267" t="s">
        <v>8</v>
      </c>
      <c r="B1267" t="s">
        <v>105</v>
      </c>
      <c r="C1267" t="s">
        <v>106</v>
      </c>
      <c r="E1267">
        <v>1</v>
      </c>
      <c r="I1267" t="s">
        <v>177</v>
      </c>
    </row>
    <row r="1268" spans="1:41">
      <c r="I1268" t="s">
        <v>178</v>
      </c>
      <c r="J1268">
        <f>IFERROR(VLOOKUP("906-352348-110",Out!B:AB,1+8,0),0)</f>
        <v>0</v>
      </c>
      <c r="K1268">
        <f>IFERROR(VLOOKUP("906-352348-110",Out!B:AB,2+8,0),0)</f>
        <v>0</v>
      </c>
      <c r="L1268">
        <f>IFERROR(VLOOKUP("906-352348-110",Out!B:AB,3+8,0),0)</f>
        <v>0</v>
      </c>
      <c r="M1268">
        <f>IFERROR(VLOOKUP("906-352348-110",Out!B:AB,4+8,0),0)</f>
        <v>0</v>
      </c>
      <c r="N1268">
        <f>IFERROR(VLOOKUP("906-352348-110",Out!B:AB,5+8,0),0)</f>
        <v>0</v>
      </c>
      <c r="O1268">
        <f>IFERROR(VLOOKUP("906-352348-110",Out!B:AB,6+8,0),0)</f>
        <v>0</v>
      </c>
      <c r="P1268">
        <f>IFERROR(VLOOKUP("906-352348-110",Out!B:AB,7+8,0),0)</f>
        <v>0</v>
      </c>
      <c r="Q1268">
        <f>IFERROR(VLOOKUP("906-352348-110",Out!B:AB,8+8,0),0)</f>
        <v>0</v>
      </c>
      <c r="R1268">
        <f>IFERROR(VLOOKUP("906-352348-110",Out!B:AB,9+8,0),0)</f>
        <v>0</v>
      </c>
      <c r="S1268">
        <f>IFERROR(VLOOKUP("906-352348-110",Out!B:AB,10+8,0),0)</f>
        <v>0</v>
      </c>
      <c r="T1268">
        <f>IFERROR(VLOOKUP("906-352348-110",Out!B:AB,11+8,0),0)</f>
        <v>0</v>
      </c>
      <c r="U1268">
        <f>IFERROR(VLOOKUP("906-352348-110",Out!B:AB,12+8,0),0)</f>
        <v>0</v>
      </c>
      <c r="V1268">
        <f>IFERROR(VLOOKUP("906-352348-110",Out!B:AB,13+8,0),0)</f>
        <v>0</v>
      </c>
      <c r="W1268">
        <f>IFERROR(VLOOKUP("906-352348-110",Out!B:AB,14+8,0),0)</f>
        <v>0</v>
      </c>
      <c r="X1268">
        <f>IFERROR(VLOOKUP("906-352348-110",Out!B:AB,15+8,0),0)</f>
        <v>0</v>
      </c>
      <c r="Y1268">
        <f>IFERROR(VLOOKUP("906-352348-110",Out!B:AB,16+8,0),0)</f>
        <v>0</v>
      </c>
      <c r="Z1268">
        <f>IFERROR(VLOOKUP("906-352348-110",Out!B:AB,17+8,0),0)</f>
        <v>0</v>
      </c>
      <c r="AA1268">
        <f>IFERROR(VLOOKUP("906-352348-110",Out!B:AB,18+8,0),0)</f>
        <v>0</v>
      </c>
      <c r="AB1268">
        <f>IFERROR(VLOOKUP("906-352348-110",Out!B:AB,19+8,0),0)</f>
        <v>0</v>
      </c>
      <c r="AC1268">
        <f>IFERROR(VLOOKUP("906-352348-110",Out!B:AB,20+8,0),0)</f>
        <v>0</v>
      </c>
      <c r="AD1268">
        <f>IFERROR(VLOOKUP("906-352348-110",Out!B:AB,21+8,0),0)</f>
        <v>0</v>
      </c>
      <c r="AE1268">
        <f>IFERROR(VLOOKUP("906-352348-110",Out!B:AB,22+8,0),0)</f>
        <v>0</v>
      </c>
      <c r="AF1268">
        <f>IFERROR(VLOOKUP("906-352348-110",Out!B:AB,23+8,0),0)</f>
        <v>0</v>
      </c>
      <c r="AG1268">
        <f>IFERROR(VLOOKUP("906-352348-110",Out!B:AB,24+8,0),0)</f>
        <v>0</v>
      </c>
      <c r="AH1268">
        <f>IFERROR(VLOOKUP("906-352348-110",Out!B:AB,25+8,0),0)</f>
        <v>0</v>
      </c>
      <c r="AI1268">
        <f>IFERROR(VLOOKUP("906-352348-110",Out!B:AB,26+8,0),0)</f>
        <v>0</v>
      </c>
      <c r="AJ1268">
        <f>IFERROR(VLOOKUP("906-352348-110",Out!B:AB,27+8,0),0)</f>
        <v>0</v>
      </c>
      <c r="AK1268">
        <f>IFERROR(VLOOKUP("906-352348-110",Out!B:AB,28+8,0),0)</f>
        <v>0</v>
      </c>
      <c r="AL1268">
        <f>IFERROR(VLOOKUP("906-352348-110",Out!B:AB,29+8,0),0)</f>
        <v>0</v>
      </c>
      <c r="AM1268">
        <f>IFERROR(VLOOKUP("906-352348-110",Out!B:AB,30+8,0),0)</f>
        <v>0</v>
      </c>
      <c r="AN1268">
        <f>IFERROR(VLOOKUP("906-352348-110",Out!B:AB,31+8,0),0)</f>
        <v>0</v>
      </c>
      <c r="AO1268">
        <f>SUN(INDIRECT(ADDRESS(1267,8)):INDIRECT(ADDRESS(1267,39)))</f>
        <v>0</v>
      </c>
    </row>
    <row r="1269" spans="1:41">
      <c r="H1269" t="s">
        <v>179</v>
      </c>
      <c r="J1269">
        <f>INDIRECT(ADDRESS(1269,9))+INDIRECT(ADDRESS(1267,10))-INDIRECT(ADDRESS(1268,10))</f>
        <v>0</v>
      </c>
      <c r="K1269">
        <f>INDIRECT(ADDRESS(1269,10))+INDIRECT(ADDRESS(1267,11))-INDIRECT(ADDRESS(1268,11))</f>
        <v>0</v>
      </c>
      <c r="L1269">
        <f>INDIRECT(ADDRESS(1269,11))+INDIRECT(ADDRESS(1267,12))-INDIRECT(ADDRESS(1268,12))</f>
        <v>0</v>
      </c>
      <c r="M1269">
        <f>INDIRECT(ADDRESS(1269,12))+INDIRECT(ADDRESS(1267,13))-INDIRECT(ADDRESS(1268,13))</f>
        <v>0</v>
      </c>
      <c r="N1269">
        <f>INDIRECT(ADDRESS(1269,13))+INDIRECT(ADDRESS(1267,14))-INDIRECT(ADDRESS(1268,14))</f>
        <v>0</v>
      </c>
      <c r="O1269">
        <f>INDIRECT(ADDRESS(1269,14))+INDIRECT(ADDRESS(1267,15))-INDIRECT(ADDRESS(1268,15))</f>
        <v>0</v>
      </c>
      <c r="P1269">
        <f>INDIRECT(ADDRESS(1269,15))+INDIRECT(ADDRESS(1267,16))-INDIRECT(ADDRESS(1268,16))</f>
        <v>0</v>
      </c>
      <c r="Q1269">
        <f>INDIRECT(ADDRESS(1269,16))+INDIRECT(ADDRESS(1267,17))-INDIRECT(ADDRESS(1268,17))</f>
        <v>0</v>
      </c>
      <c r="R1269">
        <f>INDIRECT(ADDRESS(1269,17))+INDIRECT(ADDRESS(1267,18))-INDIRECT(ADDRESS(1268,18))</f>
        <v>0</v>
      </c>
      <c r="S1269">
        <f>INDIRECT(ADDRESS(1269,18))+INDIRECT(ADDRESS(1267,19))-INDIRECT(ADDRESS(1268,19))</f>
        <v>0</v>
      </c>
      <c r="T1269">
        <f>INDIRECT(ADDRESS(1269,19))+INDIRECT(ADDRESS(1267,20))-INDIRECT(ADDRESS(1268,20))</f>
        <v>0</v>
      </c>
      <c r="U1269">
        <f>INDIRECT(ADDRESS(1269,20))+INDIRECT(ADDRESS(1267,21))-INDIRECT(ADDRESS(1268,21))</f>
        <v>0</v>
      </c>
      <c r="V1269">
        <f>INDIRECT(ADDRESS(1269,21))+INDIRECT(ADDRESS(1267,22))-INDIRECT(ADDRESS(1268,22))</f>
        <v>0</v>
      </c>
      <c r="W1269">
        <f>INDIRECT(ADDRESS(1269,22))+INDIRECT(ADDRESS(1267,23))-INDIRECT(ADDRESS(1268,23))</f>
        <v>0</v>
      </c>
      <c r="X1269">
        <f>INDIRECT(ADDRESS(1269,23))+INDIRECT(ADDRESS(1267,24))-INDIRECT(ADDRESS(1268,24))</f>
        <v>0</v>
      </c>
      <c r="Y1269">
        <f>INDIRECT(ADDRESS(1269,24))+INDIRECT(ADDRESS(1267,25))-INDIRECT(ADDRESS(1268,25))</f>
        <v>0</v>
      </c>
      <c r="Z1269">
        <f>INDIRECT(ADDRESS(1269,25))+INDIRECT(ADDRESS(1267,26))-INDIRECT(ADDRESS(1268,26))</f>
        <v>0</v>
      </c>
      <c r="AA1269">
        <f>INDIRECT(ADDRESS(1269,26))+INDIRECT(ADDRESS(1267,27))-INDIRECT(ADDRESS(1268,27))</f>
        <v>0</v>
      </c>
      <c r="AB1269">
        <f>INDIRECT(ADDRESS(1269,27))+INDIRECT(ADDRESS(1267,28))-INDIRECT(ADDRESS(1268,28))</f>
        <v>0</v>
      </c>
      <c r="AC1269">
        <f>INDIRECT(ADDRESS(1269,28))+INDIRECT(ADDRESS(1267,29))-INDIRECT(ADDRESS(1268,29))</f>
        <v>0</v>
      </c>
      <c r="AD1269">
        <f>INDIRECT(ADDRESS(1269,29))+INDIRECT(ADDRESS(1267,30))-INDIRECT(ADDRESS(1268,30))</f>
        <v>0</v>
      </c>
      <c r="AE1269">
        <f>INDIRECT(ADDRESS(1269,30))+INDIRECT(ADDRESS(1267,31))-INDIRECT(ADDRESS(1268,31))</f>
        <v>0</v>
      </c>
      <c r="AF1269">
        <f>INDIRECT(ADDRESS(1269,31))+INDIRECT(ADDRESS(1267,32))-INDIRECT(ADDRESS(1268,32))</f>
        <v>0</v>
      </c>
      <c r="AG1269">
        <f>INDIRECT(ADDRESS(1269,32))+INDIRECT(ADDRESS(1267,33))-INDIRECT(ADDRESS(1268,33))</f>
        <v>0</v>
      </c>
      <c r="AH1269">
        <f>INDIRECT(ADDRESS(1269,33))+INDIRECT(ADDRESS(1267,34))-INDIRECT(ADDRESS(1268,34))</f>
        <v>0</v>
      </c>
      <c r="AI1269">
        <f>INDIRECT(ADDRESS(1269,34))+INDIRECT(ADDRESS(1267,35))-INDIRECT(ADDRESS(1268,35))</f>
        <v>0</v>
      </c>
      <c r="AJ1269">
        <f>INDIRECT(ADDRESS(1269,35))+INDIRECT(ADDRESS(1267,36))-INDIRECT(ADDRESS(1268,36))</f>
        <v>0</v>
      </c>
      <c r="AK1269">
        <f>INDIRECT(ADDRESS(1269,36))+INDIRECT(ADDRESS(1267,37))-INDIRECT(ADDRESS(1268,37))</f>
        <v>0</v>
      </c>
      <c r="AL1269">
        <f>INDIRECT(ADDRESS(1269,37))+INDIRECT(ADDRESS(1267,38))-INDIRECT(ADDRESS(1268,38))</f>
        <v>0</v>
      </c>
      <c r="AM1269">
        <f>INDIRECT(ADDRESS(1269,38))+INDIRECT(ADDRESS(1267,39))-INDIRECT(ADDRESS(1268,39))</f>
        <v>0</v>
      </c>
      <c r="AN1269">
        <f>INDIRECT(ADDRESS(1269,39))+INDIRECT(ADDRESS(1267,40))-INDIRECT(ADDRESS(1268,40))</f>
        <v>0</v>
      </c>
      <c r="AO1269">
        <f>SUM(INDIRECT(ADDRESS(1268,8)):INDIRECT(ADDRESS(1268,39)))</f>
        <v>0</v>
      </c>
    </row>
    <row r="1270" spans="1:41">
      <c r="A1270" t="s">
        <v>180</v>
      </c>
      <c r="B1270" t="s">
        <v>634</v>
      </c>
      <c r="C1270" t="s">
        <v>635</v>
      </c>
      <c r="E1270">
        <v>1</v>
      </c>
      <c r="I1270" t="s">
        <v>177</v>
      </c>
    </row>
    <row r="1271" spans="1:41">
      <c r="I1271" t="s">
        <v>178</v>
      </c>
      <c r="J1271">
        <f>IFERROR(VLOOKUP("906-352348-110",B:AB,1+8,0),0)</f>
        <v>0</v>
      </c>
      <c r="K1271">
        <f>IFERROR(VLOOKUP("906-352348-110",B:AB,2+8,0),0)</f>
        <v>0</v>
      </c>
      <c r="L1271">
        <f>IFERROR(VLOOKUP("906-352348-110",B:AB,3+8,0),0)</f>
        <v>0</v>
      </c>
      <c r="M1271">
        <f>IFERROR(VLOOKUP("906-352348-110",B:AB,4+8,0),0)</f>
        <v>0</v>
      </c>
      <c r="N1271">
        <f>IFERROR(VLOOKUP("906-352348-110",B:AB,5+8,0),0)</f>
        <v>0</v>
      </c>
      <c r="O1271">
        <f>IFERROR(VLOOKUP("906-352348-110",B:AB,6+8,0),0)</f>
        <v>0</v>
      </c>
      <c r="P1271">
        <f>IFERROR(VLOOKUP("906-352348-110",B:AB,7+8,0),0)</f>
        <v>0</v>
      </c>
      <c r="Q1271">
        <f>IFERROR(VLOOKUP("906-352348-110",B:AB,8+8,0),0)</f>
        <v>0</v>
      </c>
      <c r="R1271">
        <f>IFERROR(VLOOKUP("906-352348-110",B:AB,9+8,0),0)</f>
        <v>0</v>
      </c>
      <c r="S1271">
        <f>IFERROR(VLOOKUP("906-352348-110",B:AB,10+8,0),0)</f>
        <v>0</v>
      </c>
      <c r="T1271">
        <f>IFERROR(VLOOKUP("906-352348-110",B:AB,11+8,0),0)</f>
        <v>0</v>
      </c>
      <c r="U1271">
        <f>IFERROR(VLOOKUP("906-352348-110",B:AB,12+8,0),0)</f>
        <v>0</v>
      </c>
      <c r="V1271">
        <f>IFERROR(VLOOKUP("906-352348-110",B:AB,13+8,0),0)</f>
        <v>0</v>
      </c>
      <c r="W1271">
        <f>IFERROR(VLOOKUP("906-352348-110",B:AB,14+8,0),0)</f>
        <v>0</v>
      </c>
      <c r="X1271">
        <f>IFERROR(VLOOKUP("906-352348-110",B:AB,15+8,0),0)</f>
        <v>0</v>
      </c>
      <c r="Y1271">
        <f>IFERROR(VLOOKUP("906-352348-110",B:AB,16+8,0),0)</f>
        <v>0</v>
      </c>
      <c r="Z1271">
        <f>IFERROR(VLOOKUP("906-352348-110",B:AB,17+8,0),0)</f>
        <v>0</v>
      </c>
      <c r="AA1271">
        <f>IFERROR(VLOOKUP("906-352348-110",B:AB,18+8,0),0)</f>
        <v>0</v>
      </c>
      <c r="AB1271">
        <f>IFERROR(VLOOKUP("906-352348-110",B:AB,19+8,0),0)</f>
        <v>0</v>
      </c>
      <c r="AC1271">
        <f>IFERROR(VLOOKUP("906-352348-110",B:AB,20+8,0),0)</f>
        <v>0</v>
      </c>
      <c r="AD1271">
        <f>IFERROR(VLOOKUP("906-352348-110",B:AB,21+8,0),0)</f>
        <v>0</v>
      </c>
      <c r="AE1271">
        <f>IFERROR(VLOOKUP("906-352348-110",B:AB,22+8,0),0)</f>
        <v>0</v>
      </c>
      <c r="AF1271">
        <f>IFERROR(VLOOKUP("906-352348-110",B:AB,23+8,0),0)</f>
        <v>0</v>
      </c>
      <c r="AG1271">
        <f>IFERROR(VLOOKUP("906-352348-110",B:AB,24+8,0),0)</f>
        <v>0</v>
      </c>
      <c r="AH1271">
        <f>IFERROR(VLOOKUP("906-352348-110",B:AB,25+8,0),0)</f>
        <v>0</v>
      </c>
      <c r="AI1271">
        <f>IFERROR(VLOOKUP("906-352348-110",B:AB,26+8,0),0)</f>
        <v>0</v>
      </c>
      <c r="AJ1271">
        <f>IFERROR(VLOOKUP("906-352348-110",B:AB,27+8,0),0)</f>
        <v>0</v>
      </c>
      <c r="AK1271">
        <f>IFERROR(VLOOKUP("906-352348-110",B:AB,28+8,0),0)</f>
        <v>0</v>
      </c>
      <c r="AL1271">
        <f>IFERROR(VLOOKUP("906-352348-110",B:AB,29+8,0),0)</f>
        <v>0</v>
      </c>
      <c r="AM1271">
        <f>IFERROR(VLOOKUP("906-352348-110",B:AB,30+8,0),0)</f>
        <v>0</v>
      </c>
      <c r="AN1271">
        <f>IFERROR(VLOOKUP("906-352348-110",B:AB,31+8,0),0)</f>
        <v>0</v>
      </c>
      <c r="AO1271">
        <f>SUN(INDIRECT(ADDRESS(1270,8)):INDIRECT(ADDRESS(1270,39)))</f>
        <v>0</v>
      </c>
    </row>
    <row r="1272" spans="1:41">
      <c r="H1272" t="s">
        <v>179</v>
      </c>
      <c r="J1272">
        <f>INDIRECT(ADDRESS(1272,9))+INDIRECT(ADDRESS(1270,10))-INDIRECT(ADDRESS(1271,10))</f>
        <v>0</v>
      </c>
      <c r="K1272">
        <f>INDIRECT(ADDRESS(1272,10))+INDIRECT(ADDRESS(1270,11))-INDIRECT(ADDRESS(1271,11))</f>
        <v>0</v>
      </c>
      <c r="L1272">
        <f>INDIRECT(ADDRESS(1272,11))+INDIRECT(ADDRESS(1270,12))-INDIRECT(ADDRESS(1271,12))</f>
        <v>0</v>
      </c>
      <c r="M1272">
        <f>INDIRECT(ADDRESS(1272,12))+INDIRECT(ADDRESS(1270,13))-INDIRECT(ADDRESS(1271,13))</f>
        <v>0</v>
      </c>
      <c r="N1272">
        <f>INDIRECT(ADDRESS(1272,13))+INDIRECT(ADDRESS(1270,14))-INDIRECT(ADDRESS(1271,14))</f>
        <v>0</v>
      </c>
      <c r="O1272">
        <f>INDIRECT(ADDRESS(1272,14))+INDIRECT(ADDRESS(1270,15))-INDIRECT(ADDRESS(1271,15))</f>
        <v>0</v>
      </c>
      <c r="P1272">
        <f>INDIRECT(ADDRESS(1272,15))+INDIRECT(ADDRESS(1270,16))-INDIRECT(ADDRESS(1271,16))</f>
        <v>0</v>
      </c>
      <c r="Q1272">
        <f>INDIRECT(ADDRESS(1272,16))+INDIRECT(ADDRESS(1270,17))-INDIRECT(ADDRESS(1271,17))</f>
        <v>0</v>
      </c>
      <c r="R1272">
        <f>INDIRECT(ADDRESS(1272,17))+INDIRECT(ADDRESS(1270,18))-INDIRECT(ADDRESS(1271,18))</f>
        <v>0</v>
      </c>
      <c r="S1272">
        <f>INDIRECT(ADDRESS(1272,18))+INDIRECT(ADDRESS(1270,19))-INDIRECT(ADDRESS(1271,19))</f>
        <v>0</v>
      </c>
      <c r="T1272">
        <f>INDIRECT(ADDRESS(1272,19))+INDIRECT(ADDRESS(1270,20))-INDIRECT(ADDRESS(1271,20))</f>
        <v>0</v>
      </c>
      <c r="U1272">
        <f>INDIRECT(ADDRESS(1272,20))+INDIRECT(ADDRESS(1270,21))-INDIRECT(ADDRESS(1271,21))</f>
        <v>0</v>
      </c>
      <c r="V1272">
        <f>INDIRECT(ADDRESS(1272,21))+INDIRECT(ADDRESS(1270,22))-INDIRECT(ADDRESS(1271,22))</f>
        <v>0</v>
      </c>
      <c r="W1272">
        <f>INDIRECT(ADDRESS(1272,22))+INDIRECT(ADDRESS(1270,23))-INDIRECT(ADDRESS(1271,23))</f>
        <v>0</v>
      </c>
      <c r="X1272">
        <f>INDIRECT(ADDRESS(1272,23))+INDIRECT(ADDRESS(1270,24))-INDIRECT(ADDRESS(1271,24))</f>
        <v>0</v>
      </c>
      <c r="Y1272">
        <f>INDIRECT(ADDRESS(1272,24))+INDIRECT(ADDRESS(1270,25))-INDIRECT(ADDRESS(1271,25))</f>
        <v>0</v>
      </c>
      <c r="Z1272">
        <f>INDIRECT(ADDRESS(1272,25))+INDIRECT(ADDRESS(1270,26))-INDIRECT(ADDRESS(1271,26))</f>
        <v>0</v>
      </c>
      <c r="AA1272">
        <f>INDIRECT(ADDRESS(1272,26))+INDIRECT(ADDRESS(1270,27))-INDIRECT(ADDRESS(1271,27))</f>
        <v>0</v>
      </c>
      <c r="AB1272">
        <f>INDIRECT(ADDRESS(1272,27))+INDIRECT(ADDRESS(1270,28))-INDIRECT(ADDRESS(1271,28))</f>
        <v>0</v>
      </c>
      <c r="AC1272">
        <f>INDIRECT(ADDRESS(1272,28))+INDIRECT(ADDRESS(1270,29))-INDIRECT(ADDRESS(1271,29))</f>
        <v>0</v>
      </c>
      <c r="AD1272">
        <f>INDIRECT(ADDRESS(1272,29))+INDIRECT(ADDRESS(1270,30))-INDIRECT(ADDRESS(1271,30))</f>
        <v>0</v>
      </c>
      <c r="AE1272">
        <f>INDIRECT(ADDRESS(1272,30))+INDIRECT(ADDRESS(1270,31))-INDIRECT(ADDRESS(1271,31))</f>
        <v>0</v>
      </c>
      <c r="AF1272">
        <f>INDIRECT(ADDRESS(1272,31))+INDIRECT(ADDRESS(1270,32))-INDIRECT(ADDRESS(1271,32))</f>
        <v>0</v>
      </c>
      <c r="AG1272">
        <f>INDIRECT(ADDRESS(1272,32))+INDIRECT(ADDRESS(1270,33))-INDIRECT(ADDRESS(1271,33))</f>
        <v>0</v>
      </c>
      <c r="AH1272">
        <f>INDIRECT(ADDRESS(1272,33))+INDIRECT(ADDRESS(1270,34))-INDIRECT(ADDRESS(1271,34))</f>
        <v>0</v>
      </c>
      <c r="AI1272">
        <f>INDIRECT(ADDRESS(1272,34))+INDIRECT(ADDRESS(1270,35))-INDIRECT(ADDRESS(1271,35))</f>
        <v>0</v>
      </c>
      <c r="AJ1272">
        <f>INDIRECT(ADDRESS(1272,35))+INDIRECT(ADDRESS(1270,36))-INDIRECT(ADDRESS(1271,36))</f>
        <v>0</v>
      </c>
      <c r="AK1272">
        <f>INDIRECT(ADDRESS(1272,36))+INDIRECT(ADDRESS(1270,37))-INDIRECT(ADDRESS(1271,37))</f>
        <v>0</v>
      </c>
      <c r="AL1272">
        <f>INDIRECT(ADDRESS(1272,37))+INDIRECT(ADDRESS(1270,38))-INDIRECT(ADDRESS(1271,38))</f>
        <v>0</v>
      </c>
      <c r="AM1272">
        <f>INDIRECT(ADDRESS(1272,38))+INDIRECT(ADDRESS(1270,39))-INDIRECT(ADDRESS(1271,39))</f>
        <v>0</v>
      </c>
      <c r="AN1272">
        <f>INDIRECT(ADDRESS(1272,39))+INDIRECT(ADDRESS(1270,40))-INDIRECT(ADDRESS(1271,40))</f>
        <v>0</v>
      </c>
      <c r="AO1272">
        <f>SUM(INDIRECT(ADDRESS(1271,8)):INDIRECT(ADDRESS(1271,39)))</f>
        <v>0</v>
      </c>
    </row>
    <row r="1273" spans="1:41">
      <c r="A1273" t="s">
        <v>185</v>
      </c>
      <c r="B1273" t="s">
        <v>636</v>
      </c>
      <c r="C1273" t="s">
        <v>637</v>
      </c>
      <c r="E1273">
        <v>1</v>
      </c>
      <c r="I1273" t="s">
        <v>177</v>
      </c>
    </row>
    <row r="1274" spans="1:41">
      <c r="I1274" t="s">
        <v>178</v>
      </c>
      <c r="J1274">
        <f>IFERROR(VLOOKUP("906-352348-110",B:AB,1+8,0),0)</f>
        <v>0</v>
      </c>
      <c r="K1274">
        <f>IFERROR(VLOOKUP("906-352348-110",B:AB,2+8,0),0)</f>
        <v>0</v>
      </c>
      <c r="L1274">
        <f>IFERROR(VLOOKUP("906-352348-110",B:AB,3+8,0),0)</f>
        <v>0</v>
      </c>
      <c r="M1274">
        <f>IFERROR(VLOOKUP("906-352348-110",B:AB,4+8,0),0)</f>
        <v>0</v>
      </c>
      <c r="N1274">
        <f>IFERROR(VLOOKUP("906-352348-110",B:AB,5+8,0),0)</f>
        <v>0</v>
      </c>
      <c r="O1274">
        <f>IFERROR(VLOOKUP("906-352348-110",B:AB,6+8,0),0)</f>
        <v>0</v>
      </c>
      <c r="P1274">
        <f>IFERROR(VLOOKUP("906-352348-110",B:AB,7+8,0),0)</f>
        <v>0</v>
      </c>
      <c r="Q1274">
        <f>IFERROR(VLOOKUP("906-352348-110",B:AB,8+8,0),0)</f>
        <v>0</v>
      </c>
      <c r="R1274">
        <f>IFERROR(VLOOKUP("906-352348-110",B:AB,9+8,0),0)</f>
        <v>0</v>
      </c>
      <c r="S1274">
        <f>IFERROR(VLOOKUP("906-352348-110",B:AB,10+8,0),0)</f>
        <v>0</v>
      </c>
      <c r="T1274">
        <f>IFERROR(VLOOKUP("906-352348-110",B:AB,11+8,0),0)</f>
        <v>0</v>
      </c>
      <c r="U1274">
        <f>IFERROR(VLOOKUP("906-352348-110",B:AB,12+8,0),0)</f>
        <v>0</v>
      </c>
      <c r="V1274">
        <f>IFERROR(VLOOKUP("906-352348-110",B:AB,13+8,0),0)</f>
        <v>0</v>
      </c>
      <c r="W1274">
        <f>IFERROR(VLOOKUP("906-352348-110",B:AB,14+8,0),0)</f>
        <v>0</v>
      </c>
      <c r="X1274">
        <f>IFERROR(VLOOKUP("906-352348-110",B:AB,15+8,0),0)</f>
        <v>0</v>
      </c>
      <c r="Y1274">
        <f>IFERROR(VLOOKUP("906-352348-110",B:AB,16+8,0),0)</f>
        <v>0</v>
      </c>
      <c r="Z1274">
        <f>IFERROR(VLOOKUP("906-352348-110",B:AB,17+8,0),0)</f>
        <v>0</v>
      </c>
      <c r="AA1274">
        <f>IFERROR(VLOOKUP("906-352348-110",B:AB,18+8,0),0)</f>
        <v>0</v>
      </c>
      <c r="AB1274">
        <f>IFERROR(VLOOKUP("906-352348-110",B:AB,19+8,0),0)</f>
        <v>0</v>
      </c>
      <c r="AC1274">
        <f>IFERROR(VLOOKUP("906-352348-110",B:AB,20+8,0),0)</f>
        <v>0</v>
      </c>
      <c r="AD1274">
        <f>IFERROR(VLOOKUP("906-352348-110",B:AB,21+8,0),0)</f>
        <v>0</v>
      </c>
      <c r="AE1274">
        <f>IFERROR(VLOOKUP("906-352348-110",B:AB,22+8,0),0)</f>
        <v>0</v>
      </c>
      <c r="AF1274">
        <f>IFERROR(VLOOKUP("906-352348-110",B:AB,23+8,0),0)</f>
        <v>0</v>
      </c>
      <c r="AG1274">
        <f>IFERROR(VLOOKUP("906-352348-110",B:AB,24+8,0),0)</f>
        <v>0</v>
      </c>
      <c r="AH1274">
        <f>IFERROR(VLOOKUP("906-352348-110",B:AB,25+8,0),0)</f>
        <v>0</v>
      </c>
      <c r="AI1274">
        <f>IFERROR(VLOOKUP("906-352348-110",B:AB,26+8,0),0)</f>
        <v>0</v>
      </c>
      <c r="AJ1274">
        <f>IFERROR(VLOOKUP("906-352348-110",B:AB,27+8,0),0)</f>
        <v>0</v>
      </c>
      <c r="AK1274">
        <f>IFERROR(VLOOKUP("906-352348-110",B:AB,28+8,0),0)</f>
        <v>0</v>
      </c>
      <c r="AL1274">
        <f>IFERROR(VLOOKUP("906-352348-110",B:AB,29+8,0),0)</f>
        <v>0</v>
      </c>
      <c r="AM1274">
        <f>IFERROR(VLOOKUP("906-352348-110",B:AB,30+8,0),0)</f>
        <v>0</v>
      </c>
      <c r="AN1274">
        <f>IFERROR(VLOOKUP("906-352348-110",B:AB,31+8,0),0)</f>
        <v>0</v>
      </c>
      <c r="AO1274">
        <f>SUN(INDIRECT(ADDRESS(1273,8)):INDIRECT(ADDRESS(1273,39)))</f>
        <v>0</v>
      </c>
    </row>
    <row r="1275" spans="1:41">
      <c r="H1275" t="s">
        <v>179</v>
      </c>
      <c r="J1275">
        <f>INDIRECT(ADDRESS(1275,9))+INDIRECT(ADDRESS(1273,10))-INDIRECT(ADDRESS(1274,10))</f>
        <v>0</v>
      </c>
      <c r="K1275">
        <f>INDIRECT(ADDRESS(1275,10))+INDIRECT(ADDRESS(1273,11))-INDIRECT(ADDRESS(1274,11))</f>
        <v>0</v>
      </c>
      <c r="L1275">
        <f>INDIRECT(ADDRESS(1275,11))+INDIRECT(ADDRESS(1273,12))-INDIRECT(ADDRESS(1274,12))</f>
        <v>0</v>
      </c>
      <c r="M1275">
        <f>INDIRECT(ADDRESS(1275,12))+INDIRECT(ADDRESS(1273,13))-INDIRECT(ADDRESS(1274,13))</f>
        <v>0</v>
      </c>
      <c r="N1275">
        <f>INDIRECT(ADDRESS(1275,13))+INDIRECT(ADDRESS(1273,14))-INDIRECT(ADDRESS(1274,14))</f>
        <v>0</v>
      </c>
      <c r="O1275">
        <f>INDIRECT(ADDRESS(1275,14))+INDIRECT(ADDRESS(1273,15))-INDIRECT(ADDRESS(1274,15))</f>
        <v>0</v>
      </c>
      <c r="P1275">
        <f>INDIRECT(ADDRESS(1275,15))+INDIRECT(ADDRESS(1273,16))-INDIRECT(ADDRESS(1274,16))</f>
        <v>0</v>
      </c>
      <c r="Q1275">
        <f>INDIRECT(ADDRESS(1275,16))+INDIRECT(ADDRESS(1273,17))-INDIRECT(ADDRESS(1274,17))</f>
        <v>0</v>
      </c>
      <c r="R1275">
        <f>INDIRECT(ADDRESS(1275,17))+INDIRECT(ADDRESS(1273,18))-INDIRECT(ADDRESS(1274,18))</f>
        <v>0</v>
      </c>
      <c r="S1275">
        <f>INDIRECT(ADDRESS(1275,18))+INDIRECT(ADDRESS(1273,19))-INDIRECT(ADDRESS(1274,19))</f>
        <v>0</v>
      </c>
      <c r="T1275">
        <f>INDIRECT(ADDRESS(1275,19))+INDIRECT(ADDRESS(1273,20))-INDIRECT(ADDRESS(1274,20))</f>
        <v>0</v>
      </c>
      <c r="U1275">
        <f>INDIRECT(ADDRESS(1275,20))+INDIRECT(ADDRESS(1273,21))-INDIRECT(ADDRESS(1274,21))</f>
        <v>0</v>
      </c>
      <c r="V1275">
        <f>INDIRECT(ADDRESS(1275,21))+INDIRECT(ADDRESS(1273,22))-INDIRECT(ADDRESS(1274,22))</f>
        <v>0</v>
      </c>
      <c r="W1275">
        <f>INDIRECT(ADDRESS(1275,22))+INDIRECT(ADDRESS(1273,23))-INDIRECT(ADDRESS(1274,23))</f>
        <v>0</v>
      </c>
      <c r="X1275">
        <f>INDIRECT(ADDRESS(1275,23))+INDIRECT(ADDRESS(1273,24))-INDIRECT(ADDRESS(1274,24))</f>
        <v>0</v>
      </c>
      <c r="Y1275">
        <f>INDIRECT(ADDRESS(1275,24))+INDIRECT(ADDRESS(1273,25))-INDIRECT(ADDRESS(1274,25))</f>
        <v>0</v>
      </c>
      <c r="Z1275">
        <f>INDIRECT(ADDRESS(1275,25))+INDIRECT(ADDRESS(1273,26))-INDIRECT(ADDRESS(1274,26))</f>
        <v>0</v>
      </c>
      <c r="AA1275">
        <f>INDIRECT(ADDRESS(1275,26))+INDIRECT(ADDRESS(1273,27))-INDIRECT(ADDRESS(1274,27))</f>
        <v>0</v>
      </c>
      <c r="AB1275">
        <f>INDIRECT(ADDRESS(1275,27))+INDIRECT(ADDRESS(1273,28))-INDIRECT(ADDRESS(1274,28))</f>
        <v>0</v>
      </c>
      <c r="AC1275">
        <f>INDIRECT(ADDRESS(1275,28))+INDIRECT(ADDRESS(1273,29))-INDIRECT(ADDRESS(1274,29))</f>
        <v>0</v>
      </c>
      <c r="AD1275">
        <f>INDIRECT(ADDRESS(1275,29))+INDIRECT(ADDRESS(1273,30))-INDIRECT(ADDRESS(1274,30))</f>
        <v>0</v>
      </c>
      <c r="AE1275">
        <f>INDIRECT(ADDRESS(1275,30))+INDIRECT(ADDRESS(1273,31))-INDIRECT(ADDRESS(1274,31))</f>
        <v>0</v>
      </c>
      <c r="AF1275">
        <f>INDIRECT(ADDRESS(1275,31))+INDIRECT(ADDRESS(1273,32))-INDIRECT(ADDRESS(1274,32))</f>
        <v>0</v>
      </c>
      <c r="AG1275">
        <f>INDIRECT(ADDRESS(1275,32))+INDIRECT(ADDRESS(1273,33))-INDIRECT(ADDRESS(1274,33))</f>
        <v>0</v>
      </c>
      <c r="AH1275">
        <f>INDIRECT(ADDRESS(1275,33))+INDIRECT(ADDRESS(1273,34))-INDIRECT(ADDRESS(1274,34))</f>
        <v>0</v>
      </c>
      <c r="AI1275">
        <f>INDIRECT(ADDRESS(1275,34))+INDIRECT(ADDRESS(1273,35))-INDIRECT(ADDRESS(1274,35))</f>
        <v>0</v>
      </c>
      <c r="AJ1275">
        <f>INDIRECT(ADDRESS(1275,35))+INDIRECT(ADDRESS(1273,36))-INDIRECT(ADDRESS(1274,36))</f>
        <v>0</v>
      </c>
      <c r="AK1275">
        <f>INDIRECT(ADDRESS(1275,36))+INDIRECT(ADDRESS(1273,37))-INDIRECT(ADDRESS(1274,37))</f>
        <v>0</v>
      </c>
      <c r="AL1275">
        <f>INDIRECT(ADDRESS(1275,37))+INDIRECT(ADDRESS(1273,38))-INDIRECT(ADDRESS(1274,38))</f>
        <v>0</v>
      </c>
      <c r="AM1275">
        <f>INDIRECT(ADDRESS(1275,38))+INDIRECT(ADDRESS(1273,39))-INDIRECT(ADDRESS(1274,39))</f>
        <v>0</v>
      </c>
      <c r="AN1275">
        <f>INDIRECT(ADDRESS(1275,39))+INDIRECT(ADDRESS(1273,40))-INDIRECT(ADDRESS(1274,40))</f>
        <v>0</v>
      </c>
      <c r="AO1275">
        <f>SUM(INDIRECT(ADDRESS(1274,8)):INDIRECT(ADDRESS(1274,39)))</f>
        <v>0</v>
      </c>
    </row>
    <row r="1276" spans="1:41">
      <c r="A1276" t="s">
        <v>185</v>
      </c>
      <c r="B1276" t="s">
        <v>638</v>
      </c>
      <c r="C1276" t="s">
        <v>639</v>
      </c>
      <c r="E1276">
        <v>1</v>
      </c>
      <c r="I1276" t="s">
        <v>177</v>
      </c>
    </row>
    <row r="1277" spans="1:41">
      <c r="I1277" t="s">
        <v>178</v>
      </c>
      <c r="J1277">
        <f>IFERROR(VLOOKUP("906-352348-110",B:AB,1+8,0),0)</f>
        <v>0</v>
      </c>
      <c r="K1277">
        <f>IFERROR(VLOOKUP("906-352348-110",B:AB,2+8,0),0)</f>
        <v>0</v>
      </c>
      <c r="L1277">
        <f>IFERROR(VLOOKUP("906-352348-110",B:AB,3+8,0),0)</f>
        <v>0</v>
      </c>
      <c r="M1277">
        <f>IFERROR(VLOOKUP("906-352348-110",B:AB,4+8,0),0)</f>
        <v>0</v>
      </c>
      <c r="N1277">
        <f>IFERROR(VLOOKUP("906-352348-110",B:AB,5+8,0),0)</f>
        <v>0</v>
      </c>
      <c r="O1277">
        <f>IFERROR(VLOOKUP("906-352348-110",B:AB,6+8,0),0)</f>
        <v>0</v>
      </c>
      <c r="P1277">
        <f>IFERROR(VLOOKUP("906-352348-110",B:AB,7+8,0),0)</f>
        <v>0</v>
      </c>
      <c r="Q1277">
        <f>IFERROR(VLOOKUP("906-352348-110",B:AB,8+8,0),0)</f>
        <v>0</v>
      </c>
      <c r="R1277">
        <f>IFERROR(VLOOKUP("906-352348-110",B:AB,9+8,0),0)</f>
        <v>0</v>
      </c>
      <c r="S1277">
        <f>IFERROR(VLOOKUP("906-352348-110",B:AB,10+8,0),0)</f>
        <v>0</v>
      </c>
      <c r="T1277">
        <f>IFERROR(VLOOKUP("906-352348-110",B:AB,11+8,0),0)</f>
        <v>0</v>
      </c>
      <c r="U1277">
        <f>IFERROR(VLOOKUP("906-352348-110",B:AB,12+8,0),0)</f>
        <v>0</v>
      </c>
      <c r="V1277">
        <f>IFERROR(VLOOKUP("906-352348-110",B:AB,13+8,0),0)</f>
        <v>0</v>
      </c>
      <c r="W1277">
        <f>IFERROR(VLOOKUP("906-352348-110",B:AB,14+8,0),0)</f>
        <v>0</v>
      </c>
      <c r="X1277">
        <f>IFERROR(VLOOKUP("906-352348-110",B:AB,15+8,0),0)</f>
        <v>0</v>
      </c>
      <c r="Y1277">
        <f>IFERROR(VLOOKUP("906-352348-110",B:AB,16+8,0),0)</f>
        <v>0</v>
      </c>
      <c r="Z1277">
        <f>IFERROR(VLOOKUP("906-352348-110",B:AB,17+8,0),0)</f>
        <v>0</v>
      </c>
      <c r="AA1277">
        <f>IFERROR(VLOOKUP("906-352348-110",B:AB,18+8,0),0)</f>
        <v>0</v>
      </c>
      <c r="AB1277">
        <f>IFERROR(VLOOKUP("906-352348-110",B:AB,19+8,0),0)</f>
        <v>0</v>
      </c>
      <c r="AC1277">
        <f>IFERROR(VLOOKUP("906-352348-110",B:AB,20+8,0),0)</f>
        <v>0</v>
      </c>
      <c r="AD1277">
        <f>IFERROR(VLOOKUP("906-352348-110",B:AB,21+8,0),0)</f>
        <v>0</v>
      </c>
      <c r="AE1277">
        <f>IFERROR(VLOOKUP("906-352348-110",B:AB,22+8,0),0)</f>
        <v>0</v>
      </c>
      <c r="AF1277">
        <f>IFERROR(VLOOKUP("906-352348-110",B:AB,23+8,0),0)</f>
        <v>0</v>
      </c>
      <c r="AG1277">
        <f>IFERROR(VLOOKUP("906-352348-110",B:AB,24+8,0),0)</f>
        <v>0</v>
      </c>
      <c r="AH1277">
        <f>IFERROR(VLOOKUP("906-352348-110",B:AB,25+8,0),0)</f>
        <v>0</v>
      </c>
      <c r="AI1277">
        <f>IFERROR(VLOOKUP("906-352348-110",B:AB,26+8,0),0)</f>
        <v>0</v>
      </c>
      <c r="AJ1277">
        <f>IFERROR(VLOOKUP("906-352348-110",B:AB,27+8,0),0)</f>
        <v>0</v>
      </c>
      <c r="AK1277">
        <f>IFERROR(VLOOKUP("906-352348-110",B:AB,28+8,0),0)</f>
        <v>0</v>
      </c>
      <c r="AL1277">
        <f>IFERROR(VLOOKUP("906-352348-110",B:AB,29+8,0),0)</f>
        <v>0</v>
      </c>
      <c r="AM1277">
        <f>IFERROR(VLOOKUP("906-352348-110",B:AB,30+8,0),0)</f>
        <v>0</v>
      </c>
      <c r="AN1277">
        <f>IFERROR(VLOOKUP("906-352348-110",B:AB,31+8,0),0)</f>
        <v>0</v>
      </c>
      <c r="AO1277">
        <f>SUN(INDIRECT(ADDRESS(1276,8)):INDIRECT(ADDRESS(1276,39)))</f>
        <v>0</v>
      </c>
    </row>
    <row r="1278" spans="1:41">
      <c r="H1278" t="s">
        <v>179</v>
      </c>
      <c r="J1278">
        <f>INDIRECT(ADDRESS(1278,9))+INDIRECT(ADDRESS(1276,10))-INDIRECT(ADDRESS(1277,10))</f>
        <v>0</v>
      </c>
      <c r="K1278">
        <f>INDIRECT(ADDRESS(1278,10))+INDIRECT(ADDRESS(1276,11))-INDIRECT(ADDRESS(1277,11))</f>
        <v>0</v>
      </c>
      <c r="L1278">
        <f>INDIRECT(ADDRESS(1278,11))+INDIRECT(ADDRESS(1276,12))-INDIRECT(ADDRESS(1277,12))</f>
        <v>0</v>
      </c>
      <c r="M1278">
        <f>INDIRECT(ADDRESS(1278,12))+INDIRECT(ADDRESS(1276,13))-INDIRECT(ADDRESS(1277,13))</f>
        <v>0</v>
      </c>
      <c r="N1278">
        <f>INDIRECT(ADDRESS(1278,13))+INDIRECT(ADDRESS(1276,14))-INDIRECT(ADDRESS(1277,14))</f>
        <v>0</v>
      </c>
      <c r="O1278">
        <f>INDIRECT(ADDRESS(1278,14))+INDIRECT(ADDRESS(1276,15))-INDIRECT(ADDRESS(1277,15))</f>
        <v>0</v>
      </c>
      <c r="P1278">
        <f>INDIRECT(ADDRESS(1278,15))+INDIRECT(ADDRESS(1276,16))-INDIRECT(ADDRESS(1277,16))</f>
        <v>0</v>
      </c>
      <c r="Q1278">
        <f>INDIRECT(ADDRESS(1278,16))+INDIRECT(ADDRESS(1276,17))-INDIRECT(ADDRESS(1277,17))</f>
        <v>0</v>
      </c>
      <c r="R1278">
        <f>INDIRECT(ADDRESS(1278,17))+INDIRECT(ADDRESS(1276,18))-INDIRECT(ADDRESS(1277,18))</f>
        <v>0</v>
      </c>
      <c r="S1278">
        <f>INDIRECT(ADDRESS(1278,18))+INDIRECT(ADDRESS(1276,19))-INDIRECT(ADDRESS(1277,19))</f>
        <v>0</v>
      </c>
      <c r="T1278">
        <f>INDIRECT(ADDRESS(1278,19))+INDIRECT(ADDRESS(1276,20))-INDIRECT(ADDRESS(1277,20))</f>
        <v>0</v>
      </c>
      <c r="U1278">
        <f>INDIRECT(ADDRESS(1278,20))+INDIRECT(ADDRESS(1276,21))-INDIRECT(ADDRESS(1277,21))</f>
        <v>0</v>
      </c>
      <c r="V1278">
        <f>INDIRECT(ADDRESS(1278,21))+INDIRECT(ADDRESS(1276,22))-INDIRECT(ADDRESS(1277,22))</f>
        <v>0</v>
      </c>
      <c r="W1278">
        <f>INDIRECT(ADDRESS(1278,22))+INDIRECT(ADDRESS(1276,23))-INDIRECT(ADDRESS(1277,23))</f>
        <v>0</v>
      </c>
      <c r="X1278">
        <f>INDIRECT(ADDRESS(1278,23))+INDIRECT(ADDRESS(1276,24))-INDIRECT(ADDRESS(1277,24))</f>
        <v>0</v>
      </c>
      <c r="Y1278">
        <f>INDIRECT(ADDRESS(1278,24))+INDIRECT(ADDRESS(1276,25))-INDIRECT(ADDRESS(1277,25))</f>
        <v>0</v>
      </c>
      <c r="Z1278">
        <f>INDIRECT(ADDRESS(1278,25))+INDIRECT(ADDRESS(1276,26))-INDIRECT(ADDRESS(1277,26))</f>
        <v>0</v>
      </c>
      <c r="AA1278">
        <f>INDIRECT(ADDRESS(1278,26))+INDIRECT(ADDRESS(1276,27))-INDIRECT(ADDRESS(1277,27))</f>
        <v>0</v>
      </c>
      <c r="AB1278">
        <f>INDIRECT(ADDRESS(1278,27))+INDIRECT(ADDRESS(1276,28))-INDIRECT(ADDRESS(1277,28))</f>
        <v>0</v>
      </c>
      <c r="AC1278">
        <f>INDIRECT(ADDRESS(1278,28))+INDIRECT(ADDRESS(1276,29))-INDIRECT(ADDRESS(1277,29))</f>
        <v>0</v>
      </c>
      <c r="AD1278">
        <f>INDIRECT(ADDRESS(1278,29))+INDIRECT(ADDRESS(1276,30))-INDIRECT(ADDRESS(1277,30))</f>
        <v>0</v>
      </c>
      <c r="AE1278">
        <f>INDIRECT(ADDRESS(1278,30))+INDIRECT(ADDRESS(1276,31))-INDIRECT(ADDRESS(1277,31))</f>
        <v>0</v>
      </c>
      <c r="AF1278">
        <f>INDIRECT(ADDRESS(1278,31))+INDIRECT(ADDRESS(1276,32))-INDIRECT(ADDRESS(1277,32))</f>
        <v>0</v>
      </c>
      <c r="AG1278">
        <f>INDIRECT(ADDRESS(1278,32))+INDIRECT(ADDRESS(1276,33))-INDIRECT(ADDRESS(1277,33))</f>
        <v>0</v>
      </c>
      <c r="AH1278">
        <f>INDIRECT(ADDRESS(1278,33))+INDIRECT(ADDRESS(1276,34))-INDIRECT(ADDRESS(1277,34))</f>
        <v>0</v>
      </c>
      <c r="AI1278">
        <f>INDIRECT(ADDRESS(1278,34))+INDIRECT(ADDRESS(1276,35))-INDIRECT(ADDRESS(1277,35))</f>
        <v>0</v>
      </c>
      <c r="AJ1278">
        <f>INDIRECT(ADDRESS(1278,35))+INDIRECT(ADDRESS(1276,36))-INDIRECT(ADDRESS(1277,36))</f>
        <v>0</v>
      </c>
      <c r="AK1278">
        <f>INDIRECT(ADDRESS(1278,36))+INDIRECT(ADDRESS(1276,37))-INDIRECT(ADDRESS(1277,37))</f>
        <v>0</v>
      </c>
      <c r="AL1278">
        <f>INDIRECT(ADDRESS(1278,37))+INDIRECT(ADDRESS(1276,38))-INDIRECT(ADDRESS(1277,38))</f>
        <v>0</v>
      </c>
      <c r="AM1278">
        <f>INDIRECT(ADDRESS(1278,38))+INDIRECT(ADDRESS(1276,39))-INDIRECT(ADDRESS(1277,39))</f>
        <v>0</v>
      </c>
      <c r="AN1278">
        <f>INDIRECT(ADDRESS(1278,39))+INDIRECT(ADDRESS(1276,40))-INDIRECT(ADDRESS(1277,40))</f>
        <v>0</v>
      </c>
      <c r="AO1278">
        <f>SUM(INDIRECT(ADDRESS(1277,8)):INDIRECT(ADDRESS(1277,39)))</f>
        <v>0</v>
      </c>
    </row>
    <row r="1279" spans="1:41">
      <c r="A1279" t="s">
        <v>185</v>
      </c>
      <c r="B1279" t="s">
        <v>640</v>
      </c>
      <c r="C1279" t="s">
        <v>641</v>
      </c>
      <c r="E1279">
        <v>2</v>
      </c>
      <c r="I1279" t="s">
        <v>177</v>
      </c>
    </row>
    <row r="1280" spans="1:41">
      <c r="I1280" t="s">
        <v>178</v>
      </c>
      <c r="J1280">
        <f>IFERROR(VLOOKUP("906-352348-110",B:AB,1+8,0),0)</f>
        <v>0</v>
      </c>
      <c r="K1280">
        <f>IFERROR(VLOOKUP("906-352348-110",B:AB,2+8,0),0)</f>
        <v>0</v>
      </c>
      <c r="L1280">
        <f>IFERROR(VLOOKUP("906-352348-110",B:AB,3+8,0),0)</f>
        <v>0</v>
      </c>
      <c r="M1280">
        <f>IFERROR(VLOOKUP("906-352348-110",B:AB,4+8,0),0)</f>
        <v>0</v>
      </c>
      <c r="N1280">
        <f>IFERROR(VLOOKUP("906-352348-110",B:AB,5+8,0),0)</f>
        <v>0</v>
      </c>
      <c r="O1280">
        <f>IFERROR(VLOOKUP("906-352348-110",B:AB,6+8,0),0)</f>
        <v>0</v>
      </c>
      <c r="P1280">
        <f>IFERROR(VLOOKUP("906-352348-110",B:AB,7+8,0),0)</f>
        <v>0</v>
      </c>
      <c r="Q1280">
        <f>IFERROR(VLOOKUP("906-352348-110",B:AB,8+8,0),0)</f>
        <v>0</v>
      </c>
      <c r="R1280">
        <f>IFERROR(VLOOKUP("906-352348-110",B:AB,9+8,0),0)</f>
        <v>0</v>
      </c>
      <c r="S1280">
        <f>IFERROR(VLOOKUP("906-352348-110",B:AB,10+8,0),0)</f>
        <v>0</v>
      </c>
      <c r="T1280">
        <f>IFERROR(VLOOKUP("906-352348-110",B:AB,11+8,0),0)</f>
        <v>0</v>
      </c>
      <c r="U1280">
        <f>IFERROR(VLOOKUP("906-352348-110",B:AB,12+8,0),0)</f>
        <v>0</v>
      </c>
      <c r="V1280">
        <f>IFERROR(VLOOKUP("906-352348-110",B:AB,13+8,0),0)</f>
        <v>0</v>
      </c>
      <c r="W1280">
        <f>IFERROR(VLOOKUP("906-352348-110",B:AB,14+8,0),0)</f>
        <v>0</v>
      </c>
      <c r="X1280">
        <f>IFERROR(VLOOKUP("906-352348-110",B:AB,15+8,0),0)</f>
        <v>0</v>
      </c>
      <c r="Y1280">
        <f>IFERROR(VLOOKUP("906-352348-110",B:AB,16+8,0),0)</f>
        <v>0</v>
      </c>
      <c r="Z1280">
        <f>IFERROR(VLOOKUP("906-352348-110",B:AB,17+8,0),0)</f>
        <v>0</v>
      </c>
      <c r="AA1280">
        <f>IFERROR(VLOOKUP("906-352348-110",B:AB,18+8,0),0)</f>
        <v>0</v>
      </c>
      <c r="AB1280">
        <f>IFERROR(VLOOKUP("906-352348-110",B:AB,19+8,0),0)</f>
        <v>0</v>
      </c>
      <c r="AC1280">
        <f>IFERROR(VLOOKUP("906-352348-110",B:AB,20+8,0),0)</f>
        <v>0</v>
      </c>
      <c r="AD1280">
        <f>IFERROR(VLOOKUP("906-352348-110",B:AB,21+8,0),0)</f>
        <v>0</v>
      </c>
      <c r="AE1280">
        <f>IFERROR(VLOOKUP("906-352348-110",B:AB,22+8,0),0)</f>
        <v>0</v>
      </c>
      <c r="AF1280">
        <f>IFERROR(VLOOKUP("906-352348-110",B:AB,23+8,0),0)</f>
        <v>0</v>
      </c>
      <c r="AG1280">
        <f>IFERROR(VLOOKUP("906-352348-110",B:AB,24+8,0),0)</f>
        <v>0</v>
      </c>
      <c r="AH1280">
        <f>IFERROR(VLOOKUP("906-352348-110",B:AB,25+8,0),0)</f>
        <v>0</v>
      </c>
      <c r="AI1280">
        <f>IFERROR(VLOOKUP("906-352348-110",B:AB,26+8,0),0)</f>
        <v>0</v>
      </c>
      <c r="AJ1280">
        <f>IFERROR(VLOOKUP("906-352348-110",B:AB,27+8,0),0)</f>
        <v>0</v>
      </c>
      <c r="AK1280">
        <f>IFERROR(VLOOKUP("906-352348-110",B:AB,28+8,0),0)</f>
        <v>0</v>
      </c>
      <c r="AL1280">
        <f>IFERROR(VLOOKUP("906-352348-110",B:AB,29+8,0),0)</f>
        <v>0</v>
      </c>
      <c r="AM1280">
        <f>IFERROR(VLOOKUP("906-352348-110",B:AB,30+8,0),0)</f>
        <v>0</v>
      </c>
      <c r="AN1280">
        <f>IFERROR(VLOOKUP("906-352348-110",B:AB,31+8,0),0)</f>
        <v>0</v>
      </c>
      <c r="AO1280">
        <f>SUN(INDIRECT(ADDRESS(1279,8)):INDIRECT(ADDRESS(1279,39)))</f>
        <v>0</v>
      </c>
    </row>
    <row r="1281" spans="1:41">
      <c r="H1281" t="s">
        <v>179</v>
      </c>
      <c r="J1281">
        <f>INDIRECT(ADDRESS(1281,9))+INDIRECT(ADDRESS(1279,10))-INDIRECT(ADDRESS(1280,10))</f>
        <v>0</v>
      </c>
      <c r="K1281">
        <f>INDIRECT(ADDRESS(1281,10))+INDIRECT(ADDRESS(1279,11))-INDIRECT(ADDRESS(1280,11))</f>
        <v>0</v>
      </c>
      <c r="L1281">
        <f>INDIRECT(ADDRESS(1281,11))+INDIRECT(ADDRESS(1279,12))-INDIRECT(ADDRESS(1280,12))</f>
        <v>0</v>
      </c>
      <c r="M1281">
        <f>INDIRECT(ADDRESS(1281,12))+INDIRECT(ADDRESS(1279,13))-INDIRECT(ADDRESS(1280,13))</f>
        <v>0</v>
      </c>
      <c r="N1281">
        <f>INDIRECT(ADDRESS(1281,13))+INDIRECT(ADDRESS(1279,14))-INDIRECT(ADDRESS(1280,14))</f>
        <v>0</v>
      </c>
      <c r="O1281">
        <f>INDIRECT(ADDRESS(1281,14))+INDIRECT(ADDRESS(1279,15))-INDIRECT(ADDRESS(1280,15))</f>
        <v>0</v>
      </c>
      <c r="P1281">
        <f>INDIRECT(ADDRESS(1281,15))+INDIRECT(ADDRESS(1279,16))-INDIRECT(ADDRESS(1280,16))</f>
        <v>0</v>
      </c>
      <c r="Q1281">
        <f>INDIRECT(ADDRESS(1281,16))+INDIRECT(ADDRESS(1279,17))-INDIRECT(ADDRESS(1280,17))</f>
        <v>0</v>
      </c>
      <c r="R1281">
        <f>INDIRECT(ADDRESS(1281,17))+INDIRECT(ADDRESS(1279,18))-INDIRECT(ADDRESS(1280,18))</f>
        <v>0</v>
      </c>
      <c r="S1281">
        <f>INDIRECT(ADDRESS(1281,18))+INDIRECT(ADDRESS(1279,19))-INDIRECT(ADDRESS(1280,19))</f>
        <v>0</v>
      </c>
      <c r="T1281">
        <f>INDIRECT(ADDRESS(1281,19))+INDIRECT(ADDRESS(1279,20))-INDIRECT(ADDRESS(1280,20))</f>
        <v>0</v>
      </c>
      <c r="U1281">
        <f>INDIRECT(ADDRESS(1281,20))+INDIRECT(ADDRESS(1279,21))-INDIRECT(ADDRESS(1280,21))</f>
        <v>0</v>
      </c>
      <c r="V1281">
        <f>INDIRECT(ADDRESS(1281,21))+INDIRECT(ADDRESS(1279,22))-INDIRECT(ADDRESS(1280,22))</f>
        <v>0</v>
      </c>
      <c r="W1281">
        <f>INDIRECT(ADDRESS(1281,22))+INDIRECT(ADDRESS(1279,23))-INDIRECT(ADDRESS(1280,23))</f>
        <v>0</v>
      </c>
      <c r="X1281">
        <f>INDIRECT(ADDRESS(1281,23))+INDIRECT(ADDRESS(1279,24))-INDIRECT(ADDRESS(1280,24))</f>
        <v>0</v>
      </c>
      <c r="Y1281">
        <f>INDIRECT(ADDRESS(1281,24))+INDIRECT(ADDRESS(1279,25))-INDIRECT(ADDRESS(1280,25))</f>
        <v>0</v>
      </c>
      <c r="Z1281">
        <f>INDIRECT(ADDRESS(1281,25))+INDIRECT(ADDRESS(1279,26))-INDIRECT(ADDRESS(1280,26))</f>
        <v>0</v>
      </c>
      <c r="AA1281">
        <f>INDIRECT(ADDRESS(1281,26))+INDIRECT(ADDRESS(1279,27))-INDIRECT(ADDRESS(1280,27))</f>
        <v>0</v>
      </c>
      <c r="AB1281">
        <f>INDIRECT(ADDRESS(1281,27))+INDIRECT(ADDRESS(1279,28))-INDIRECT(ADDRESS(1280,28))</f>
        <v>0</v>
      </c>
      <c r="AC1281">
        <f>INDIRECT(ADDRESS(1281,28))+INDIRECT(ADDRESS(1279,29))-INDIRECT(ADDRESS(1280,29))</f>
        <v>0</v>
      </c>
      <c r="AD1281">
        <f>INDIRECT(ADDRESS(1281,29))+INDIRECT(ADDRESS(1279,30))-INDIRECT(ADDRESS(1280,30))</f>
        <v>0</v>
      </c>
      <c r="AE1281">
        <f>INDIRECT(ADDRESS(1281,30))+INDIRECT(ADDRESS(1279,31))-INDIRECT(ADDRESS(1280,31))</f>
        <v>0</v>
      </c>
      <c r="AF1281">
        <f>INDIRECT(ADDRESS(1281,31))+INDIRECT(ADDRESS(1279,32))-INDIRECT(ADDRESS(1280,32))</f>
        <v>0</v>
      </c>
      <c r="AG1281">
        <f>INDIRECT(ADDRESS(1281,32))+INDIRECT(ADDRESS(1279,33))-INDIRECT(ADDRESS(1280,33))</f>
        <v>0</v>
      </c>
      <c r="AH1281">
        <f>INDIRECT(ADDRESS(1281,33))+INDIRECT(ADDRESS(1279,34))-INDIRECT(ADDRESS(1280,34))</f>
        <v>0</v>
      </c>
      <c r="AI1281">
        <f>INDIRECT(ADDRESS(1281,34))+INDIRECT(ADDRESS(1279,35))-INDIRECT(ADDRESS(1280,35))</f>
        <v>0</v>
      </c>
      <c r="AJ1281">
        <f>INDIRECT(ADDRESS(1281,35))+INDIRECT(ADDRESS(1279,36))-INDIRECT(ADDRESS(1280,36))</f>
        <v>0</v>
      </c>
      <c r="AK1281">
        <f>INDIRECT(ADDRESS(1281,36))+INDIRECT(ADDRESS(1279,37))-INDIRECT(ADDRESS(1280,37))</f>
        <v>0</v>
      </c>
      <c r="AL1281">
        <f>INDIRECT(ADDRESS(1281,37))+INDIRECT(ADDRESS(1279,38))-INDIRECT(ADDRESS(1280,38))</f>
        <v>0</v>
      </c>
      <c r="AM1281">
        <f>INDIRECT(ADDRESS(1281,38))+INDIRECT(ADDRESS(1279,39))-INDIRECT(ADDRESS(1280,39))</f>
        <v>0</v>
      </c>
      <c r="AN1281">
        <f>INDIRECT(ADDRESS(1281,39))+INDIRECT(ADDRESS(1279,40))-INDIRECT(ADDRESS(1280,40))</f>
        <v>0</v>
      </c>
      <c r="AO1281">
        <f>SUM(INDIRECT(ADDRESS(1280,8)):INDIRECT(ADDRESS(1280,39)))</f>
        <v>0</v>
      </c>
    </row>
    <row r="1282" spans="1:41">
      <c r="A1282" t="s">
        <v>185</v>
      </c>
      <c r="B1282" t="s">
        <v>642</v>
      </c>
      <c r="C1282" t="s">
        <v>643</v>
      </c>
      <c r="E1282">
        <v>2</v>
      </c>
      <c r="I1282" t="s">
        <v>177</v>
      </c>
    </row>
    <row r="1283" spans="1:41">
      <c r="I1283" t="s">
        <v>178</v>
      </c>
      <c r="J1283">
        <f>IFERROR(VLOOKUP("906-352348-110",B:AB,1+8,0),0)</f>
        <v>0</v>
      </c>
      <c r="K1283">
        <f>IFERROR(VLOOKUP("906-352348-110",B:AB,2+8,0),0)</f>
        <v>0</v>
      </c>
      <c r="L1283">
        <f>IFERROR(VLOOKUP("906-352348-110",B:AB,3+8,0),0)</f>
        <v>0</v>
      </c>
      <c r="M1283">
        <f>IFERROR(VLOOKUP("906-352348-110",B:AB,4+8,0),0)</f>
        <v>0</v>
      </c>
      <c r="N1283">
        <f>IFERROR(VLOOKUP("906-352348-110",B:AB,5+8,0),0)</f>
        <v>0</v>
      </c>
      <c r="O1283">
        <f>IFERROR(VLOOKUP("906-352348-110",B:AB,6+8,0),0)</f>
        <v>0</v>
      </c>
      <c r="P1283">
        <f>IFERROR(VLOOKUP("906-352348-110",B:AB,7+8,0),0)</f>
        <v>0</v>
      </c>
      <c r="Q1283">
        <f>IFERROR(VLOOKUP("906-352348-110",B:AB,8+8,0),0)</f>
        <v>0</v>
      </c>
      <c r="R1283">
        <f>IFERROR(VLOOKUP("906-352348-110",B:AB,9+8,0),0)</f>
        <v>0</v>
      </c>
      <c r="S1283">
        <f>IFERROR(VLOOKUP("906-352348-110",B:AB,10+8,0),0)</f>
        <v>0</v>
      </c>
      <c r="T1283">
        <f>IFERROR(VLOOKUP("906-352348-110",B:AB,11+8,0),0)</f>
        <v>0</v>
      </c>
      <c r="U1283">
        <f>IFERROR(VLOOKUP("906-352348-110",B:AB,12+8,0),0)</f>
        <v>0</v>
      </c>
      <c r="V1283">
        <f>IFERROR(VLOOKUP("906-352348-110",B:AB,13+8,0),0)</f>
        <v>0</v>
      </c>
      <c r="W1283">
        <f>IFERROR(VLOOKUP("906-352348-110",B:AB,14+8,0),0)</f>
        <v>0</v>
      </c>
      <c r="X1283">
        <f>IFERROR(VLOOKUP("906-352348-110",B:AB,15+8,0),0)</f>
        <v>0</v>
      </c>
      <c r="Y1283">
        <f>IFERROR(VLOOKUP("906-352348-110",B:AB,16+8,0),0)</f>
        <v>0</v>
      </c>
      <c r="Z1283">
        <f>IFERROR(VLOOKUP("906-352348-110",B:AB,17+8,0),0)</f>
        <v>0</v>
      </c>
      <c r="AA1283">
        <f>IFERROR(VLOOKUP("906-352348-110",B:AB,18+8,0),0)</f>
        <v>0</v>
      </c>
      <c r="AB1283">
        <f>IFERROR(VLOOKUP("906-352348-110",B:AB,19+8,0),0)</f>
        <v>0</v>
      </c>
      <c r="AC1283">
        <f>IFERROR(VLOOKUP("906-352348-110",B:AB,20+8,0),0)</f>
        <v>0</v>
      </c>
      <c r="AD1283">
        <f>IFERROR(VLOOKUP("906-352348-110",B:AB,21+8,0),0)</f>
        <v>0</v>
      </c>
      <c r="AE1283">
        <f>IFERROR(VLOOKUP("906-352348-110",B:AB,22+8,0),0)</f>
        <v>0</v>
      </c>
      <c r="AF1283">
        <f>IFERROR(VLOOKUP("906-352348-110",B:AB,23+8,0),0)</f>
        <v>0</v>
      </c>
      <c r="AG1283">
        <f>IFERROR(VLOOKUP("906-352348-110",B:AB,24+8,0),0)</f>
        <v>0</v>
      </c>
      <c r="AH1283">
        <f>IFERROR(VLOOKUP("906-352348-110",B:AB,25+8,0),0)</f>
        <v>0</v>
      </c>
      <c r="AI1283">
        <f>IFERROR(VLOOKUP("906-352348-110",B:AB,26+8,0),0)</f>
        <v>0</v>
      </c>
      <c r="AJ1283">
        <f>IFERROR(VLOOKUP("906-352348-110",B:AB,27+8,0),0)</f>
        <v>0</v>
      </c>
      <c r="AK1283">
        <f>IFERROR(VLOOKUP("906-352348-110",B:AB,28+8,0),0)</f>
        <v>0</v>
      </c>
      <c r="AL1283">
        <f>IFERROR(VLOOKUP("906-352348-110",B:AB,29+8,0),0)</f>
        <v>0</v>
      </c>
      <c r="AM1283">
        <f>IFERROR(VLOOKUP("906-352348-110",B:AB,30+8,0),0)</f>
        <v>0</v>
      </c>
      <c r="AN1283">
        <f>IFERROR(VLOOKUP("906-352348-110",B:AB,31+8,0),0)</f>
        <v>0</v>
      </c>
      <c r="AO1283">
        <f>SUN(INDIRECT(ADDRESS(1282,8)):INDIRECT(ADDRESS(1282,39)))</f>
        <v>0</v>
      </c>
    </row>
    <row r="1284" spans="1:41">
      <c r="H1284" t="s">
        <v>179</v>
      </c>
      <c r="J1284">
        <f>INDIRECT(ADDRESS(1284,9))+INDIRECT(ADDRESS(1282,10))-INDIRECT(ADDRESS(1283,10))</f>
        <v>0</v>
      </c>
      <c r="K1284">
        <f>INDIRECT(ADDRESS(1284,10))+INDIRECT(ADDRESS(1282,11))-INDIRECT(ADDRESS(1283,11))</f>
        <v>0</v>
      </c>
      <c r="L1284">
        <f>INDIRECT(ADDRESS(1284,11))+INDIRECT(ADDRESS(1282,12))-INDIRECT(ADDRESS(1283,12))</f>
        <v>0</v>
      </c>
      <c r="M1284">
        <f>INDIRECT(ADDRESS(1284,12))+INDIRECT(ADDRESS(1282,13))-INDIRECT(ADDRESS(1283,13))</f>
        <v>0</v>
      </c>
      <c r="N1284">
        <f>INDIRECT(ADDRESS(1284,13))+INDIRECT(ADDRESS(1282,14))-INDIRECT(ADDRESS(1283,14))</f>
        <v>0</v>
      </c>
      <c r="O1284">
        <f>INDIRECT(ADDRESS(1284,14))+INDIRECT(ADDRESS(1282,15))-INDIRECT(ADDRESS(1283,15))</f>
        <v>0</v>
      </c>
      <c r="P1284">
        <f>INDIRECT(ADDRESS(1284,15))+INDIRECT(ADDRESS(1282,16))-INDIRECT(ADDRESS(1283,16))</f>
        <v>0</v>
      </c>
      <c r="Q1284">
        <f>INDIRECT(ADDRESS(1284,16))+INDIRECT(ADDRESS(1282,17))-INDIRECT(ADDRESS(1283,17))</f>
        <v>0</v>
      </c>
      <c r="R1284">
        <f>INDIRECT(ADDRESS(1284,17))+INDIRECT(ADDRESS(1282,18))-INDIRECT(ADDRESS(1283,18))</f>
        <v>0</v>
      </c>
      <c r="S1284">
        <f>INDIRECT(ADDRESS(1284,18))+INDIRECT(ADDRESS(1282,19))-INDIRECT(ADDRESS(1283,19))</f>
        <v>0</v>
      </c>
      <c r="T1284">
        <f>INDIRECT(ADDRESS(1284,19))+INDIRECT(ADDRESS(1282,20))-INDIRECT(ADDRESS(1283,20))</f>
        <v>0</v>
      </c>
      <c r="U1284">
        <f>INDIRECT(ADDRESS(1284,20))+INDIRECT(ADDRESS(1282,21))-INDIRECT(ADDRESS(1283,21))</f>
        <v>0</v>
      </c>
      <c r="V1284">
        <f>INDIRECT(ADDRESS(1284,21))+INDIRECT(ADDRESS(1282,22))-INDIRECT(ADDRESS(1283,22))</f>
        <v>0</v>
      </c>
      <c r="W1284">
        <f>INDIRECT(ADDRESS(1284,22))+INDIRECT(ADDRESS(1282,23))-INDIRECT(ADDRESS(1283,23))</f>
        <v>0</v>
      </c>
      <c r="X1284">
        <f>INDIRECT(ADDRESS(1284,23))+INDIRECT(ADDRESS(1282,24))-INDIRECT(ADDRESS(1283,24))</f>
        <v>0</v>
      </c>
      <c r="Y1284">
        <f>INDIRECT(ADDRESS(1284,24))+INDIRECT(ADDRESS(1282,25))-INDIRECT(ADDRESS(1283,25))</f>
        <v>0</v>
      </c>
      <c r="Z1284">
        <f>INDIRECT(ADDRESS(1284,25))+INDIRECT(ADDRESS(1282,26))-INDIRECT(ADDRESS(1283,26))</f>
        <v>0</v>
      </c>
      <c r="AA1284">
        <f>INDIRECT(ADDRESS(1284,26))+INDIRECT(ADDRESS(1282,27))-INDIRECT(ADDRESS(1283,27))</f>
        <v>0</v>
      </c>
      <c r="AB1284">
        <f>INDIRECT(ADDRESS(1284,27))+INDIRECT(ADDRESS(1282,28))-INDIRECT(ADDRESS(1283,28))</f>
        <v>0</v>
      </c>
      <c r="AC1284">
        <f>INDIRECT(ADDRESS(1284,28))+INDIRECT(ADDRESS(1282,29))-INDIRECT(ADDRESS(1283,29))</f>
        <v>0</v>
      </c>
      <c r="AD1284">
        <f>INDIRECT(ADDRESS(1284,29))+INDIRECT(ADDRESS(1282,30))-INDIRECT(ADDRESS(1283,30))</f>
        <v>0</v>
      </c>
      <c r="AE1284">
        <f>INDIRECT(ADDRESS(1284,30))+INDIRECT(ADDRESS(1282,31))-INDIRECT(ADDRESS(1283,31))</f>
        <v>0</v>
      </c>
      <c r="AF1284">
        <f>INDIRECT(ADDRESS(1284,31))+INDIRECT(ADDRESS(1282,32))-INDIRECT(ADDRESS(1283,32))</f>
        <v>0</v>
      </c>
      <c r="AG1284">
        <f>INDIRECT(ADDRESS(1284,32))+INDIRECT(ADDRESS(1282,33))-INDIRECT(ADDRESS(1283,33))</f>
        <v>0</v>
      </c>
      <c r="AH1284">
        <f>INDIRECT(ADDRESS(1284,33))+INDIRECT(ADDRESS(1282,34))-INDIRECT(ADDRESS(1283,34))</f>
        <v>0</v>
      </c>
      <c r="AI1284">
        <f>INDIRECT(ADDRESS(1284,34))+INDIRECT(ADDRESS(1282,35))-INDIRECT(ADDRESS(1283,35))</f>
        <v>0</v>
      </c>
      <c r="AJ1284">
        <f>INDIRECT(ADDRESS(1284,35))+INDIRECT(ADDRESS(1282,36))-INDIRECT(ADDRESS(1283,36))</f>
        <v>0</v>
      </c>
      <c r="AK1284">
        <f>INDIRECT(ADDRESS(1284,36))+INDIRECT(ADDRESS(1282,37))-INDIRECT(ADDRESS(1283,37))</f>
        <v>0</v>
      </c>
      <c r="AL1284">
        <f>INDIRECT(ADDRESS(1284,37))+INDIRECT(ADDRESS(1282,38))-INDIRECT(ADDRESS(1283,38))</f>
        <v>0</v>
      </c>
      <c r="AM1284">
        <f>INDIRECT(ADDRESS(1284,38))+INDIRECT(ADDRESS(1282,39))-INDIRECT(ADDRESS(1283,39))</f>
        <v>0</v>
      </c>
      <c r="AN1284">
        <f>INDIRECT(ADDRESS(1284,39))+INDIRECT(ADDRESS(1282,40))-INDIRECT(ADDRESS(1283,40))</f>
        <v>0</v>
      </c>
      <c r="AO1284">
        <f>SUM(INDIRECT(ADDRESS(1283,8)):INDIRECT(ADDRESS(1283,39)))</f>
        <v>0</v>
      </c>
    </row>
    <row r="1285" spans="1:41">
      <c r="A1285" t="s">
        <v>185</v>
      </c>
      <c r="B1285" t="s">
        <v>644</v>
      </c>
      <c r="C1285" t="s">
        <v>645</v>
      </c>
      <c r="E1285">
        <v>2</v>
      </c>
      <c r="I1285" t="s">
        <v>177</v>
      </c>
    </row>
    <row r="1286" spans="1:41">
      <c r="I1286" t="s">
        <v>178</v>
      </c>
      <c r="J1286">
        <f>IFERROR(VLOOKUP("906-352348-110",B:AB,1+8,0),0)</f>
        <v>0</v>
      </c>
      <c r="K1286">
        <f>IFERROR(VLOOKUP("906-352348-110",B:AB,2+8,0),0)</f>
        <v>0</v>
      </c>
      <c r="L1286">
        <f>IFERROR(VLOOKUP("906-352348-110",B:AB,3+8,0),0)</f>
        <v>0</v>
      </c>
      <c r="M1286">
        <f>IFERROR(VLOOKUP("906-352348-110",B:AB,4+8,0),0)</f>
        <v>0</v>
      </c>
      <c r="N1286">
        <f>IFERROR(VLOOKUP("906-352348-110",B:AB,5+8,0),0)</f>
        <v>0</v>
      </c>
      <c r="O1286">
        <f>IFERROR(VLOOKUP("906-352348-110",B:AB,6+8,0),0)</f>
        <v>0</v>
      </c>
      <c r="P1286">
        <f>IFERROR(VLOOKUP("906-352348-110",B:AB,7+8,0),0)</f>
        <v>0</v>
      </c>
      <c r="Q1286">
        <f>IFERROR(VLOOKUP("906-352348-110",B:AB,8+8,0),0)</f>
        <v>0</v>
      </c>
      <c r="R1286">
        <f>IFERROR(VLOOKUP("906-352348-110",B:AB,9+8,0),0)</f>
        <v>0</v>
      </c>
      <c r="S1286">
        <f>IFERROR(VLOOKUP("906-352348-110",B:AB,10+8,0),0)</f>
        <v>0</v>
      </c>
      <c r="T1286">
        <f>IFERROR(VLOOKUP("906-352348-110",B:AB,11+8,0),0)</f>
        <v>0</v>
      </c>
      <c r="U1286">
        <f>IFERROR(VLOOKUP("906-352348-110",B:AB,12+8,0),0)</f>
        <v>0</v>
      </c>
      <c r="V1286">
        <f>IFERROR(VLOOKUP("906-352348-110",B:AB,13+8,0),0)</f>
        <v>0</v>
      </c>
      <c r="W1286">
        <f>IFERROR(VLOOKUP("906-352348-110",B:AB,14+8,0),0)</f>
        <v>0</v>
      </c>
      <c r="X1286">
        <f>IFERROR(VLOOKUP("906-352348-110",B:AB,15+8,0),0)</f>
        <v>0</v>
      </c>
      <c r="Y1286">
        <f>IFERROR(VLOOKUP("906-352348-110",B:AB,16+8,0),0)</f>
        <v>0</v>
      </c>
      <c r="Z1286">
        <f>IFERROR(VLOOKUP("906-352348-110",B:AB,17+8,0),0)</f>
        <v>0</v>
      </c>
      <c r="AA1286">
        <f>IFERROR(VLOOKUP("906-352348-110",B:AB,18+8,0),0)</f>
        <v>0</v>
      </c>
      <c r="AB1286">
        <f>IFERROR(VLOOKUP("906-352348-110",B:AB,19+8,0),0)</f>
        <v>0</v>
      </c>
      <c r="AC1286">
        <f>IFERROR(VLOOKUP("906-352348-110",B:AB,20+8,0),0)</f>
        <v>0</v>
      </c>
      <c r="AD1286">
        <f>IFERROR(VLOOKUP("906-352348-110",B:AB,21+8,0),0)</f>
        <v>0</v>
      </c>
      <c r="AE1286">
        <f>IFERROR(VLOOKUP("906-352348-110",B:AB,22+8,0),0)</f>
        <v>0</v>
      </c>
      <c r="AF1286">
        <f>IFERROR(VLOOKUP("906-352348-110",B:AB,23+8,0),0)</f>
        <v>0</v>
      </c>
      <c r="AG1286">
        <f>IFERROR(VLOOKUP("906-352348-110",B:AB,24+8,0),0)</f>
        <v>0</v>
      </c>
      <c r="AH1286">
        <f>IFERROR(VLOOKUP("906-352348-110",B:AB,25+8,0),0)</f>
        <v>0</v>
      </c>
      <c r="AI1286">
        <f>IFERROR(VLOOKUP("906-352348-110",B:AB,26+8,0),0)</f>
        <v>0</v>
      </c>
      <c r="AJ1286">
        <f>IFERROR(VLOOKUP("906-352348-110",B:AB,27+8,0),0)</f>
        <v>0</v>
      </c>
      <c r="AK1286">
        <f>IFERROR(VLOOKUP("906-352348-110",B:AB,28+8,0),0)</f>
        <v>0</v>
      </c>
      <c r="AL1286">
        <f>IFERROR(VLOOKUP("906-352348-110",B:AB,29+8,0),0)</f>
        <v>0</v>
      </c>
      <c r="AM1286">
        <f>IFERROR(VLOOKUP("906-352348-110",B:AB,30+8,0),0)</f>
        <v>0</v>
      </c>
      <c r="AN1286">
        <f>IFERROR(VLOOKUP("906-352348-110",B:AB,31+8,0),0)</f>
        <v>0</v>
      </c>
      <c r="AO1286">
        <f>SUN(INDIRECT(ADDRESS(1285,8)):INDIRECT(ADDRESS(1285,39)))</f>
        <v>0</v>
      </c>
    </row>
    <row r="1287" spans="1:41">
      <c r="H1287" t="s">
        <v>179</v>
      </c>
      <c r="J1287">
        <f>INDIRECT(ADDRESS(1287,9))+INDIRECT(ADDRESS(1285,10))-INDIRECT(ADDRESS(1286,10))</f>
        <v>0</v>
      </c>
      <c r="K1287">
        <f>INDIRECT(ADDRESS(1287,10))+INDIRECT(ADDRESS(1285,11))-INDIRECT(ADDRESS(1286,11))</f>
        <v>0</v>
      </c>
      <c r="L1287">
        <f>INDIRECT(ADDRESS(1287,11))+INDIRECT(ADDRESS(1285,12))-INDIRECT(ADDRESS(1286,12))</f>
        <v>0</v>
      </c>
      <c r="M1287">
        <f>INDIRECT(ADDRESS(1287,12))+INDIRECT(ADDRESS(1285,13))-INDIRECT(ADDRESS(1286,13))</f>
        <v>0</v>
      </c>
      <c r="N1287">
        <f>INDIRECT(ADDRESS(1287,13))+INDIRECT(ADDRESS(1285,14))-INDIRECT(ADDRESS(1286,14))</f>
        <v>0</v>
      </c>
      <c r="O1287">
        <f>INDIRECT(ADDRESS(1287,14))+INDIRECT(ADDRESS(1285,15))-INDIRECT(ADDRESS(1286,15))</f>
        <v>0</v>
      </c>
      <c r="P1287">
        <f>INDIRECT(ADDRESS(1287,15))+INDIRECT(ADDRESS(1285,16))-INDIRECT(ADDRESS(1286,16))</f>
        <v>0</v>
      </c>
      <c r="Q1287">
        <f>INDIRECT(ADDRESS(1287,16))+INDIRECT(ADDRESS(1285,17))-INDIRECT(ADDRESS(1286,17))</f>
        <v>0</v>
      </c>
      <c r="R1287">
        <f>INDIRECT(ADDRESS(1287,17))+INDIRECT(ADDRESS(1285,18))-INDIRECT(ADDRESS(1286,18))</f>
        <v>0</v>
      </c>
      <c r="S1287">
        <f>INDIRECT(ADDRESS(1287,18))+INDIRECT(ADDRESS(1285,19))-INDIRECT(ADDRESS(1286,19))</f>
        <v>0</v>
      </c>
      <c r="T1287">
        <f>INDIRECT(ADDRESS(1287,19))+INDIRECT(ADDRESS(1285,20))-INDIRECT(ADDRESS(1286,20))</f>
        <v>0</v>
      </c>
      <c r="U1287">
        <f>INDIRECT(ADDRESS(1287,20))+INDIRECT(ADDRESS(1285,21))-INDIRECT(ADDRESS(1286,21))</f>
        <v>0</v>
      </c>
      <c r="V1287">
        <f>INDIRECT(ADDRESS(1287,21))+INDIRECT(ADDRESS(1285,22))-INDIRECT(ADDRESS(1286,22))</f>
        <v>0</v>
      </c>
      <c r="W1287">
        <f>INDIRECT(ADDRESS(1287,22))+INDIRECT(ADDRESS(1285,23))-INDIRECT(ADDRESS(1286,23))</f>
        <v>0</v>
      </c>
      <c r="X1287">
        <f>INDIRECT(ADDRESS(1287,23))+INDIRECT(ADDRESS(1285,24))-INDIRECT(ADDRESS(1286,24))</f>
        <v>0</v>
      </c>
      <c r="Y1287">
        <f>INDIRECT(ADDRESS(1287,24))+INDIRECT(ADDRESS(1285,25))-INDIRECT(ADDRESS(1286,25))</f>
        <v>0</v>
      </c>
      <c r="Z1287">
        <f>INDIRECT(ADDRESS(1287,25))+INDIRECT(ADDRESS(1285,26))-INDIRECT(ADDRESS(1286,26))</f>
        <v>0</v>
      </c>
      <c r="AA1287">
        <f>INDIRECT(ADDRESS(1287,26))+INDIRECT(ADDRESS(1285,27))-INDIRECT(ADDRESS(1286,27))</f>
        <v>0</v>
      </c>
      <c r="AB1287">
        <f>INDIRECT(ADDRESS(1287,27))+INDIRECT(ADDRESS(1285,28))-INDIRECT(ADDRESS(1286,28))</f>
        <v>0</v>
      </c>
      <c r="AC1287">
        <f>INDIRECT(ADDRESS(1287,28))+INDIRECT(ADDRESS(1285,29))-INDIRECT(ADDRESS(1286,29))</f>
        <v>0</v>
      </c>
      <c r="AD1287">
        <f>INDIRECT(ADDRESS(1287,29))+INDIRECT(ADDRESS(1285,30))-INDIRECT(ADDRESS(1286,30))</f>
        <v>0</v>
      </c>
      <c r="AE1287">
        <f>INDIRECT(ADDRESS(1287,30))+INDIRECT(ADDRESS(1285,31))-INDIRECT(ADDRESS(1286,31))</f>
        <v>0</v>
      </c>
      <c r="AF1287">
        <f>INDIRECT(ADDRESS(1287,31))+INDIRECT(ADDRESS(1285,32))-INDIRECT(ADDRESS(1286,32))</f>
        <v>0</v>
      </c>
      <c r="AG1287">
        <f>INDIRECT(ADDRESS(1287,32))+INDIRECT(ADDRESS(1285,33))-INDIRECT(ADDRESS(1286,33))</f>
        <v>0</v>
      </c>
      <c r="AH1287">
        <f>INDIRECT(ADDRESS(1287,33))+INDIRECT(ADDRESS(1285,34))-INDIRECT(ADDRESS(1286,34))</f>
        <v>0</v>
      </c>
      <c r="AI1287">
        <f>INDIRECT(ADDRESS(1287,34))+INDIRECT(ADDRESS(1285,35))-INDIRECT(ADDRESS(1286,35))</f>
        <v>0</v>
      </c>
      <c r="AJ1287">
        <f>INDIRECT(ADDRESS(1287,35))+INDIRECT(ADDRESS(1285,36))-INDIRECT(ADDRESS(1286,36))</f>
        <v>0</v>
      </c>
      <c r="AK1287">
        <f>INDIRECT(ADDRESS(1287,36))+INDIRECT(ADDRESS(1285,37))-INDIRECT(ADDRESS(1286,37))</f>
        <v>0</v>
      </c>
      <c r="AL1287">
        <f>INDIRECT(ADDRESS(1287,37))+INDIRECT(ADDRESS(1285,38))-INDIRECT(ADDRESS(1286,38))</f>
        <v>0</v>
      </c>
      <c r="AM1287">
        <f>INDIRECT(ADDRESS(1287,38))+INDIRECT(ADDRESS(1285,39))-INDIRECT(ADDRESS(1286,39))</f>
        <v>0</v>
      </c>
      <c r="AN1287">
        <f>INDIRECT(ADDRESS(1287,39))+INDIRECT(ADDRESS(1285,40))-INDIRECT(ADDRESS(1286,40))</f>
        <v>0</v>
      </c>
      <c r="AO1287">
        <f>SUM(INDIRECT(ADDRESS(1286,8)):INDIRECT(ADDRESS(1286,39)))</f>
        <v>0</v>
      </c>
    </row>
    <row r="1288" spans="1:41">
      <c r="A1288" t="s">
        <v>8</v>
      </c>
      <c r="B1288" t="s">
        <v>107</v>
      </c>
      <c r="C1288" t="s">
        <v>106</v>
      </c>
      <c r="E1288">
        <v>1</v>
      </c>
      <c r="I1288" t="s">
        <v>177</v>
      </c>
    </row>
    <row r="1289" spans="1:41">
      <c r="I1289" t="s">
        <v>178</v>
      </c>
      <c r="J1289">
        <f>IFERROR(VLOOKUP("906-353348-210",Out!B:AB,1+8,0),0)</f>
        <v>0</v>
      </c>
      <c r="K1289">
        <f>IFERROR(VLOOKUP("906-353348-210",Out!B:AB,2+8,0),0)</f>
        <v>0</v>
      </c>
      <c r="L1289">
        <f>IFERROR(VLOOKUP("906-353348-210",Out!B:AB,3+8,0),0)</f>
        <v>0</v>
      </c>
      <c r="M1289">
        <f>IFERROR(VLOOKUP("906-353348-210",Out!B:AB,4+8,0),0)</f>
        <v>0</v>
      </c>
      <c r="N1289">
        <f>IFERROR(VLOOKUP("906-353348-210",Out!B:AB,5+8,0),0)</f>
        <v>0</v>
      </c>
      <c r="O1289">
        <f>IFERROR(VLOOKUP("906-353348-210",Out!B:AB,6+8,0),0)</f>
        <v>0</v>
      </c>
      <c r="P1289">
        <f>IFERROR(VLOOKUP("906-353348-210",Out!B:AB,7+8,0),0)</f>
        <v>0</v>
      </c>
      <c r="Q1289">
        <f>IFERROR(VLOOKUP("906-353348-210",Out!B:AB,8+8,0),0)</f>
        <v>0</v>
      </c>
      <c r="R1289">
        <f>IFERROR(VLOOKUP("906-353348-210",Out!B:AB,9+8,0),0)</f>
        <v>0</v>
      </c>
      <c r="S1289">
        <f>IFERROR(VLOOKUP("906-353348-210",Out!B:AB,10+8,0),0)</f>
        <v>0</v>
      </c>
      <c r="T1289">
        <f>IFERROR(VLOOKUP("906-353348-210",Out!B:AB,11+8,0),0)</f>
        <v>0</v>
      </c>
      <c r="U1289">
        <f>IFERROR(VLOOKUP("906-353348-210",Out!B:AB,12+8,0),0)</f>
        <v>0</v>
      </c>
      <c r="V1289">
        <f>IFERROR(VLOOKUP("906-353348-210",Out!B:AB,13+8,0),0)</f>
        <v>0</v>
      </c>
      <c r="W1289">
        <f>IFERROR(VLOOKUP("906-353348-210",Out!B:AB,14+8,0),0)</f>
        <v>0</v>
      </c>
      <c r="X1289">
        <f>IFERROR(VLOOKUP("906-353348-210",Out!B:AB,15+8,0),0)</f>
        <v>0</v>
      </c>
      <c r="Y1289">
        <f>IFERROR(VLOOKUP("906-353348-210",Out!B:AB,16+8,0),0)</f>
        <v>0</v>
      </c>
      <c r="Z1289">
        <f>IFERROR(VLOOKUP("906-353348-210",Out!B:AB,17+8,0),0)</f>
        <v>0</v>
      </c>
      <c r="AA1289">
        <f>IFERROR(VLOOKUP("906-353348-210",Out!B:AB,18+8,0),0)</f>
        <v>0</v>
      </c>
      <c r="AB1289">
        <f>IFERROR(VLOOKUP("906-353348-210",Out!B:AB,19+8,0),0)</f>
        <v>0</v>
      </c>
      <c r="AC1289">
        <f>IFERROR(VLOOKUP("906-353348-210",Out!B:AB,20+8,0),0)</f>
        <v>0</v>
      </c>
      <c r="AD1289">
        <f>IFERROR(VLOOKUP("906-353348-210",Out!B:AB,21+8,0),0)</f>
        <v>0</v>
      </c>
      <c r="AE1289">
        <f>IFERROR(VLOOKUP("906-353348-210",Out!B:AB,22+8,0),0)</f>
        <v>0</v>
      </c>
      <c r="AF1289">
        <f>IFERROR(VLOOKUP("906-353348-210",Out!B:AB,23+8,0),0)</f>
        <v>0</v>
      </c>
      <c r="AG1289">
        <f>IFERROR(VLOOKUP("906-353348-210",Out!B:AB,24+8,0),0)</f>
        <v>0</v>
      </c>
      <c r="AH1289">
        <f>IFERROR(VLOOKUP("906-353348-210",Out!B:AB,25+8,0),0)</f>
        <v>0</v>
      </c>
      <c r="AI1289">
        <f>IFERROR(VLOOKUP("906-353348-210",Out!B:AB,26+8,0),0)</f>
        <v>0</v>
      </c>
      <c r="AJ1289">
        <f>IFERROR(VLOOKUP("906-353348-210",Out!B:AB,27+8,0),0)</f>
        <v>0</v>
      </c>
      <c r="AK1289">
        <f>IFERROR(VLOOKUP("906-353348-210",Out!B:AB,28+8,0),0)</f>
        <v>0</v>
      </c>
      <c r="AL1289">
        <f>IFERROR(VLOOKUP("906-353348-210",Out!B:AB,29+8,0),0)</f>
        <v>0</v>
      </c>
      <c r="AM1289">
        <f>IFERROR(VLOOKUP("906-353348-210",Out!B:AB,30+8,0),0)</f>
        <v>0</v>
      </c>
      <c r="AN1289">
        <f>IFERROR(VLOOKUP("906-353348-210",Out!B:AB,31+8,0),0)</f>
        <v>0</v>
      </c>
      <c r="AO1289">
        <f>SUN(INDIRECT(ADDRESS(1288,8)):INDIRECT(ADDRESS(1288,39)))</f>
        <v>0</v>
      </c>
    </row>
    <row r="1290" spans="1:41">
      <c r="H1290" t="s">
        <v>179</v>
      </c>
      <c r="J1290">
        <f>INDIRECT(ADDRESS(1290,9))+INDIRECT(ADDRESS(1288,10))-INDIRECT(ADDRESS(1289,10))</f>
        <v>0</v>
      </c>
      <c r="K1290">
        <f>INDIRECT(ADDRESS(1290,10))+INDIRECT(ADDRESS(1288,11))-INDIRECT(ADDRESS(1289,11))</f>
        <v>0</v>
      </c>
      <c r="L1290">
        <f>INDIRECT(ADDRESS(1290,11))+INDIRECT(ADDRESS(1288,12))-INDIRECT(ADDRESS(1289,12))</f>
        <v>0</v>
      </c>
      <c r="M1290">
        <f>INDIRECT(ADDRESS(1290,12))+INDIRECT(ADDRESS(1288,13))-INDIRECT(ADDRESS(1289,13))</f>
        <v>0</v>
      </c>
      <c r="N1290">
        <f>INDIRECT(ADDRESS(1290,13))+INDIRECT(ADDRESS(1288,14))-INDIRECT(ADDRESS(1289,14))</f>
        <v>0</v>
      </c>
      <c r="O1290">
        <f>INDIRECT(ADDRESS(1290,14))+INDIRECT(ADDRESS(1288,15))-INDIRECT(ADDRESS(1289,15))</f>
        <v>0</v>
      </c>
      <c r="P1290">
        <f>INDIRECT(ADDRESS(1290,15))+INDIRECT(ADDRESS(1288,16))-INDIRECT(ADDRESS(1289,16))</f>
        <v>0</v>
      </c>
      <c r="Q1290">
        <f>INDIRECT(ADDRESS(1290,16))+INDIRECT(ADDRESS(1288,17))-INDIRECT(ADDRESS(1289,17))</f>
        <v>0</v>
      </c>
      <c r="R1290">
        <f>INDIRECT(ADDRESS(1290,17))+INDIRECT(ADDRESS(1288,18))-INDIRECT(ADDRESS(1289,18))</f>
        <v>0</v>
      </c>
      <c r="S1290">
        <f>INDIRECT(ADDRESS(1290,18))+INDIRECT(ADDRESS(1288,19))-INDIRECT(ADDRESS(1289,19))</f>
        <v>0</v>
      </c>
      <c r="T1290">
        <f>INDIRECT(ADDRESS(1290,19))+INDIRECT(ADDRESS(1288,20))-INDIRECT(ADDRESS(1289,20))</f>
        <v>0</v>
      </c>
      <c r="U1290">
        <f>INDIRECT(ADDRESS(1290,20))+INDIRECT(ADDRESS(1288,21))-INDIRECT(ADDRESS(1289,21))</f>
        <v>0</v>
      </c>
      <c r="V1290">
        <f>INDIRECT(ADDRESS(1290,21))+INDIRECT(ADDRESS(1288,22))-INDIRECT(ADDRESS(1289,22))</f>
        <v>0</v>
      </c>
      <c r="W1290">
        <f>INDIRECT(ADDRESS(1290,22))+INDIRECT(ADDRESS(1288,23))-INDIRECT(ADDRESS(1289,23))</f>
        <v>0</v>
      </c>
      <c r="X1290">
        <f>INDIRECT(ADDRESS(1290,23))+INDIRECT(ADDRESS(1288,24))-INDIRECT(ADDRESS(1289,24))</f>
        <v>0</v>
      </c>
      <c r="Y1290">
        <f>INDIRECT(ADDRESS(1290,24))+INDIRECT(ADDRESS(1288,25))-INDIRECT(ADDRESS(1289,25))</f>
        <v>0</v>
      </c>
      <c r="Z1290">
        <f>INDIRECT(ADDRESS(1290,25))+INDIRECT(ADDRESS(1288,26))-INDIRECT(ADDRESS(1289,26))</f>
        <v>0</v>
      </c>
      <c r="AA1290">
        <f>INDIRECT(ADDRESS(1290,26))+INDIRECT(ADDRESS(1288,27))-INDIRECT(ADDRESS(1289,27))</f>
        <v>0</v>
      </c>
      <c r="AB1290">
        <f>INDIRECT(ADDRESS(1290,27))+INDIRECT(ADDRESS(1288,28))-INDIRECT(ADDRESS(1289,28))</f>
        <v>0</v>
      </c>
      <c r="AC1290">
        <f>INDIRECT(ADDRESS(1290,28))+INDIRECT(ADDRESS(1288,29))-INDIRECT(ADDRESS(1289,29))</f>
        <v>0</v>
      </c>
      <c r="AD1290">
        <f>INDIRECT(ADDRESS(1290,29))+INDIRECT(ADDRESS(1288,30))-INDIRECT(ADDRESS(1289,30))</f>
        <v>0</v>
      </c>
      <c r="AE1290">
        <f>INDIRECT(ADDRESS(1290,30))+INDIRECT(ADDRESS(1288,31))-INDIRECT(ADDRESS(1289,31))</f>
        <v>0</v>
      </c>
      <c r="AF1290">
        <f>INDIRECT(ADDRESS(1290,31))+INDIRECT(ADDRESS(1288,32))-INDIRECT(ADDRESS(1289,32))</f>
        <v>0</v>
      </c>
      <c r="AG1290">
        <f>INDIRECT(ADDRESS(1290,32))+INDIRECT(ADDRESS(1288,33))-INDIRECT(ADDRESS(1289,33))</f>
        <v>0</v>
      </c>
      <c r="AH1290">
        <f>INDIRECT(ADDRESS(1290,33))+INDIRECT(ADDRESS(1288,34))-INDIRECT(ADDRESS(1289,34))</f>
        <v>0</v>
      </c>
      <c r="AI1290">
        <f>INDIRECT(ADDRESS(1290,34))+INDIRECT(ADDRESS(1288,35))-INDIRECT(ADDRESS(1289,35))</f>
        <v>0</v>
      </c>
      <c r="AJ1290">
        <f>INDIRECT(ADDRESS(1290,35))+INDIRECT(ADDRESS(1288,36))-INDIRECT(ADDRESS(1289,36))</f>
        <v>0</v>
      </c>
      <c r="AK1290">
        <f>INDIRECT(ADDRESS(1290,36))+INDIRECT(ADDRESS(1288,37))-INDIRECT(ADDRESS(1289,37))</f>
        <v>0</v>
      </c>
      <c r="AL1290">
        <f>INDIRECT(ADDRESS(1290,37))+INDIRECT(ADDRESS(1288,38))-INDIRECT(ADDRESS(1289,38))</f>
        <v>0</v>
      </c>
      <c r="AM1290">
        <f>INDIRECT(ADDRESS(1290,38))+INDIRECT(ADDRESS(1288,39))-INDIRECT(ADDRESS(1289,39))</f>
        <v>0</v>
      </c>
      <c r="AN1290">
        <f>INDIRECT(ADDRESS(1290,39))+INDIRECT(ADDRESS(1288,40))-INDIRECT(ADDRESS(1289,40))</f>
        <v>0</v>
      </c>
      <c r="AO1290">
        <f>SUM(INDIRECT(ADDRESS(1289,8)):INDIRECT(ADDRESS(1289,39)))</f>
        <v>0</v>
      </c>
    </row>
    <row r="1291" spans="1:41">
      <c r="A1291" t="s">
        <v>180</v>
      </c>
      <c r="B1291" t="s">
        <v>646</v>
      </c>
      <c r="C1291" t="s">
        <v>635</v>
      </c>
      <c r="E1291">
        <v>1</v>
      </c>
      <c r="I1291" t="s">
        <v>177</v>
      </c>
    </row>
    <row r="1292" spans="1:41">
      <c r="I1292" t="s">
        <v>178</v>
      </c>
      <c r="J1292">
        <f>IFERROR(VLOOKUP("906-353348-210",B:AB,1+8,0),0)</f>
        <v>0</v>
      </c>
      <c r="K1292">
        <f>IFERROR(VLOOKUP("906-353348-210",B:AB,2+8,0),0)</f>
        <v>0</v>
      </c>
      <c r="L1292">
        <f>IFERROR(VLOOKUP("906-353348-210",B:AB,3+8,0),0)</f>
        <v>0</v>
      </c>
      <c r="M1292">
        <f>IFERROR(VLOOKUP("906-353348-210",B:AB,4+8,0),0)</f>
        <v>0</v>
      </c>
      <c r="N1292">
        <f>IFERROR(VLOOKUP("906-353348-210",B:AB,5+8,0),0)</f>
        <v>0</v>
      </c>
      <c r="O1292">
        <f>IFERROR(VLOOKUP("906-353348-210",B:AB,6+8,0),0)</f>
        <v>0</v>
      </c>
      <c r="P1292">
        <f>IFERROR(VLOOKUP("906-353348-210",B:AB,7+8,0),0)</f>
        <v>0</v>
      </c>
      <c r="Q1292">
        <f>IFERROR(VLOOKUP("906-353348-210",B:AB,8+8,0),0)</f>
        <v>0</v>
      </c>
      <c r="R1292">
        <f>IFERROR(VLOOKUP("906-353348-210",B:AB,9+8,0),0)</f>
        <v>0</v>
      </c>
      <c r="S1292">
        <f>IFERROR(VLOOKUP("906-353348-210",B:AB,10+8,0),0)</f>
        <v>0</v>
      </c>
      <c r="T1292">
        <f>IFERROR(VLOOKUP("906-353348-210",B:AB,11+8,0),0)</f>
        <v>0</v>
      </c>
      <c r="U1292">
        <f>IFERROR(VLOOKUP("906-353348-210",B:AB,12+8,0),0)</f>
        <v>0</v>
      </c>
      <c r="V1292">
        <f>IFERROR(VLOOKUP("906-353348-210",B:AB,13+8,0),0)</f>
        <v>0</v>
      </c>
      <c r="W1292">
        <f>IFERROR(VLOOKUP("906-353348-210",B:AB,14+8,0),0)</f>
        <v>0</v>
      </c>
      <c r="X1292">
        <f>IFERROR(VLOOKUP("906-353348-210",B:AB,15+8,0),0)</f>
        <v>0</v>
      </c>
      <c r="Y1292">
        <f>IFERROR(VLOOKUP("906-353348-210",B:AB,16+8,0),0)</f>
        <v>0</v>
      </c>
      <c r="Z1292">
        <f>IFERROR(VLOOKUP("906-353348-210",B:AB,17+8,0),0)</f>
        <v>0</v>
      </c>
      <c r="AA1292">
        <f>IFERROR(VLOOKUP("906-353348-210",B:AB,18+8,0),0)</f>
        <v>0</v>
      </c>
      <c r="AB1292">
        <f>IFERROR(VLOOKUP("906-353348-210",B:AB,19+8,0),0)</f>
        <v>0</v>
      </c>
      <c r="AC1292">
        <f>IFERROR(VLOOKUP("906-353348-210",B:AB,20+8,0),0)</f>
        <v>0</v>
      </c>
      <c r="AD1292">
        <f>IFERROR(VLOOKUP("906-353348-210",B:AB,21+8,0),0)</f>
        <v>0</v>
      </c>
      <c r="AE1292">
        <f>IFERROR(VLOOKUP("906-353348-210",B:AB,22+8,0),0)</f>
        <v>0</v>
      </c>
      <c r="AF1292">
        <f>IFERROR(VLOOKUP("906-353348-210",B:AB,23+8,0),0)</f>
        <v>0</v>
      </c>
      <c r="AG1292">
        <f>IFERROR(VLOOKUP("906-353348-210",B:AB,24+8,0),0)</f>
        <v>0</v>
      </c>
      <c r="AH1292">
        <f>IFERROR(VLOOKUP("906-353348-210",B:AB,25+8,0),0)</f>
        <v>0</v>
      </c>
      <c r="AI1292">
        <f>IFERROR(VLOOKUP("906-353348-210",B:AB,26+8,0),0)</f>
        <v>0</v>
      </c>
      <c r="AJ1292">
        <f>IFERROR(VLOOKUP("906-353348-210",B:AB,27+8,0),0)</f>
        <v>0</v>
      </c>
      <c r="AK1292">
        <f>IFERROR(VLOOKUP("906-353348-210",B:AB,28+8,0),0)</f>
        <v>0</v>
      </c>
      <c r="AL1292">
        <f>IFERROR(VLOOKUP("906-353348-210",B:AB,29+8,0),0)</f>
        <v>0</v>
      </c>
      <c r="AM1292">
        <f>IFERROR(VLOOKUP("906-353348-210",B:AB,30+8,0),0)</f>
        <v>0</v>
      </c>
      <c r="AN1292">
        <f>IFERROR(VLOOKUP("906-353348-210",B:AB,31+8,0),0)</f>
        <v>0</v>
      </c>
      <c r="AO1292">
        <f>SUN(INDIRECT(ADDRESS(1291,8)):INDIRECT(ADDRESS(1291,39)))</f>
        <v>0</v>
      </c>
    </row>
    <row r="1293" spans="1:41">
      <c r="H1293" t="s">
        <v>179</v>
      </c>
      <c r="J1293">
        <f>INDIRECT(ADDRESS(1293,9))+INDIRECT(ADDRESS(1291,10))-INDIRECT(ADDRESS(1292,10))</f>
        <v>0</v>
      </c>
      <c r="K1293">
        <f>INDIRECT(ADDRESS(1293,10))+INDIRECT(ADDRESS(1291,11))-INDIRECT(ADDRESS(1292,11))</f>
        <v>0</v>
      </c>
      <c r="L1293">
        <f>INDIRECT(ADDRESS(1293,11))+INDIRECT(ADDRESS(1291,12))-INDIRECT(ADDRESS(1292,12))</f>
        <v>0</v>
      </c>
      <c r="M1293">
        <f>INDIRECT(ADDRESS(1293,12))+INDIRECT(ADDRESS(1291,13))-INDIRECT(ADDRESS(1292,13))</f>
        <v>0</v>
      </c>
      <c r="N1293">
        <f>INDIRECT(ADDRESS(1293,13))+INDIRECT(ADDRESS(1291,14))-INDIRECT(ADDRESS(1292,14))</f>
        <v>0</v>
      </c>
      <c r="O1293">
        <f>INDIRECT(ADDRESS(1293,14))+INDIRECT(ADDRESS(1291,15))-INDIRECT(ADDRESS(1292,15))</f>
        <v>0</v>
      </c>
      <c r="P1293">
        <f>INDIRECT(ADDRESS(1293,15))+INDIRECT(ADDRESS(1291,16))-INDIRECT(ADDRESS(1292,16))</f>
        <v>0</v>
      </c>
      <c r="Q1293">
        <f>INDIRECT(ADDRESS(1293,16))+INDIRECT(ADDRESS(1291,17))-INDIRECT(ADDRESS(1292,17))</f>
        <v>0</v>
      </c>
      <c r="R1293">
        <f>INDIRECT(ADDRESS(1293,17))+INDIRECT(ADDRESS(1291,18))-INDIRECT(ADDRESS(1292,18))</f>
        <v>0</v>
      </c>
      <c r="S1293">
        <f>INDIRECT(ADDRESS(1293,18))+INDIRECT(ADDRESS(1291,19))-INDIRECT(ADDRESS(1292,19))</f>
        <v>0</v>
      </c>
      <c r="T1293">
        <f>INDIRECT(ADDRESS(1293,19))+INDIRECT(ADDRESS(1291,20))-INDIRECT(ADDRESS(1292,20))</f>
        <v>0</v>
      </c>
      <c r="U1293">
        <f>INDIRECT(ADDRESS(1293,20))+INDIRECT(ADDRESS(1291,21))-INDIRECT(ADDRESS(1292,21))</f>
        <v>0</v>
      </c>
      <c r="V1293">
        <f>INDIRECT(ADDRESS(1293,21))+INDIRECT(ADDRESS(1291,22))-INDIRECT(ADDRESS(1292,22))</f>
        <v>0</v>
      </c>
      <c r="W1293">
        <f>INDIRECT(ADDRESS(1293,22))+INDIRECT(ADDRESS(1291,23))-INDIRECT(ADDRESS(1292,23))</f>
        <v>0</v>
      </c>
      <c r="X1293">
        <f>INDIRECT(ADDRESS(1293,23))+INDIRECT(ADDRESS(1291,24))-INDIRECT(ADDRESS(1292,24))</f>
        <v>0</v>
      </c>
      <c r="Y1293">
        <f>INDIRECT(ADDRESS(1293,24))+INDIRECT(ADDRESS(1291,25))-INDIRECT(ADDRESS(1292,25))</f>
        <v>0</v>
      </c>
      <c r="Z1293">
        <f>INDIRECT(ADDRESS(1293,25))+INDIRECT(ADDRESS(1291,26))-INDIRECT(ADDRESS(1292,26))</f>
        <v>0</v>
      </c>
      <c r="AA1293">
        <f>INDIRECT(ADDRESS(1293,26))+INDIRECT(ADDRESS(1291,27))-INDIRECT(ADDRESS(1292,27))</f>
        <v>0</v>
      </c>
      <c r="AB1293">
        <f>INDIRECT(ADDRESS(1293,27))+INDIRECT(ADDRESS(1291,28))-INDIRECT(ADDRESS(1292,28))</f>
        <v>0</v>
      </c>
      <c r="AC1293">
        <f>INDIRECT(ADDRESS(1293,28))+INDIRECT(ADDRESS(1291,29))-INDIRECT(ADDRESS(1292,29))</f>
        <v>0</v>
      </c>
      <c r="AD1293">
        <f>INDIRECT(ADDRESS(1293,29))+INDIRECT(ADDRESS(1291,30))-INDIRECT(ADDRESS(1292,30))</f>
        <v>0</v>
      </c>
      <c r="AE1293">
        <f>INDIRECT(ADDRESS(1293,30))+INDIRECT(ADDRESS(1291,31))-INDIRECT(ADDRESS(1292,31))</f>
        <v>0</v>
      </c>
      <c r="AF1293">
        <f>INDIRECT(ADDRESS(1293,31))+INDIRECT(ADDRESS(1291,32))-INDIRECT(ADDRESS(1292,32))</f>
        <v>0</v>
      </c>
      <c r="AG1293">
        <f>INDIRECT(ADDRESS(1293,32))+INDIRECT(ADDRESS(1291,33))-INDIRECT(ADDRESS(1292,33))</f>
        <v>0</v>
      </c>
      <c r="AH1293">
        <f>INDIRECT(ADDRESS(1293,33))+INDIRECT(ADDRESS(1291,34))-INDIRECT(ADDRESS(1292,34))</f>
        <v>0</v>
      </c>
      <c r="AI1293">
        <f>INDIRECT(ADDRESS(1293,34))+INDIRECT(ADDRESS(1291,35))-INDIRECT(ADDRESS(1292,35))</f>
        <v>0</v>
      </c>
      <c r="AJ1293">
        <f>INDIRECT(ADDRESS(1293,35))+INDIRECT(ADDRESS(1291,36))-INDIRECT(ADDRESS(1292,36))</f>
        <v>0</v>
      </c>
      <c r="AK1293">
        <f>INDIRECT(ADDRESS(1293,36))+INDIRECT(ADDRESS(1291,37))-INDIRECT(ADDRESS(1292,37))</f>
        <v>0</v>
      </c>
      <c r="AL1293">
        <f>INDIRECT(ADDRESS(1293,37))+INDIRECT(ADDRESS(1291,38))-INDIRECT(ADDRESS(1292,38))</f>
        <v>0</v>
      </c>
      <c r="AM1293">
        <f>INDIRECT(ADDRESS(1293,38))+INDIRECT(ADDRESS(1291,39))-INDIRECT(ADDRESS(1292,39))</f>
        <v>0</v>
      </c>
      <c r="AN1293">
        <f>INDIRECT(ADDRESS(1293,39))+INDIRECT(ADDRESS(1291,40))-INDIRECT(ADDRESS(1292,40))</f>
        <v>0</v>
      </c>
      <c r="AO1293">
        <f>SUM(INDIRECT(ADDRESS(1292,8)):INDIRECT(ADDRESS(1292,39)))</f>
        <v>0</v>
      </c>
    </row>
    <row r="1294" spans="1:41">
      <c r="A1294" t="s">
        <v>185</v>
      </c>
      <c r="B1294" t="s">
        <v>640</v>
      </c>
      <c r="C1294" t="s">
        <v>641</v>
      </c>
      <c r="E1294">
        <v>2</v>
      </c>
      <c r="I1294" t="s">
        <v>177</v>
      </c>
    </row>
    <row r="1295" spans="1:41">
      <c r="I1295" t="s">
        <v>178</v>
      </c>
      <c r="J1295">
        <f>IFERROR(VLOOKUP("906-353348-210",B:AB,1+8,0),0)</f>
        <v>0</v>
      </c>
      <c r="K1295">
        <f>IFERROR(VLOOKUP("906-353348-210",B:AB,2+8,0),0)</f>
        <v>0</v>
      </c>
      <c r="L1295">
        <f>IFERROR(VLOOKUP("906-353348-210",B:AB,3+8,0),0)</f>
        <v>0</v>
      </c>
      <c r="M1295">
        <f>IFERROR(VLOOKUP("906-353348-210",B:AB,4+8,0),0)</f>
        <v>0</v>
      </c>
      <c r="N1295">
        <f>IFERROR(VLOOKUP("906-353348-210",B:AB,5+8,0),0)</f>
        <v>0</v>
      </c>
      <c r="O1295">
        <f>IFERROR(VLOOKUP("906-353348-210",B:AB,6+8,0),0)</f>
        <v>0</v>
      </c>
      <c r="P1295">
        <f>IFERROR(VLOOKUP("906-353348-210",B:AB,7+8,0),0)</f>
        <v>0</v>
      </c>
      <c r="Q1295">
        <f>IFERROR(VLOOKUP("906-353348-210",B:AB,8+8,0),0)</f>
        <v>0</v>
      </c>
      <c r="R1295">
        <f>IFERROR(VLOOKUP("906-353348-210",B:AB,9+8,0),0)</f>
        <v>0</v>
      </c>
      <c r="S1295">
        <f>IFERROR(VLOOKUP("906-353348-210",B:AB,10+8,0),0)</f>
        <v>0</v>
      </c>
      <c r="T1295">
        <f>IFERROR(VLOOKUP("906-353348-210",B:AB,11+8,0),0)</f>
        <v>0</v>
      </c>
      <c r="U1295">
        <f>IFERROR(VLOOKUP("906-353348-210",B:AB,12+8,0),0)</f>
        <v>0</v>
      </c>
      <c r="V1295">
        <f>IFERROR(VLOOKUP("906-353348-210",B:AB,13+8,0),0)</f>
        <v>0</v>
      </c>
      <c r="W1295">
        <f>IFERROR(VLOOKUP("906-353348-210",B:AB,14+8,0),0)</f>
        <v>0</v>
      </c>
      <c r="X1295">
        <f>IFERROR(VLOOKUP("906-353348-210",B:AB,15+8,0),0)</f>
        <v>0</v>
      </c>
      <c r="Y1295">
        <f>IFERROR(VLOOKUP("906-353348-210",B:AB,16+8,0),0)</f>
        <v>0</v>
      </c>
      <c r="Z1295">
        <f>IFERROR(VLOOKUP("906-353348-210",B:AB,17+8,0),0)</f>
        <v>0</v>
      </c>
      <c r="AA1295">
        <f>IFERROR(VLOOKUP("906-353348-210",B:AB,18+8,0),0)</f>
        <v>0</v>
      </c>
      <c r="AB1295">
        <f>IFERROR(VLOOKUP("906-353348-210",B:AB,19+8,0),0)</f>
        <v>0</v>
      </c>
      <c r="AC1295">
        <f>IFERROR(VLOOKUP("906-353348-210",B:AB,20+8,0),0)</f>
        <v>0</v>
      </c>
      <c r="AD1295">
        <f>IFERROR(VLOOKUP("906-353348-210",B:AB,21+8,0),0)</f>
        <v>0</v>
      </c>
      <c r="AE1295">
        <f>IFERROR(VLOOKUP("906-353348-210",B:AB,22+8,0),0)</f>
        <v>0</v>
      </c>
      <c r="AF1295">
        <f>IFERROR(VLOOKUP("906-353348-210",B:AB,23+8,0),0)</f>
        <v>0</v>
      </c>
      <c r="AG1295">
        <f>IFERROR(VLOOKUP("906-353348-210",B:AB,24+8,0),0)</f>
        <v>0</v>
      </c>
      <c r="AH1295">
        <f>IFERROR(VLOOKUP("906-353348-210",B:AB,25+8,0),0)</f>
        <v>0</v>
      </c>
      <c r="AI1295">
        <f>IFERROR(VLOOKUP("906-353348-210",B:AB,26+8,0),0)</f>
        <v>0</v>
      </c>
      <c r="AJ1295">
        <f>IFERROR(VLOOKUP("906-353348-210",B:AB,27+8,0),0)</f>
        <v>0</v>
      </c>
      <c r="AK1295">
        <f>IFERROR(VLOOKUP("906-353348-210",B:AB,28+8,0),0)</f>
        <v>0</v>
      </c>
      <c r="AL1295">
        <f>IFERROR(VLOOKUP("906-353348-210",B:AB,29+8,0),0)</f>
        <v>0</v>
      </c>
      <c r="AM1295">
        <f>IFERROR(VLOOKUP("906-353348-210",B:AB,30+8,0),0)</f>
        <v>0</v>
      </c>
      <c r="AN1295">
        <f>IFERROR(VLOOKUP("906-353348-210",B:AB,31+8,0),0)</f>
        <v>0</v>
      </c>
      <c r="AO1295">
        <f>SUN(INDIRECT(ADDRESS(1294,8)):INDIRECT(ADDRESS(1294,39)))</f>
        <v>0</v>
      </c>
    </row>
    <row r="1296" spans="1:41">
      <c r="H1296" t="s">
        <v>179</v>
      </c>
      <c r="J1296">
        <f>INDIRECT(ADDRESS(1296,9))+INDIRECT(ADDRESS(1294,10))-INDIRECT(ADDRESS(1295,10))</f>
        <v>0</v>
      </c>
      <c r="K1296">
        <f>INDIRECT(ADDRESS(1296,10))+INDIRECT(ADDRESS(1294,11))-INDIRECT(ADDRESS(1295,11))</f>
        <v>0</v>
      </c>
      <c r="L1296">
        <f>INDIRECT(ADDRESS(1296,11))+INDIRECT(ADDRESS(1294,12))-INDIRECT(ADDRESS(1295,12))</f>
        <v>0</v>
      </c>
      <c r="M1296">
        <f>INDIRECT(ADDRESS(1296,12))+INDIRECT(ADDRESS(1294,13))-INDIRECT(ADDRESS(1295,13))</f>
        <v>0</v>
      </c>
      <c r="N1296">
        <f>INDIRECT(ADDRESS(1296,13))+INDIRECT(ADDRESS(1294,14))-INDIRECT(ADDRESS(1295,14))</f>
        <v>0</v>
      </c>
      <c r="O1296">
        <f>INDIRECT(ADDRESS(1296,14))+INDIRECT(ADDRESS(1294,15))-INDIRECT(ADDRESS(1295,15))</f>
        <v>0</v>
      </c>
      <c r="P1296">
        <f>INDIRECT(ADDRESS(1296,15))+INDIRECT(ADDRESS(1294,16))-INDIRECT(ADDRESS(1295,16))</f>
        <v>0</v>
      </c>
      <c r="Q1296">
        <f>INDIRECT(ADDRESS(1296,16))+INDIRECT(ADDRESS(1294,17))-INDIRECT(ADDRESS(1295,17))</f>
        <v>0</v>
      </c>
      <c r="R1296">
        <f>INDIRECT(ADDRESS(1296,17))+INDIRECT(ADDRESS(1294,18))-INDIRECT(ADDRESS(1295,18))</f>
        <v>0</v>
      </c>
      <c r="S1296">
        <f>INDIRECT(ADDRESS(1296,18))+INDIRECT(ADDRESS(1294,19))-INDIRECT(ADDRESS(1295,19))</f>
        <v>0</v>
      </c>
      <c r="T1296">
        <f>INDIRECT(ADDRESS(1296,19))+INDIRECT(ADDRESS(1294,20))-INDIRECT(ADDRESS(1295,20))</f>
        <v>0</v>
      </c>
      <c r="U1296">
        <f>INDIRECT(ADDRESS(1296,20))+INDIRECT(ADDRESS(1294,21))-INDIRECT(ADDRESS(1295,21))</f>
        <v>0</v>
      </c>
      <c r="V1296">
        <f>INDIRECT(ADDRESS(1296,21))+INDIRECT(ADDRESS(1294,22))-INDIRECT(ADDRESS(1295,22))</f>
        <v>0</v>
      </c>
      <c r="W1296">
        <f>INDIRECT(ADDRESS(1296,22))+INDIRECT(ADDRESS(1294,23))-INDIRECT(ADDRESS(1295,23))</f>
        <v>0</v>
      </c>
      <c r="X1296">
        <f>INDIRECT(ADDRESS(1296,23))+INDIRECT(ADDRESS(1294,24))-INDIRECT(ADDRESS(1295,24))</f>
        <v>0</v>
      </c>
      <c r="Y1296">
        <f>INDIRECT(ADDRESS(1296,24))+INDIRECT(ADDRESS(1294,25))-INDIRECT(ADDRESS(1295,25))</f>
        <v>0</v>
      </c>
      <c r="Z1296">
        <f>INDIRECT(ADDRESS(1296,25))+INDIRECT(ADDRESS(1294,26))-INDIRECT(ADDRESS(1295,26))</f>
        <v>0</v>
      </c>
      <c r="AA1296">
        <f>INDIRECT(ADDRESS(1296,26))+INDIRECT(ADDRESS(1294,27))-INDIRECT(ADDRESS(1295,27))</f>
        <v>0</v>
      </c>
      <c r="AB1296">
        <f>INDIRECT(ADDRESS(1296,27))+INDIRECT(ADDRESS(1294,28))-INDIRECT(ADDRESS(1295,28))</f>
        <v>0</v>
      </c>
      <c r="AC1296">
        <f>INDIRECT(ADDRESS(1296,28))+INDIRECT(ADDRESS(1294,29))-INDIRECT(ADDRESS(1295,29))</f>
        <v>0</v>
      </c>
      <c r="AD1296">
        <f>INDIRECT(ADDRESS(1296,29))+INDIRECT(ADDRESS(1294,30))-INDIRECT(ADDRESS(1295,30))</f>
        <v>0</v>
      </c>
      <c r="AE1296">
        <f>INDIRECT(ADDRESS(1296,30))+INDIRECT(ADDRESS(1294,31))-INDIRECT(ADDRESS(1295,31))</f>
        <v>0</v>
      </c>
      <c r="AF1296">
        <f>INDIRECT(ADDRESS(1296,31))+INDIRECT(ADDRESS(1294,32))-INDIRECT(ADDRESS(1295,32))</f>
        <v>0</v>
      </c>
      <c r="AG1296">
        <f>INDIRECT(ADDRESS(1296,32))+INDIRECT(ADDRESS(1294,33))-INDIRECT(ADDRESS(1295,33))</f>
        <v>0</v>
      </c>
      <c r="AH1296">
        <f>INDIRECT(ADDRESS(1296,33))+INDIRECT(ADDRESS(1294,34))-INDIRECT(ADDRESS(1295,34))</f>
        <v>0</v>
      </c>
      <c r="AI1296">
        <f>INDIRECT(ADDRESS(1296,34))+INDIRECT(ADDRESS(1294,35))-INDIRECT(ADDRESS(1295,35))</f>
        <v>0</v>
      </c>
      <c r="AJ1296">
        <f>INDIRECT(ADDRESS(1296,35))+INDIRECT(ADDRESS(1294,36))-INDIRECT(ADDRESS(1295,36))</f>
        <v>0</v>
      </c>
      <c r="AK1296">
        <f>INDIRECT(ADDRESS(1296,36))+INDIRECT(ADDRESS(1294,37))-INDIRECT(ADDRESS(1295,37))</f>
        <v>0</v>
      </c>
      <c r="AL1296">
        <f>INDIRECT(ADDRESS(1296,37))+INDIRECT(ADDRESS(1294,38))-INDIRECT(ADDRESS(1295,38))</f>
        <v>0</v>
      </c>
      <c r="AM1296">
        <f>INDIRECT(ADDRESS(1296,38))+INDIRECT(ADDRESS(1294,39))-INDIRECT(ADDRESS(1295,39))</f>
        <v>0</v>
      </c>
      <c r="AN1296">
        <f>INDIRECT(ADDRESS(1296,39))+INDIRECT(ADDRESS(1294,40))-INDIRECT(ADDRESS(1295,40))</f>
        <v>0</v>
      </c>
      <c r="AO1296">
        <f>SUM(INDIRECT(ADDRESS(1295,8)):INDIRECT(ADDRESS(1295,39)))</f>
        <v>0</v>
      </c>
    </row>
    <row r="1297" spans="1:41">
      <c r="A1297" t="s">
        <v>185</v>
      </c>
      <c r="B1297" t="s">
        <v>647</v>
      </c>
      <c r="C1297" t="s">
        <v>648</v>
      </c>
      <c r="E1297">
        <v>2</v>
      </c>
      <c r="I1297" t="s">
        <v>177</v>
      </c>
    </row>
    <row r="1298" spans="1:41">
      <c r="I1298" t="s">
        <v>178</v>
      </c>
      <c r="J1298">
        <f>IFERROR(VLOOKUP("906-353348-210",B:AB,1+8,0),0)</f>
        <v>0</v>
      </c>
      <c r="K1298">
        <f>IFERROR(VLOOKUP("906-353348-210",B:AB,2+8,0),0)</f>
        <v>0</v>
      </c>
      <c r="L1298">
        <f>IFERROR(VLOOKUP("906-353348-210",B:AB,3+8,0),0)</f>
        <v>0</v>
      </c>
      <c r="M1298">
        <f>IFERROR(VLOOKUP("906-353348-210",B:AB,4+8,0),0)</f>
        <v>0</v>
      </c>
      <c r="N1298">
        <f>IFERROR(VLOOKUP("906-353348-210",B:AB,5+8,0),0)</f>
        <v>0</v>
      </c>
      <c r="O1298">
        <f>IFERROR(VLOOKUP("906-353348-210",B:AB,6+8,0),0)</f>
        <v>0</v>
      </c>
      <c r="P1298">
        <f>IFERROR(VLOOKUP("906-353348-210",B:AB,7+8,0),0)</f>
        <v>0</v>
      </c>
      <c r="Q1298">
        <f>IFERROR(VLOOKUP("906-353348-210",B:AB,8+8,0),0)</f>
        <v>0</v>
      </c>
      <c r="R1298">
        <f>IFERROR(VLOOKUP("906-353348-210",B:AB,9+8,0),0)</f>
        <v>0</v>
      </c>
      <c r="S1298">
        <f>IFERROR(VLOOKUP("906-353348-210",B:AB,10+8,0),0)</f>
        <v>0</v>
      </c>
      <c r="T1298">
        <f>IFERROR(VLOOKUP("906-353348-210",B:AB,11+8,0),0)</f>
        <v>0</v>
      </c>
      <c r="U1298">
        <f>IFERROR(VLOOKUP("906-353348-210",B:AB,12+8,0),0)</f>
        <v>0</v>
      </c>
      <c r="V1298">
        <f>IFERROR(VLOOKUP("906-353348-210",B:AB,13+8,0),0)</f>
        <v>0</v>
      </c>
      <c r="W1298">
        <f>IFERROR(VLOOKUP("906-353348-210",B:AB,14+8,0),0)</f>
        <v>0</v>
      </c>
      <c r="X1298">
        <f>IFERROR(VLOOKUP("906-353348-210",B:AB,15+8,0),0)</f>
        <v>0</v>
      </c>
      <c r="Y1298">
        <f>IFERROR(VLOOKUP("906-353348-210",B:AB,16+8,0),0)</f>
        <v>0</v>
      </c>
      <c r="Z1298">
        <f>IFERROR(VLOOKUP("906-353348-210",B:AB,17+8,0),0)</f>
        <v>0</v>
      </c>
      <c r="AA1298">
        <f>IFERROR(VLOOKUP("906-353348-210",B:AB,18+8,0),0)</f>
        <v>0</v>
      </c>
      <c r="AB1298">
        <f>IFERROR(VLOOKUP("906-353348-210",B:AB,19+8,0),0)</f>
        <v>0</v>
      </c>
      <c r="AC1298">
        <f>IFERROR(VLOOKUP("906-353348-210",B:AB,20+8,0),0)</f>
        <v>0</v>
      </c>
      <c r="AD1298">
        <f>IFERROR(VLOOKUP("906-353348-210",B:AB,21+8,0),0)</f>
        <v>0</v>
      </c>
      <c r="AE1298">
        <f>IFERROR(VLOOKUP("906-353348-210",B:AB,22+8,0),0)</f>
        <v>0</v>
      </c>
      <c r="AF1298">
        <f>IFERROR(VLOOKUP("906-353348-210",B:AB,23+8,0),0)</f>
        <v>0</v>
      </c>
      <c r="AG1298">
        <f>IFERROR(VLOOKUP("906-353348-210",B:AB,24+8,0),0)</f>
        <v>0</v>
      </c>
      <c r="AH1298">
        <f>IFERROR(VLOOKUP("906-353348-210",B:AB,25+8,0),0)</f>
        <v>0</v>
      </c>
      <c r="AI1298">
        <f>IFERROR(VLOOKUP("906-353348-210",B:AB,26+8,0),0)</f>
        <v>0</v>
      </c>
      <c r="AJ1298">
        <f>IFERROR(VLOOKUP("906-353348-210",B:AB,27+8,0),0)</f>
        <v>0</v>
      </c>
      <c r="AK1298">
        <f>IFERROR(VLOOKUP("906-353348-210",B:AB,28+8,0),0)</f>
        <v>0</v>
      </c>
      <c r="AL1298">
        <f>IFERROR(VLOOKUP("906-353348-210",B:AB,29+8,0),0)</f>
        <v>0</v>
      </c>
      <c r="AM1298">
        <f>IFERROR(VLOOKUP("906-353348-210",B:AB,30+8,0),0)</f>
        <v>0</v>
      </c>
      <c r="AN1298">
        <f>IFERROR(VLOOKUP("906-353348-210",B:AB,31+8,0),0)</f>
        <v>0</v>
      </c>
      <c r="AO1298">
        <f>SUN(INDIRECT(ADDRESS(1297,8)):INDIRECT(ADDRESS(1297,39)))</f>
        <v>0</v>
      </c>
    </row>
    <row r="1299" spans="1:41">
      <c r="H1299" t="s">
        <v>179</v>
      </c>
      <c r="J1299">
        <f>INDIRECT(ADDRESS(1299,9))+INDIRECT(ADDRESS(1297,10))-INDIRECT(ADDRESS(1298,10))</f>
        <v>0</v>
      </c>
      <c r="K1299">
        <f>INDIRECT(ADDRESS(1299,10))+INDIRECT(ADDRESS(1297,11))-INDIRECT(ADDRESS(1298,11))</f>
        <v>0</v>
      </c>
      <c r="L1299">
        <f>INDIRECT(ADDRESS(1299,11))+INDIRECT(ADDRESS(1297,12))-INDIRECT(ADDRESS(1298,12))</f>
        <v>0</v>
      </c>
      <c r="M1299">
        <f>INDIRECT(ADDRESS(1299,12))+INDIRECT(ADDRESS(1297,13))-INDIRECT(ADDRESS(1298,13))</f>
        <v>0</v>
      </c>
      <c r="N1299">
        <f>INDIRECT(ADDRESS(1299,13))+INDIRECT(ADDRESS(1297,14))-INDIRECT(ADDRESS(1298,14))</f>
        <v>0</v>
      </c>
      <c r="O1299">
        <f>INDIRECT(ADDRESS(1299,14))+INDIRECT(ADDRESS(1297,15))-INDIRECT(ADDRESS(1298,15))</f>
        <v>0</v>
      </c>
      <c r="P1299">
        <f>INDIRECT(ADDRESS(1299,15))+INDIRECT(ADDRESS(1297,16))-INDIRECT(ADDRESS(1298,16))</f>
        <v>0</v>
      </c>
      <c r="Q1299">
        <f>INDIRECT(ADDRESS(1299,16))+INDIRECT(ADDRESS(1297,17))-INDIRECT(ADDRESS(1298,17))</f>
        <v>0</v>
      </c>
      <c r="R1299">
        <f>INDIRECT(ADDRESS(1299,17))+INDIRECT(ADDRESS(1297,18))-INDIRECT(ADDRESS(1298,18))</f>
        <v>0</v>
      </c>
      <c r="S1299">
        <f>INDIRECT(ADDRESS(1299,18))+INDIRECT(ADDRESS(1297,19))-INDIRECT(ADDRESS(1298,19))</f>
        <v>0</v>
      </c>
      <c r="T1299">
        <f>INDIRECT(ADDRESS(1299,19))+INDIRECT(ADDRESS(1297,20))-INDIRECT(ADDRESS(1298,20))</f>
        <v>0</v>
      </c>
      <c r="U1299">
        <f>INDIRECT(ADDRESS(1299,20))+INDIRECT(ADDRESS(1297,21))-INDIRECT(ADDRESS(1298,21))</f>
        <v>0</v>
      </c>
      <c r="V1299">
        <f>INDIRECT(ADDRESS(1299,21))+INDIRECT(ADDRESS(1297,22))-INDIRECT(ADDRESS(1298,22))</f>
        <v>0</v>
      </c>
      <c r="W1299">
        <f>INDIRECT(ADDRESS(1299,22))+INDIRECT(ADDRESS(1297,23))-INDIRECT(ADDRESS(1298,23))</f>
        <v>0</v>
      </c>
      <c r="X1299">
        <f>INDIRECT(ADDRESS(1299,23))+INDIRECT(ADDRESS(1297,24))-INDIRECT(ADDRESS(1298,24))</f>
        <v>0</v>
      </c>
      <c r="Y1299">
        <f>INDIRECT(ADDRESS(1299,24))+INDIRECT(ADDRESS(1297,25))-INDIRECT(ADDRESS(1298,25))</f>
        <v>0</v>
      </c>
      <c r="Z1299">
        <f>INDIRECT(ADDRESS(1299,25))+INDIRECT(ADDRESS(1297,26))-INDIRECT(ADDRESS(1298,26))</f>
        <v>0</v>
      </c>
      <c r="AA1299">
        <f>INDIRECT(ADDRESS(1299,26))+INDIRECT(ADDRESS(1297,27))-INDIRECT(ADDRESS(1298,27))</f>
        <v>0</v>
      </c>
      <c r="AB1299">
        <f>INDIRECT(ADDRESS(1299,27))+INDIRECT(ADDRESS(1297,28))-INDIRECT(ADDRESS(1298,28))</f>
        <v>0</v>
      </c>
      <c r="AC1299">
        <f>INDIRECT(ADDRESS(1299,28))+INDIRECT(ADDRESS(1297,29))-INDIRECT(ADDRESS(1298,29))</f>
        <v>0</v>
      </c>
      <c r="AD1299">
        <f>INDIRECT(ADDRESS(1299,29))+INDIRECT(ADDRESS(1297,30))-INDIRECT(ADDRESS(1298,30))</f>
        <v>0</v>
      </c>
      <c r="AE1299">
        <f>INDIRECT(ADDRESS(1299,30))+INDIRECT(ADDRESS(1297,31))-INDIRECT(ADDRESS(1298,31))</f>
        <v>0</v>
      </c>
      <c r="AF1299">
        <f>INDIRECT(ADDRESS(1299,31))+INDIRECT(ADDRESS(1297,32))-INDIRECT(ADDRESS(1298,32))</f>
        <v>0</v>
      </c>
      <c r="AG1299">
        <f>INDIRECT(ADDRESS(1299,32))+INDIRECT(ADDRESS(1297,33))-INDIRECT(ADDRESS(1298,33))</f>
        <v>0</v>
      </c>
      <c r="AH1299">
        <f>INDIRECT(ADDRESS(1299,33))+INDIRECT(ADDRESS(1297,34))-INDIRECT(ADDRESS(1298,34))</f>
        <v>0</v>
      </c>
      <c r="AI1299">
        <f>INDIRECT(ADDRESS(1299,34))+INDIRECT(ADDRESS(1297,35))-INDIRECT(ADDRESS(1298,35))</f>
        <v>0</v>
      </c>
      <c r="AJ1299">
        <f>INDIRECT(ADDRESS(1299,35))+INDIRECT(ADDRESS(1297,36))-INDIRECT(ADDRESS(1298,36))</f>
        <v>0</v>
      </c>
      <c r="AK1299">
        <f>INDIRECT(ADDRESS(1299,36))+INDIRECT(ADDRESS(1297,37))-INDIRECT(ADDRESS(1298,37))</f>
        <v>0</v>
      </c>
      <c r="AL1299">
        <f>INDIRECT(ADDRESS(1299,37))+INDIRECT(ADDRESS(1297,38))-INDIRECT(ADDRESS(1298,38))</f>
        <v>0</v>
      </c>
      <c r="AM1299">
        <f>INDIRECT(ADDRESS(1299,38))+INDIRECT(ADDRESS(1297,39))-INDIRECT(ADDRESS(1298,39))</f>
        <v>0</v>
      </c>
      <c r="AN1299">
        <f>INDIRECT(ADDRESS(1299,39))+INDIRECT(ADDRESS(1297,40))-INDIRECT(ADDRESS(1298,40))</f>
        <v>0</v>
      </c>
      <c r="AO1299">
        <f>SUM(INDIRECT(ADDRESS(1298,8)):INDIRECT(ADDRESS(1298,39)))</f>
        <v>0</v>
      </c>
    </row>
    <row r="1300" spans="1:41">
      <c r="A1300" t="s">
        <v>185</v>
      </c>
      <c r="B1300" t="s">
        <v>638</v>
      </c>
      <c r="C1300" t="s">
        <v>639</v>
      </c>
      <c r="E1300">
        <v>1</v>
      </c>
      <c r="I1300" t="s">
        <v>177</v>
      </c>
    </row>
    <row r="1301" spans="1:41">
      <c r="I1301" t="s">
        <v>178</v>
      </c>
      <c r="J1301">
        <f>IFERROR(VLOOKUP("906-353348-210",B:AB,1+8,0),0)</f>
        <v>0</v>
      </c>
      <c r="K1301">
        <f>IFERROR(VLOOKUP("906-353348-210",B:AB,2+8,0),0)</f>
        <v>0</v>
      </c>
      <c r="L1301">
        <f>IFERROR(VLOOKUP("906-353348-210",B:AB,3+8,0),0)</f>
        <v>0</v>
      </c>
      <c r="M1301">
        <f>IFERROR(VLOOKUP("906-353348-210",B:AB,4+8,0),0)</f>
        <v>0</v>
      </c>
      <c r="N1301">
        <f>IFERROR(VLOOKUP("906-353348-210",B:AB,5+8,0),0)</f>
        <v>0</v>
      </c>
      <c r="O1301">
        <f>IFERROR(VLOOKUP("906-353348-210",B:AB,6+8,0),0)</f>
        <v>0</v>
      </c>
      <c r="P1301">
        <f>IFERROR(VLOOKUP("906-353348-210",B:AB,7+8,0),0)</f>
        <v>0</v>
      </c>
      <c r="Q1301">
        <f>IFERROR(VLOOKUP("906-353348-210",B:AB,8+8,0),0)</f>
        <v>0</v>
      </c>
      <c r="R1301">
        <f>IFERROR(VLOOKUP("906-353348-210",B:AB,9+8,0),0)</f>
        <v>0</v>
      </c>
      <c r="S1301">
        <f>IFERROR(VLOOKUP("906-353348-210",B:AB,10+8,0),0)</f>
        <v>0</v>
      </c>
      <c r="T1301">
        <f>IFERROR(VLOOKUP("906-353348-210",B:AB,11+8,0),0)</f>
        <v>0</v>
      </c>
      <c r="U1301">
        <f>IFERROR(VLOOKUP("906-353348-210",B:AB,12+8,0),0)</f>
        <v>0</v>
      </c>
      <c r="V1301">
        <f>IFERROR(VLOOKUP("906-353348-210",B:AB,13+8,0),0)</f>
        <v>0</v>
      </c>
      <c r="W1301">
        <f>IFERROR(VLOOKUP("906-353348-210",B:AB,14+8,0),0)</f>
        <v>0</v>
      </c>
      <c r="X1301">
        <f>IFERROR(VLOOKUP("906-353348-210",B:AB,15+8,0),0)</f>
        <v>0</v>
      </c>
      <c r="Y1301">
        <f>IFERROR(VLOOKUP("906-353348-210",B:AB,16+8,0),0)</f>
        <v>0</v>
      </c>
      <c r="Z1301">
        <f>IFERROR(VLOOKUP("906-353348-210",B:AB,17+8,0),0)</f>
        <v>0</v>
      </c>
      <c r="AA1301">
        <f>IFERROR(VLOOKUP("906-353348-210",B:AB,18+8,0),0)</f>
        <v>0</v>
      </c>
      <c r="AB1301">
        <f>IFERROR(VLOOKUP("906-353348-210",B:AB,19+8,0),0)</f>
        <v>0</v>
      </c>
      <c r="AC1301">
        <f>IFERROR(VLOOKUP("906-353348-210",B:AB,20+8,0),0)</f>
        <v>0</v>
      </c>
      <c r="AD1301">
        <f>IFERROR(VLOOKUP("906-353348-210",B:AB,21+8,0),0)</f>
        <v>0</v>
      </c>
      <c r="AE1301">
        <f>IFERROR(VLOOKUP("906-353348-210",B:AB,22+8,0),0)</f>
        <v>0</v>
      </c>
      <c r="AF1301">
        <f>IFERROR(VLOOKUP("906-353348-210",B:AB,23+8,0),0)</f>
        <v>0</v>
      </c>
      <c r="AG1301">
        <f>IFERROR(VLOOKUP("906-353348-210",B:AB,24+8,0),0)</f>
        <v>0</v>
      </c>
      <c r="AH1301">
        <f>IFERROR(VLOOKUP("906-353348-210",B:AB,25+8,0),0)</f>
        <v>0</v>
      </c>
      <c r="AI1301">
        <f>IFERROR(VLOOKUP("906-353348-210",B:AB,26+8,0),0)</f>
        <v>0</v>
      </c>
      <c r="AJ1301">
        <f>IFERROR(VLOOKUP("906-353348-210",B:AB,27+8,0),0)</f>
        <v>0</v>
      </c>
      <c r="AK1301">
        <f>IFERROR(VLOOKUP("906-353348-210",B:AB,28+8,0),0)</f>
        <v>0</v>
      </c>
      <c r="AL1301">
        <f>IFERROR(VLOOKUP("906-353348-210",B:AB,29+8,0),0)</f>
        <v>0</v>
      </c>
      <c r="AM1301">
        <f>IFERROR(VLOOKUP("906-353348-210",B:AB,30+8,0),0)</f>
        <v>0</v>
      </c>
      <c r="AN1301">
        <f>IFERROR(VLOOKUP("906-353348-210",B:AB,31+8,0),0)</f>
        <v>0</v>
      </c>
      <c r="AO1301">
        <f>SUN(INDIRECT(ADDRESS(1300,8)):INDIRECT(ADDRESS(1300,39)))</f>
        <v>0</v>
      </c>
    </row>
    <row r="1302" spans="1:41">
      <c r="H1302" t="s">
        <v>179</v>
      </c>
      <c r="J1302">
        <f>INDIRECT(ADDRESS(1302,9))+INDIRECT(ADDRESS(1300,10))-INDIRECT(ADDRESS(1301,10))</f>
        <v>0</v>
      </c>
      <c r="K1302">
        <f>INDIRECT(ADDRESS(1302,10))+INDIRECT(ADDRESS(1300,11))-INDIRECT(ADDRESS(1301,11))</f>
        <v>0</v>
      </c>
      <c r="L1302">
        <f>INDIRECT(ADDRESS(1302,11))+INDIRECT(ADDRESS(1300,12))-INDIRECT(ADDRESS(1301,12))</f>
        <v>0</v>
      </c>
      <c r="M1302">
        <f>INDIRECT(ADDRESS(1302,12))+INDIRECT(ADDRESS(1300,13))-INDIRECT(ADDRESS(1301,13))</f>
        <v>0</v>
      </c>
      <c r="N1302">
        <f>INDIRECT(ADDRESS(1302,13))+INDIRECT(ADDRESS(1300,14))-INDIRECT(ADDRESS(1301,14))</f>
        <v>0</v>
      </c>
      <c r="O1302">
        <f>INDIRECT(ADDRESS(1302,14))+INDIRECT(ADDRESS(1300,15))-INDIRECT(ADDRESS(1301,15))</f>
        <v>0</v>
      </c>
      <c r="P1302">
        <f>INDIRECT(ADDRESS(1302,15))+INDIRECT(ADDRESS(1300,16))-INDIRECT(ADDRESS(1301,16))</f>
        <v>0</v>
      </c>
      <c r="Q1302">
        <f>INDIRECT(ADDRESS(1302,16))+INDIRECT(ADDRESS(1300,17))-INDIRECT(ADDRESS(1301,17))</f>
        <v>0</v>
      </c>
      <c r="R1302">
        <f>INDIRECT(ADDRESS(1302,17))+INDIRECT(ADDRESS(1300,18))-INDIRECT(ADDRESS(1301,18))</f>
        <v>0</v>
      </c>
      <c r="S1302">
        <f>INDIRECT(ADDRESS(1302,18))+INDIRECT(ADDRESS(1300,19))-INDIRECT(ADDRESS(1301,19))</f>
        <v>0</v>
      </c>
      <c r="T1302">
        <f>INDIRECT(ADDRESS(1302,19))+INDIRECT(ADDRESS(1300,20))-INDIRECT(ADDRESS(1301,20))</f>
        <v>0</v>
      </c>
      <c r="U1302">
        <f>INDIRECT(ADDRESS(1302,20))+INDIRECT(ADDRESS(1300,21))-INDIRECT(ADDRESS(1301,21))</f>
        <v>0</v>
      </c>
      <c r="V1302">
        <f>INDIRECT(ADDRESS(1302,21))+INDIRECT(ADDRESS(1300,22))-INDIRECT(ADDRESS(1301,22))</f>
        <v>0</v>
      </c>
      <c r="W1302">
        <f>INDIRECT(ADDRESS(1302,22))+INDIRECT(ADDRESS(1300,23))-INDIRECT(ADDRESS(1301,23))</f>
        <v>0</v>
      </c>
      <c r="X1302">
        <f>INDIRECT(ADDRESS(1302,23))+INDIRECT(ADDRESS(1300,24))-INDIRECT(ADDRESS(1301,24))</f>
        <v>0</v>
      </c>
      <c r="Y1302">
        <f>INDIRECT(ADDRESS(1302,24))+INDIRECT(ADDRESS(1300,25))-INDIRECT(ADDRESS(1301,25))</f>
        <v>0</v>
      </c>
      <c r="Z1302">
        <f>INDIRECT(ADDRESS(1302,25))+INDIRECT(ADDRESS(1300,26))-INDIRECT(ADDRESS(1301,26))</f>
        <v>0</v>
      </c>
      <c r="AA1302">
        <f>INDIRECT(ADDRESS(1302,26))+INDIRECT(ADDRESS(1300,27))-INDIRECT(ADDRESS(1301,27))</f>
        <v>0</v>
      </c>
      <c r="AB1302">
        <f>INDIRECT(ADDRESS(1302,27))+INDIRECT(ADDRESS(1300,28))-INDIRECT(ADDRESS(1301,28))</f>
        <v>0</v>
      </c>
      <c r="AC1302">
        <f>INDIRECT(ADDRESS(1302,28))+INDIRECT(ADDRESS(1300,29))-INDIRECT(ADDRESS(1301,29))</f>
        <v>0</v>
      </c>
      <c r="AD1302">
        <f>INDIRECT(ADDRESS(1302,29))+INDIRECT(ADDRESS(1300,30))-INDIRECT(ADDRESS(1301,30))</f>
        <v>0</v>
      </c>
      <c r="AE1302">
        <f>INDIRECT(ADDRESS(1302,30))+INDIRECT(ADDRESS(1300,31))-INDIRECT(ADDRESS(1301,31))</f>
        <v>0</v>
      </c>
      <c r="AF1302">
        <f>INDIRECT(ADDRESS(1302,31))+INDIRECT(ADDRESS(1300,32))-INDIRECT(ADDRESS(1301,32))</f>
        <v>0</v>
      </c>
      <c r="AG1302">
        <f>INDIRECT(ADDRESS(1302,32))+INDIRECT(ADDRESS(1300,33))-INDIRECT(ADDRESS(1301,33))</f>
        <v>0</v>
      </c>
      <c r="AH1302">
        <f>INDIRECT(ADDRESS(1302,33))+INDIRECT(ADDRESS(1300,34))-INDIRECT(ADDRESS(1301,34))</f>
        <v>0</v>
      </c>
      <c r="AI1302">
        <f>INDIRECT(ADDRESS(1302,34))+INDIRECT(ADDRESS(1300,35))-INDIRECT(ADDRESS(1301,35))</f>
        <v>0</v>
      </c>
      <c r="AJ1302">
        <f>INDIRECT(ADDRESS(1302,35))+INDIRECT(ADDRESS(1300,36))-INDIRECT(ADDRESS(1301,36))</f>
        <v>0</v>
      </c>
      <c r="AK1302">
        <f>INDIRECT(ADDRESS(1302,36))+INDIRECT(ADDRESS(1300,37))-INDIRECT(ADDRESS(1301,37))</f>
        <v>0</v>
      </c>
      <c r="AL1302">
        <f>INDIRECT(ADDRESS(1302,37))+INDIRECT(ADDRESS(1300,38))-INDIRECT(ADDRESS(1301,38))</f>
        <v>0</v>
      </c>
      <c r="AM1302">
        <f>INDIRECT(ADDRESS(1302,38))+INDIRECT(ADDRESS(1300,39))-INDIRECT(ADDRESS(1301,39))</f>
        <v>0</v>
      </c>
      <c r="AN1302">
        <f>INDIRECT(ADDRESS(1302,39))+INDIRECT(ADDRESS(1300,40))-INDIRECT(ADDRESS(1301,40))</f>
        <v>0</v>
      </c>
      <c r="AO1302">
        <f>SUM(INDIRECT(ADDRESS(1301,8)):INDIRECT(ADDRESS(1301,39)))</f>
        <v>0</v>
      </c>
    </row>
    <row r="1303" spans="1:41">
      <c r="A1303" t="s">
        <v>185</v>
      </c>
      <c r="B1303" t="s">
        <v>640</v>
      </c>
      <c r="C1303" t="s">
        <v>641</v>
      </c>
      <c r="E1303">
        <v>2</v>
      </c>
      <c r="I1303" t="s">
        <v>177</v>
      </c>
    </row>
    <row r="1304" spans="1:41">
      <c r="I1304" t="s">
        <v>178</v>
      </c>
      <c r="J1304">
        <f>IFERROR(VLOOKUP("906-353348-210",B:AB,1+8,0),0)</f>
        <v>0</v>
      </c>
      <c r="K1304">
        <f>IFERROR(VLOOKUP("906-353348-210",B:AB,2+8,0),0)</f>
        <v>0</v>
      </c>
      <c r="L1304">
        <f>IFERROR(VLOOKUP("906-353348-210",B:AB,3+8,0),0)</f>
        <v>0</v>
      </c>
      <c r="M1304">
        <f>IFERROR(VLOOKUP("906-353348-210",B:AB,4+8,0),0)</f>
        <v>0</v>
      </c>
      <c r="N1304">
        <f>IFERROR(VLOOKUP("906-353348-210",B:AB,5+8,0),0)</f>
        <v>0</v>
      </c>
      <c r="O1304">
        <f>IFERROR(VLOOKUP("906-353348-210",B:AB,6+8,0),0)</f>
        <v>0</v>
      </c>
      <c r="P1304">
        <f>IFERROR(VLOOKUP("906-353348-210",B:AB,7+8,0),0)</f>
        <v>0</v>
      </c>
      <c r="Q1304">
        <f>IFERROR(VLOOKUP("906-353348-210",B:AB,8+8,0),0)</f>
        <v>0</v>
      </c>
      <c r="R1304">
        <f>IFERROR(VLOOKUP("906-353348-210",B:AB,9+8,0),0)</f>
        <v>0</v>
      </c>
      <c r="S1304">
        <f>IFERROR(VLOOKUP("906-353348-210",B:AB,10+8,0),0)</f>
        <v>0</v>
      </c>
      <c r="T1304">
        <f>IFERROR(VLOOKUP("906-353348-210",B:AB,11+8,0),0)</f>
        <v>0</v>
      </c>
      <c r="U1304">
        <f>IFERROR(VLOOKUP("906-353348-210",B:AB,12+8,0),0)</f>
        <v>0</v>
      </c>
      <c r="V1304">
        <f>IFERROR(VLOOKUP("906-353348-210",B:AB,13+8,0),0)</f>
        <v>0</v>
      </c>
      <c r="W1304">
        <f>IFERROR(VLOOKUP("906-353348-210",B:AB,14+8,0),0)</f>
        <v>0</v>
      </c>
      <c r="X1304">
        <f>IFERROR(VLOOKUP("906-353348-210",B:AB,15+8,0),0)</f>
        <v>0</v>
      </c>
      <c r="Y1304">
        <f>IFERROR(VLOOKUP("906-353348-210",B:AB,16+8,0),0)</f>
        <v>0</v>
      </c>
      <c r="Z1304">
        <f>IFERROR(VLOOKUP("906-353348-210",B:AB,17+8,0),0)</f>
        <v>0</v>
      </c>
      <c r="AA1304">
        <f>IFERROR(VLOOKUP("906-353348-210",B:AB,18+8,0),0)</f>
        <v>0</v>
      </c>
      <c r="AB1304">
        <f>IFERROR(VLOOKUP("906-353348-210",B:AB,19+8,0),0)</f>
        <v>0</v>
      </c>
      <c r="AC1304">
        <f>IFERROR(VLOOKUP("906-353348-210",B:AB,20+8,0),0)</f>
        <v>0</v>
      </c>
      <c r="AD1304">
        <f>IFERROR(VLOOKUP("906-353348-210",B:AB,21+8,0),0)</f>
        <v>0</v>
      </c>
      <c r="AE1304">
        <f>IFERROR(VLOOKUP("906-353348-210",B:AB,22+8,0),0)</f>
        <v>0</v>
      </c>
      <c r="AF1304">
        <f>IFERROR(VLOOKUP("906-353348-210",B:AB,23+8,0),0)</f>
        <v>0</v>
      </c>
      <c r="AG1304">
        <f>IFERROR(VLOOKUP("906-353348-210",B:AB,24+8,0),0)</f>
        <v>0</v>
      </c>
      <c r="AH1304">
        <f>IFERROR(VLOOKUP("906-353348-210",B:AB,25+8,0),0)</f>
        <v>0</v>
      </c>
      <c r="AI1304">
        <f>IFERROR(VLOOKUP("906-353348-210",B:AB,26+8,0),0)</f>
        <v>0</v>
      </c>
      <c r="AJ1304">
        <f>IFERROR(VLOOKUP("906-353348-210",B:AB,27+8,0),0)</f>
        <v>0</v>
      </c>
      <c r="AK1304">
        <f>IFERROR(VLOOKUP("906-353348-210",B:AB,28+8,0),0)</f>
        <v>0</v>
      </c>
      <c r="AL1304">
        <f>IFERROR(VLOOKUP("906-353348-210",B:AB,29+8,0),0)</f>
        <v>0</v>
      </c>
      <c r="AM1304">
        <f>IFERROR(VLOOKUP("906-353348-210",B:AB,30+8,0),0)</f>
        <v>0</v>
      </c>
      <c r="AN1304">
        <f>IFERROR(VLOOKUP("906-353348-210",B:AB,31+8,0),0)</f>
        <v>0</v>
      </c>
      <c r="AO1304">
        <f>SUN(INDIRECT(ADDRESS(1303,8)):INDIRECT(ADDRESS(1303,39)))</f>
        <v>0</v>
      </c>
    </row>
    <row r="1305" spans="1:41">
      <c r="H1305" t="s">
        <v>179</v>
      </c>
      <c r="J1305">
        <f>INDIRECT(ADDRESS(1305,9))+INDIRECT(ADDRESS(1303,10))-INDIRECT(ADDRESS(1304,10))</f>
        <v>0</v>
      </c>
      <c r="K1305">
        <f>INDIRECT(ADDRESS(1305,10))+INDIRECT(ADDRESS(1303,11))-INDIRECT(ADDRESS(1304,11))</f>
        <v>0</v>
      </c>
      <c r="L1305">
        <f>INDIRECT(ADDRESS(1305,11))+INDIRECT(ADDRESS(1303,12))-INDIRECT(ADDRESS(1304,12))</f>
        <v>0</v>
      </c>
      <c r="M1305">
        <f>INDIRECT(ADDRESS(1305,12))+INDIRECT(ADDRESS(1303,13))-INDIRECT(ADDRESS(1304,13))</f>
        <v>0</v>
      </c>
      <c r="N1305">
        <f>INDIRECT(ADDRESS(1305,13))+INDIRECT(ADDRESS(1303,14))-INDIRECT(ADDRESS(1304,14))</f>
        <v>0</v>
      </c>
      <c r="O1305">
        <f>INDIRECT(ADDRESS(1305,14))+INDIRECT(ADDRESS(1303,15))-INDIRECT(ADDRESS(1304,15))</f>
        <v>0</v>
      </c>
      <c r="P1305">
        <f>INDIRECT(ADDRESS(1305,15))+INDIRECT(ADDRESS(1303,16))-INDIRECT(ADDRESS(1304,16))</f>
        <v>0</v>
      </c>
      <c r="Q1305">
        <f>INDIRECT(ADDRESS(1305,16))+INDIRECT(ADDRESS(1303,17))-INDIRECT(ADDRESS(1304,17))</f>
        <v>0</v>
      </c>
      <c r="R1305">
        <f>INDIRECT(ADDRESS(1305,17))+INDIRECT(ADDRESS(1303,18))-INDIRECT(ADDRESS(1304,18))</f>
        <v>0</v>
      </c>
      <c r="S1305">
        <f>INDIRECT(ADDRESS(1305,18))+INDIRECT(ADDRESS(1303,19))-INDIRECT(ADDRESS(1304,19))</f>
        <v>0</v>
      </c>
      <c r="T1305">
        <f>INDIRECT(ADDRESS(1305,19))+INDIRECT(ADDRESS(1303,20))-INDIRECT(ADDRESS(1304,20))</f>
        <v>0</v>
      </c>
      <c r="U1305">
        <f>INDIRECT(ADDRESS(1305,20))+INDIRECT(ADDRESS(1303,21))-INDIRECT(ADDRESS(1304,21))</f>
        <v>0</v>
      </c>
      <c r="V1305">
        <f>INDIRECT(ADDRESS(1305,21))+INDIRECT(ADDRESS(1303,22))-INDIRECT(ADDRESS(1304,22))</f>
        <v>0</v>
      </c>
      <c r="W1305">
        <f>INDIRECT(ADDRESS(1305,22))+INDIRECT(ADDRESS(1303,23))-INDIRECT(ADDRESS(1304,23))</f>
        <v>0</v>
      </c>
      <c r="X1305">
        <f>INDIRECT(ADDRESS(1305,23))+INDIRECT(ADDRESS(1303,24))-INDIRECT(ADDRESS(1304,24))</f>
        <v>0</v>
      </c>
      <c r="Y1305">
        <f>INDIRECT(ADDRESS(1305,24))+INDIRECT(ADDRESS(1303,25))-INDIRECT(ADDRESS(1304,25))</f>
        <v>0</v>
      </c>
      <c r="Z1305">
        <f>INDIRECT(ADDRESS(1305,25))+INDIRECT(ADDRESS(1303,26))-INDIRECT(ADDRESS(1304,26))</f>
        <v>0</v>
      </c>
      <c r="AA1305">
        <f>INDIRECT(ADDRESS(1305,26))+INDIRECT(ADDRESS(1303,27))-INDIRECT(ADDRESS(1304,27))</f>
        <v>0</v>
      </c>
      <c r="AB1305">
        <f>INDIRECT(ADDRESS(1305,27))+INDIRECT(ADDRESS(1303,28))-INDIRECT(ADDRESS(1304,28))</f>
        <v>0</v>
      </c>
      <c r="AC1305">
        <f>INDIRECT(ADDRESS(1305,28))+INDIRECT(ADDRESS(1303,29))-INDIRECT(ADDRESS(1304,29))</f>
        <v>0</v>
      </c>
      <c r="AD1305">
        <f>INDIRECT(ADDRESS(1305,29))+INDIRECT(ADDRESS(1303,30))-INDIRECT(ADDRESS(1304,30))</f>
        <v>0</v>
      </c>
      <c r="AE1305">
        <f>INDIRECT(ADDRESS(1305,30))+INDIRECT(ADDRESS(1303,31))-INDIRECT(ADDRESS(1304,31))</f>
        <v>0</v>
      </c>
      <c r="AF1305">
        <f>INDIRECT(ADDRESS(1305,31))+INDIRECT(ADDRESS(1303,32))-INDIRECT(ADDRESS(1304,32))</f>
        <v>0</v>
      </c>
      <c r="AG1305">
        <f>INDIRECT(ADDRESS(1305,32))+INDIRECT(ADDRESS(1303,33))-INDIRECT(ADDRESS(1304,33))</f>
        <v>0</v>
      </c>
      <c r="AH1305">
        <f>INDIRECT(ADDRESS(1305,33))+INDIRECT(ADDRESS(1303,34))-INDIRECT(ADDRESS(1304,34))</f>
        <v>0</v>
      </c>
      <c r="AI1305">
        <f>INDIRECT(ADDRESS(1305,34))+INDIRECT(ADDRESS(1303,35))-INDIRECT(ADDRESS(1304,35))</f>
        <v>0</v>
      </c>
      <c r="AJ1305">
        <f>INDIRECT(ADDRESS(1305,35))+INDIRECT(ADDRESS(1303,36))-INDIRECT(ADDRESS(1304,36))</f>
        <v>0</v>
      </c>
      <c r="AK1305">
        <f>INDIRECT(ADDRESS(1305,36))+INDIRECT(ADDRESS(1303,37))-INDIRECT(ADDRESS(1304,37))</f>
        <v>0</v>
      </c>
      <c r="AL1305">
        <f>INDIRECT(ADDRESS(1305,37))+INDIRECT(ADDRESS(1303,38))-INDIRECT(ADDRESS(1304,38))</f>
        <v>0</v>
      </c>
      <c r="AM1305">
        <f>INDIRECT(ADDRESS(1305,38))+INDIRECT(ADDRESS(1303,39))-INDIRECT(ADDRESS(1304,39))</f>
        <v>0</v>
      </c>
      <c r="AN1305">
        <f>INDIRECT(ADDRESS(1305,39))+INDIRECT(ADDRESS(1303,40))-INDIRECT(ADDRESS(1304,40))</f>
        <v>0</v>
      </c>
      <c r="AO1305">
        <f>SUM(INDIRECT(ADDRESS(1304,8)):INDIRECT(ADDRESS(1304,39)))</f>
        <v>0</v>
      </c>
    </row>
    <row r="1306" spans="1:41">
      <c r="A1306" t="s">
        <v>185</v>
      </c>
      <c r="B1306" t="s">
        <v>644</v>
      </c>
      <c r="C1306" t="s">
        <v>645</v>
      </c>
      <c r="E1306">
        <v>2</v>
      </c>
      <c r="I1306" t="s">
        <v>177</v>
      </c>
    </row>
    <row r="1307" spans="1:41">
      <c r="I1307" t="s">
        <v>178</v>
      </c>
      <c r="J1307">
        <f>IFERROR(VLOOKUP("906-353348-210",B:AB,1+8,0),0)</f>
        <v>0</v>
      </c>
      <c r="K1307">
        <f>IFERROR(VLOOKUP("906-353348-210",B:AB,2+8,0),0)</f>
        <v>0</v>
      </c>
      <c r="L1307">
        <f>IFERROR(VLOOKUP("906-353348-210",B:AB,3+8,0),0)</f>
        <v>0</v>
      </c>
      <c r="M1307">
        <f>IFERROR(VLOOKUP("906-353348-210",B:AB,4+8,0),0)</f>
        <v>0</v>
      </c>
      <c r="N1307">
        <f>IFERROR(VLOOKUP("906-353348-210",B:AB,5+8,0),0)</f>
        <v>0</v>
      </c>
      <c r="O1307">
        <f>IFERROR(VLOOKUP("906-353348-210",B:AB,6+8,0),0)</f>
        <v>0</v>
      </c>
      <c r="P1307">
        <f>IFERROR(VLOOKUP("906-353348-210",B:AB,7+8,0),0)</f>
        <v>0</v>
      </c>
      <c r="Q1307">
        <f>IFERROR(VLOOKUP("906-353348-210",B:AB,8+8,0),0)</f>
        <v>0</v>
      </c>
      <c r="R1307">
        <f>IFERROR(VLOOKUP("906-353348-210",B:AB,9+8,0),0)</f>
        <v>0</v>
      </c>
      <c r="S1307">
        <f>IFERROR(VLOOKUP("906-353348-210",B:AB,10+8,0),0)</f>
        <v>0</v>
      </c>
      <c r="T1307">
        <f>IFERROR(VLOOKUP("906-353348-210",B:AB,11+8,0),0)</f>
        <v>0</v>
      </c>
      <c r="U1307">
        <f>IFERROR(VLOOKUP("906-353348-210",B:AB,12+8,0),0)</f>
        <v>0</v>
      </c>
      <c r="V1307">
        <f>IFERROR(VLOOKUP("906-353348-210",B:AB,13+8,0),0)</f>
        <v>0</v>
      </c>
      <c r="W1307">
        <f>IFERROR(VLOOKUP("906-353348-210",B:AB,14+8,0),0)</f>
        <v>0</v>
      </c>
      <c r="X1307">
        <f>IFERROR(VLOOKUP("906-353348-210",B:AB,15+8,0),0)</f>
        <v>0</v>
      </c>
      <c r="Y1307">
        <f>IFERROR(VLOOKUP("906-353348-210",B:AB,16+8,0),0)</f>
        <v>0</v>
      </c>
      <c r="Z1307">
        <f>IFERROR(VLOOKUP("906-353348-210",B:AB,17+8,0),0)</f>
        <v>0</v>
      </c>
      <c r="AA1307">
        <f>IFERROR(VLOOKUP("906-353348-210",B:AB,18+8,0),0)</f>
        <v>0</v>
      </c>
      <c r="AB1307">
        <f>IFERROR(VLOOKUP("906-353348-210",B:AB,19+8,0),0)</f>
        <v>0</v>
      </c>
      <c r="AC1307">
        <f>IFERROR(VLOOKUP("906-353348-210",B:AB,20+8,0),0)</f>
        <v>0</v>
      </c>
      <c r="AD1307">
        <f>IFERROR(VLOOKUP("906-353348-210",B:AB,21+8,0),0)</f>
        <v>0</v>
      </c>
      <c r="AE1307">
        <f>IFERROR(VLOOKUP("906-353348-210",B:AB,22+8,0),0)</f>
        <v>0</v>
      </c>
      <c r="AF1307">
        <f>IFERROR(VLOOKUP("906-353348-210",B:AB,23+8,0),0)</f>
        <v>0</v>
      </c>
      <c r="AG1307">
        <f>IFERROR(VLOOKUP("906-353348-210",B:AB,24+8,0),0)</f>
        <v>0</v>
      </c>
      <c r="AH1307">
        <f>IFERROR(VLOOKUP("906-353348-210",B:AB,25+8,0),0)</f>
        <v>0</v>
      </c>
      <c r="AI1307">
        <f>IFERROR(VLOOKUP("906-353348-210",B:AB,26+8,0),0)</f>
        <v>0</v>
      </c>
      <c r="AJ1307">
        <f>IFERROR(VLOOKUP("906-353348-210",B:AB,27+8,0),0)</f>
        <v>0</v>
      </c>
      <c r="AK1307">
        <f>IFERROR(VLOOKUP("906-353348-210",B:AB,28+8,0),0)</f>
        <v>0</v>
      </c>
      <c r="AL1307">
        <f>IFERROR(VLOOKUP("906-353348-210",B:AB,29+8,0),0)</f>
        <v>0</v>
      </c>
      <c r="AM1307">
        <f>IFERROR(VLOOKUP("906-353348-210",B:AB,30+8,0),0)</f>
        <v>0</v>
      </c>
      <c r="AN1307">
        <f>IFERROR(VLOOKUP("906-353348-210",B:AB,31+8,0),0)</f>
        <v>0</v>
      </c>
      <c r="AO1307">
        <f>SUN(INDIRECT(ADDRESS(1306,8)):INDIRECT(ADDRESS(1306,39)))</f>
        <v>0</v>
      </c>
    </row>
    <row r="1308" spans="1:41">
      <c r="H1308" t="s">
        <v>179</v>
      </c>
      <c r="J1308">
        <f>INDIRECT(ADDRESS(1308,9))+INDIRECT(ADDRESS(1306,10))-INDIRECT(ADDRESS(1307,10))</f>
        <v>0</v>
      </c>
      <c r="K1308">
        <f>INDIRECT(ADDRESS(1308,10))+INDIRECT(ADDRESS(1306,11))-INDIRECT(ADDRESS(1307,11))</f>
        <v>0</v>
      </c>
      <c r="L1308">
        <f>INDIRECT(ADDRESS(1308,11))+INDIRECT(ADDRESS(1306,12))-INDIRECT(ADDRESS(1307,12))</f>
        <v>0</v>
      </c>
      <c r="M1308">
        <f>INDIRECT(ADDRESS(1308,12))+INDIRECT(ADDRESS(1306,13))-INDIRECT(ADDRESS(1307,13))</f>
        <v>0</v>
      </c>
      <c r="N1308">
        <f>INDIRECT(ADDRESS(1308,13))+INDIRECT(ADDRESS(1306,14))-INDIRECT(ADDRESS(1307,14))</f>
        <v>0</v>
      </c>
      <c r="O1308">
        <f>INDIRECT(ADDRESS(1308,14))+INDIRECT(ADDRESS(1306,15))-INDIRECT(ADDRESS(1307,15))</f>
        <v>0</v>
      </c>
      <c r="P1308">
        <f>INDIRECT(ADDRESS(1308,15))+INDIRECT(ADDRESS(1306,16))-INDIRECT(ADDRESS(1307,16))</f>
        <v>0</v>
      </c>
      <c r="Q1308">
        <f>INDIRECT(ADDRESS(1308,16))+INDIRECT(ADDRESS(1306,17))-INDIRECT(ADDRESS(1307,17))</f>
        <v>0</v>
      </c>
      <c r="R1308">
        <f>INDIRECT(ADDRESS(1308,17))+INDIRECT(ADDRESS(1306,18))-INDIRECT(ADDRESS(1307,18))</f>
        <v>0</v>
      </c>
      <c r="S1308">
        <f>INDIRECT(ADDRESS(1308,18))+INDIRECT(ADDRESS(1306,19))-INDIRECT(ADDRESS(1307,19))</f>
        <v>0</v>
      </c>
      <c r="T1308">
        <f>INDIRECT(ADDRESS(1308,19))+INDIRECT(ADDRESS(1306,20))-INDIRECT(ADDRESS(1307,20))</f>
        <v>0</v>
      </c>
      <c r="U1308">
        <f>INDIRECT(ADDRESS(1308,20))+INDIRECT(ADDRESS(1306,21))-INDIRECT(ADDRESS(1307,21))</f>
        <v>0</v>
      </c>
      <c r="V1308">
        <f>INDIRECT(ADDRESS(1308,21))+INDIRECT(ADDRESS(1306,22))-INDIRECT(ADDRESS(1307,22))</f>
        <v>0</v>
      </c>
      <c r="W1308">
        <f>INDIRECT(ADDRESS(1308,22))+INDIRECT(ADDRESS(1306,23))-INDIRECT(ADDRESS(1307,23))</f>
        <v>0</v>
      </c>
      <c r="X1308">
        <f>INDIRECT(ADDRESS(1308,23))+INDIRECT(ADDRESS(1306,24))-INDIRECT(ADDRESS(1307,24))</f>
        <v>0</v>
      </c>
      <c r="Y1308">
        <f>INDIRECT(ADDRESS(1308,24))+INDIRECT(ADDRESS(1306,25))-INDIRECT(ADDRESS(1307,25))</f>
        <v>0</v>
      </c>
      <c r="Z1308">
        <f>INDIRECT(ADDRESS(1308,25))+INDIRECT(ADDRESS(1306,26))-INDIRECT(ADDRESS(1307,26))</f>
        <v>0</v>
      </c>
      <c r="AA1308">
        <f>INDIRECT(ADDRESS(1308,26))+INDIRECT(ADDRESS(1306,27))-INDIRECT(ADDRESS(1307,27))</f>
        <v>0</v>
      </c>
      <c r="AB1308">
        <f>INDIRECT(ADDRESS(1308,27))+INDIRECT(ADDRESS(1306,28))-INDIRECT(ADDRESS(1307,28))</f>
        <v>0</v>
      </c>
      <c r="AC1308">
        <f>INDIRECT(ADDRESS(1308,28))+INDIRECT(ADDRESS(1306,29))-INDIRECT(ADDRESS(1307,29))</f>
        <v>0</v>
      </c>
      <c r="AD1308">
        <f>INDIRECT(ADDRESS(1308,29))+INDIRECT(ADDRESS(1306,30))-INDIRECT(ADDRESS(1307,30))</f>
        <v>0</v>
      </c>
      <c r="AE1308">
        <f>INDIRECT(ADDRESS(1308,30))+INDIRECT(ADDRESS(1306,31))-INDIRECT(ADDRESS(1307,31))</f>
        <v>0</v>
      </c>
      <c r="AF1308">
        <f>INDIRECT(ADDRESS(1308,31))+INDIRECT(ADDRESS(1306,32))-INDIRECT(ADDRESS(1307,32))</f>
        <v>0</v>
      </c>
      <c r="AG1308">
        <f>INDIRECT(ADDRESS(1308,32))+INDIRECT(ADDRESS(1306,33))-INDIRECT(ADDRESS(1307,33))</f>
        <v>0</v>
      </c>
      <c r="AH1308">
        <f>INDIRECT(ADDRESS(1308,33))+INDIRECT(ADDRESS(1306,34))-INDIRECT(ADDRESS(1307,34))</f>
        <v>0</v>
      </c>
      <c r="AI1308">
        <f>INDIRECT(ADDRESS(1308,34))+INDIRECT(ADDRESS(1306,35))-INDIRECT(ADDRESS(1307,35))</f>
        <v>0</v>
      </c>
      <c r="AJ1308">
        <f>INDIRECT(ADDRESS(1308,35))+INDIRECT(ADDRESS(1306,36))-INDIRECT(ADDRESS(1307,36))</f>
        <v>0</v>
      </c>
      <c r="AK1308">
        <f>INDIRECT(ADDRESS(1308,36))+INDIRECT(ADDRESS(1306,37))-INDIRECT(ADDRESS(1307,37))</f>
        <v>0</v>
      </c>
      <c r="AL1308">
        <f>INDIRECT(ADDRESS(1308,37))+INDIRECT(ADDRESS(1306,38))-INDIRECT(ADDRESS(1307,38))</f>
        <v>0</v>
      </c>
      <c r="AM1308">
        <f>INDIRECT(ADDRESS(1308,38))+INDIRECT(ADDRESS(1306,39))-INDIRECT(ADDRESS(1307,39))</f>
        <v>0</v>
      </c>
      <c r="AN1308">
        <f>INDIRECT(ADDRESS(1308,39))+INDIRECT(ADDRESS(1306,40))-INDIRECT(ADDRESS(1307,40))</f>
        <v>0</v>
      </c>
      <c r="AO1308">
        <f>SUM(INDIRECT(ADDRESS(1307,8)):INDIRECT(ADDRESS(1307,39)))</f>
        <v>0</v>
      </c>
    </row>
    <row r="1309" spans="1:41">
      <c r="A1309" t="s">
        <v>238</v>
      </c>
      <c r="B1309" t="s">
        <v>649</v>
      </c>
      <c r="C1309" t="s">
        <v>650</v>
      </c>
      <c r="E1309">
        <v>0.03</v>
      </c>
      <c r="I1309" t="s">
        <v>177</v>
      </c>
    </row>
    <row r="1310" spans="1:41">
      <c r="I1310" t="s">
        <v>178</v>
      </c>
      <c r="J1310">
        <f>IFERROR(VLOOKUP("906-353348-210",B:AB,1+8,0),0)</f>
        <v>0</v>
      </c>
      <c r="K1310">
        <f>IFERROR(VLOOKUP("906-353348-210",B:AB,2+8,0),0)</f>
        <v>0</v>
      </c>
      <c r="L1310">
        <f>IFERROR(VLOOKUP("906-353348-210",B:AB,3+8,0),0)</f>
        <v>0</v>
      </c>
      <c r="M1310">
        <f>IFERROR(VLOOKUP("906-353348-210",B:AB,4+8,0),0)</f>
        <v>0</v>
      </c>
      <c r="N1310">
        <f>IFERROR(VLOOKUP("906-353348-210",B:AB,5+8,0),0)</f>
        <v>0</v>
      </c>
      <c r="O1310">
        <f>IFERROR(VLOOKUP("906-353348-210",B:AB,6+8,0),0)</f>
        <v>0</v>
      </c>
      <c r="P1310">
        <f>IFERROR(VLOOKUP("906-353348-210",B:AB,7+8,0),0)</f>
        <v>0</v>
      </c>
      <c r="Q1310">
        <f>IFERROR(VLOOKUP("906-353348-210",B:AB,8+8,0),0)</f>
        <v>0</v>
      </c>
      <c r="R1310">
        <f>IFERROR(VLOOKUP("906-353348-210",B:AB,9+8,0),0)</f>
        <v>0</v>
      </c>
      <c r="S1310">
        <f>IFERROR(VLOOKUP("906-353348-210",B:AB,10+8,0),0)</f>
        <v>0</v>
      </c>
      <c r="T1310">
        <f>IFERROR(VLOOKUP("906-353348-210",B:AB,11+8,0),0)</f>
        <v>0</v>
      </c>
      <c r="U1310">
        <f>IFERROR(VLOOKUP("906-353348-210",B:AB,12+8,0),0)</f>
        <v>0</v>
      </c>
      <c r="V1310">
        <f>IFERROR(VLOOKUP("906-353348-210",B:AB,13+8,0),0)</f>
        <v>0</v>
      </c>
      <c r="W1310">
        <f>IFERROR(VLOOKUP("906-353348-210",B:AB,14+8,0),0)</f>
        <v>0</v>
      </c>
      <c r="X1310">
        <f>IFERROR(VLOOKUP("906-353348-210",B:AB,15+8,0),0)</f>
        <v>0</v>
      </c>
      <c r="Y1310">
        <f>IFERROR(VLOOKUP("906-353348-210",B:AB,16+8,0),0)</f>
        <v>0</v>
      </c>
      <c r="Z1310">
        <f>IFERROR(VLOOKUP("906-353348-210",B:AB,17+8,0),0)</f>
        <v>0</v>
      </c>
      <c r="AA1310">
        <f>IFERROR(VLOOKUP("906-353348-210",B:AB,18+8,0),0)</f>
        <v>0</v>
      </c>
      <c r="AB1310">
        <f>IFERROR(VLOOKUP("906-353348-210",B:AB,19+8,0),0)</f>
        <v>0</v>
      </c>
      <c r="AC1310">
        <f>IFERROR(VLOOKUP("906-353348-210",B:AB,20+8,0),0)</f>
        <v>0</v>
      </c>
      <c r="AD1310">
        <f>IFERROR(VLOOKUP("906-353348-210",B:AB,21+8,0),0)</f>
        <v>0</v>
      </c>
      <c r="AE1310">
        <f>IFERROR(VLOOKUP("906-353348-210",B:AB,22+8,0),0)</f>
        <v>0</v>
      </c>
      <c r="AF1310">
        <f>IFERROR(VLOOKUP("906-353348-210",B:AB,23+8,0),0)</f>
        <v>0</v>
      </c>
      <c r="AG1310">
        <f>IFERROR(VLOOKUP("906-353348-210",B:AB,24+8,0),0)</f>
        <v>0</v>
      </c>
      <c r="AH1310">
        <f>IFERROR(VLOOKUP("906-353348-210",B:AB,25+8,0),0)</f>
        <v>0</v>
      </c>
      <c r="AI1310">
        <f>IFERROR(VLOOKUP("906-353348-210",B:AB,26+8,0),0)</f>
        <v>0</v>
      </c>
      <c r="AJ1310">
        <f>IFERROR(VLOOKUP("906-353348-210",B:AB,27+8,0),0)</f>
        <v>0</v>
      </c>
      <c r="AK1310">
        <f>IFERROR(VLOOKUP("906-353348-210",B:AB,28+8,0),0)</f>
        <v>0</v>
      </c>
      <c r="AL1310">
        <f>IFERROR(VLOOKUP("906-353348-210",B:AB,29+8,0),0)</f>
        <v>0</v>
      </c>
      <c r="AM1310">
        <f>IFERROR(VLOOKUP("906-353348-210",B:AB,30+8,0),0)</f>
        <v>0</v>
      </c>
      <c r="AN1310">
        <f>IFERROR(VLOOKUP("906-353348-210",B:AB,31+8,0),0)</f>
        <v>0</v>
      </c>
      <c r="AO1310">
        <f>SUN(INDIRECT(ADDRESS(1309,8)):INDIRECT(ADDRESS(1309,39)))</f>
        <v>0</v>
      </c>
    </row>
    <row r="1311" spans="1:41">
      <c r="H1311" t="s">
        <v>179</v>
      </c>
      <c r="J1311">
        <f>INDIRECT(ADDRESS(1311,9))+INDIRECT(ADDRESS(1309,10))-INDIRECT(ADDRESS(1310,10))</f>
        <v>0</v>
      </c>
      <c r="K1311">
        <f>INDIRECT(ADDRESS(1311,10))+INDIRECT(ADDRESS(1309,11))-INDIRECT(ADDRESS(1310,11))</f>
        <v>0</v>
      </c>
      <c r="L1311">
        <f>INDIRECT(ADDRESS(1311,11))+INDIRECT(ADDRESS(1309,12))-INDIRECT(ADDRESS(1310,12))</f>
        <v>0</v>
      </c>
      <c r="M1311">
        <f>INDIRECT(ADDRESS(1311,12))+INDIRECT(ADDRESS(1309,13))-INDIRECT(ADDRESS(1310,13))</f>
        <v>0</v>
      </c>
      <c r="N1311">
        <f>INDIRECT(ADDRESS(1311,13))+INDIRECT(ADDRESS(1309,14))-INDIRECT(ADDRESS(1310,14))</f>
        <v>0</v>
      </c>
      <c r="O1311">
        <f>INDIRECT(ADDRESS(1311,14))+INDIRECT(ADDRESS(1309,15))-INDIRECT(ADDRESS(1310,15))</f>
        <v>0</v>
      </c>
      <c r="P1311">
        <f>INDIRECT(ADDRESS(1311,15))+INDIRECT(ADDRESS(1309,16))-INDIRECT(ADDRESS(1310,16))</f>
        <v>0</v>
      </c>
      <c r="Q1311">
        <f>INDIRECT(ADDRESS(1311,16))+INDIRECT(ADDRESS(1309,17))-INDIRECT(ADDRESS(1310,17))</f>
        <v>0</v>
      </c>
      <c r="R1311">
        <f>INDIRECT(ADDRESS(1311,17))+INDIRECT(ADDRESS(1309,18))-INDIRECT(ADDRESS(1310,18))</f>
        <v>0</v>
      </c>
      <c r="S1311">
        <f>INDIRECT(ADDRESS(1311,18))+INDIRECT(ADDRESS(1309,19))-INDIRECT(ADDRESS(1310,19))</f>
        <v>0</v>
      </c>
      <c r="T1311">
        <f>INDIRECT(ADDRESS(1311,19))+INDIRECT(ADDRESS(1309,20))-INDIRECT(ADDRESS(1310,20))</f>
        <v>0</v>
      </c>
      <c r="U1311">
        <f>INDIRECT(ADDRESS(1311,20))+INDIRECT(ADDRESS(1309,21))-INDIRECT(ADDRESS(1310,21))</f>
        <v>0</v>
      </c>
      <c r="V1311">
        <f>INDIRECT(ADDRESS(1311,21))+INDIRECT(ADDRESS(1309,22))-INDIRECT(ADDRESS(1310,22))</f>
        <v>0</v>
      </c>
      <c r="W1311">
        <f>INDIRECT(ADDRESS(1311,22))+INDIRECT(ADDRESS(1309,23))-INDIRECT(ADDRESS(1310,23))</f>
        <v>0</v>
      </c>
      <c r="X1311">
        <f>INDIRECT(ADDRESS(1311,23))+INDIRECT(ADDRESS(1309,24))-INDIRECT(ADDRESS(1310,24))</f>
        <v>0</v>
      </c>
      <c r="Y1311">
        <f>INDIRECT(ADDRESS(1311,24))+INDIRECT(ADDRESS(1309,25))-INDIRECT(ADDRESS(1310,25))</f>
        <v>0</v>
      </c>
      <c r="Z1311">
        <f>INDIRECT(ADDRESS(1311,25))+INDIRECT(ADDRESS(1309,26))-INDIRECT(ADDRESS(1310,26))</f>
        <v>0</v>
      </c>
      <c r="AA1311">
        <f>INDIRECT(ADDRESS(1311,26))+INDIRECT(ADDRESS(1309,27))-INDIRECT(ADDRESS(1310,27))</f>
        <v>0</v>
      </c>
      <c r="AB1311">
        <f>INDIRECT(ADDRESS(1311,27))+INDIRECT(ADDRESS(1309,28))-INDIRECT(ADDRESS(1310,28))</f>
        <v>0</v>
      </c>
      <c r="AC1311">
        <f>INDIRECT(ADDRESS(1311,28))+INDIRECT(ADDRESS(1309,29))-INDIRECT(ADDRESS(1310,29))</f>
        <v>0</v>
      </c>
      <c r="AD1311">
        <f>INDIRECT(ADDRESS(1311,29))+INDIRECT(ADDRESS(1309,30))-INDIRECT(ADDRESS(1310,30))</f>
        <v>0</v>
      </c>
      <c r="AE1311">
        <f>INDIRECT(ADDRESS(1311,30))+INDIRECT(ADDRESS(1309,31))-INDIRECT(ADDRESS(1310,31))</f>
        <v>0</v>
      </c>
      <c r="AF1311">
        <f>INDIRECT(ADDRESS(1311,31))+INDIRECT(ADDRESS(1309,32))-INDIRECT(ADDRESS(1310,32))</f>
        <v>0</v>
      </c>
      <c r="AG1311">
        <f>INDIRECT(ADDRESS(1311,32))+INDIRECT(ADDRESS(1309,33))-INDIRECT(ADDRESS(1310,33))</f>
        <v>0</v>
      </c>
      <c r="AH1311">
        <f>INDIRECT(ADDRESS(1311,33))+INDIRECT(ADDRESS(1309,34))-INDIRECT(ADDRESS(1310,34))</f>
        <v>0</v>
      </c>
      <c r="AI1311">
        <f>INDIRECT(ADDRESS(1311,34))+INDIRECT(ADDRESS(1309,35))-INDIRECT(ADDRESS(1310,35))</f>
        <v>0</v>
      </c>
      <c r="AJ1311">
        <f>INDIRECT(ADDRESS(1311,35))+INDIRECT(ADDRESS(1309,36))-INDIRECT(ADDRESS(1310,36))</f>
        <v>0</v>
      </c>
      <c r="AK1311">
        <f>INDIRECT(ADDRESS(1311,36))+INDIRECT(ADDRESS(1309,37))-INDIRECT(ADDRESS(1310,37))</f>
        <v>0</v>
      </c>
      <c r="AL1311">
        <f>INDIRECT(ADDRESS(1311,37))+INDIRECT(ADDRESS(1309,38))-INDIRECT(ADDRESS(1310,38))</f>
        <v>0</v>
      </c>
      <c r="AM1311">
        <f>INDIRECT(ADDRESS(1311,38))+INDIRECT(ADDRESS(1309,39))-INDIRECT(ADDRESS(1310,39))</f>
        <v>0</v>
      </c>
      <c r="AN1311">
        <f>INDIRECT(ADDRESS(1311,39))+INDIRECT(ADDRESS(1309,40))-INDIRECT(ADDRESS(1310,40))</f>
        <v>0</v>
      </c>
      <c r="AO1311">
        <f>SUM(INDIRECT(ADDRESS(1310,8)):INDIRECT(ADDRESS(1310,39)))</f>
        <v>0</v>
      </c>
    </row>
    <row r="1312" spans="1:41">
      <c r="A1312" t="s">
        <v>238</v>
      </c>
      <c r="B1312" t="s">
        <v>651</v>
      </c>
      <c r="C1312" t="s">
        <v>652</v>
      </c>
      <c r="E1312">
        <v>0.16</v>
      </c>
      <c r="I1312" t="s">
        <v>177</v>
      </c>
    </row>
    <row r="1313" spans="1:41">
      <c r="I1313" t="s">
        <v>178</v>
      </c>
      <c r="J1313">
        <f>IFERROR(VLOOKUP("906-353348-210",B:AB,1+8,0),0)</f>
        <v>0</v>
      </c>
      <c r="K1313">
        <f>IFERROR(VLOOKUP("906-353348-210",B:AB,2+8,0),0)</f>
        <v>0</v>
      </c>
      <c r="L1313">
        <f>IFERROR(VLOOKUP("906-353348-210",B:AB,3+8,0),0)</f>
        <v>0</v>
      </c>
      <c r="M1313">
        <f>IFERROR(VLOOKUP("906-353348-210",B:AB,4+8,0),0)</f>
        <v>0</v>
      </c>
      <c r="N1313">
        <f>IFERROR(VLOOKUP("906-353348-210",B:AB,5+8,0),0)</f>
        <v>0</v>
      </c>
      <c r="O1313">
        <f>IFERROR(VLOOKUP("906-353348-210",B:AB,6+8,0),0)</f>
        <v>0</v>
      </c>
      <c r="P1313">
        <f>IFERROR(VLOOKUP("906-353348-210",B:AB,7+8,0),0)</f>
        <v>0</v>
      </c>
      <c r="Q1313">
        <f>IFERROR(VLOOKUP("906-353348-210",B:AB,8+8,0),0)</f>
        <v>0</v>
      </c>
      <c r="R1313">
        <f>IFERROR(VLOOKUP("906-353348-210",B:AB,9+8,0),0)</f>
        <v>0</v>
      </c>
      <c r="S1313">
        <f>IFERROR(VLOOKUP("906-353348-210",B:AB,10+8,0),0)</f>
        <v>0</v>
      </c>
      <c r="T1313">
        <f>IFERROR(VLOOKUP("906-353348-210",B:AB,11+8,0),0)</f>
        <v>0</v>
      </c>
      <c r="U1313">
        <f>IFERROR(VLOOKUP("906-353348-210",B:AB,12+8,0),0)</f>
        <v>0</v>
      </c>
      <c r="V1313">
        <f>IFERROR(VLOOKUP("906-353348-210",B:AB,13+8,0),0)</f>
        <v>0</v>
      </c>
      <c r="W1313">
        <f>IFERROR(VLOOKUP("906-353348-210",B:AB,14+8,0),0)</f>
        <v>0</v>
      </c>
      <c r="X1313">
        <f>IFERROR(VLOOKUP("906-353348-210",B:AB,15+8,0),0)</f>
        <v>0</v>
      </c>
      <c r="Y1313">
        <f>IFERROR(VLOOKUP("906-353348-210",B:AB,16+8,0),0)</f>
        <v>0</v>
      </c>
      <c r="Z1313">
        <f>IFERROR(VLOOKUP("906-353348-210",B:AB,17+8,0),0)</f>
        <v>0</v>
      </c>
      <c r="AA1313">
        <f>IFERROR(VLOOKUP("906-353348-210",B:AB,18+8,0),0)</f>
        <v>0</v>
      </c>
      <c r="AB1313">
        <f>IFERROR(VLOOKUP("906-353348-210",B:AB,19+8,0),0)</f>
        <v>0</v>
      </c>
      <c r="AC1313">
        <f>IFERROR(VLOOKUP("906-353348-210",B:AB,20+8,0),0)</f>
        <v>0</v>
      </c>
      <c r="AD1313">
        <f>IFERROR(VLOOKUP("906-353348-210",B:AB,21+8,0),0)</f>
        <v>0</v>
      </c>
      <c r="AE1313">
        <f>IFERROR(VLOOKUP("906-353348-210",B:AB,22+8,0),0)</f>
        <v>0</v>
      </c>
      <c r="AF1313">
        <f>IFERROR(VLOOKUP("906-353348-210",B:AB,23+8,0),0)</f>
        <v>0</v>
      </c>
      <c r="AG1313">
        <f>IFERROR(VLOOKUP("906-353348-210",B:AB,24+8,0),0)</f>
        <v>0</v>
      </c>
      <c r="AH1313">
        <f>IFERROR(VLOOKUP("906-353348-210",B:AB,25+8,0),0)</f>
        <v>0</v>
      </c>
      <c r="AI1313">
        <f>IFERROR(VLOOKUP("906-353348-210",B:AB,26+8,0),0)</f>
        <v>0</v>
      </c>
      <c r="AJ1313">
        <f>IFERROR(VLOOKUP("906-353348-210",B:AB,27+8,0),0)</f>
        <v>0</v>
      </c>
      <c r="AK1313">
        <f>IFERROR(VLOOKUP("906-353348-210",B:AB,28+8,0),0)</f>
        <v>0</v>
      </c>
      <c r="AL1313">
        <f>IFERROR(VLOOKUP("906-353348-210",B:AB,29+8,0),0)</f>
        <v>0</v>
      </c>
      <c r="AM1313">
        <f>IFERROR(VLOOKUP("906-353348-210",B:AB,30+8,0),0)</f>
        <v>0</v>
      </c>
      <c r="AN1313">
        <f>IFERROR(VLOOKUP("906-353348-210",B:AB,31+8,0),0)</f>
        <v>0</v>
      </c>
      <c r="AO1313">
        <f>SUN(INDIRECT(ADDRESS(1312,8)):INDIRECT(ADDRESS(1312,39)))</f>
        <v>0</v>
      </c>
    </row>
    <row r="1314" spans="1:41">
      <c r="H1314" t="s">
        <v>179</v>
      </c>
      <c r="J1314">
        <f>INDIRECT(ADDRESS(1314,9))+INDIRECT(ADDRESS(1312,10))-INDIRECT(ADDRESS(1313,10))</f>
        <v>0</v>
      </c>
      <c r="K1314">
        <f>INDIRECT(ADDRESS(1314,10))+INDIRECT(ADDRESS(1312,11))-INDIRECT(ADDRESS(1313,11))</f>
        <v>0</v>
      </c>
      <c r="L1314">
        <f>INDIRECT(ADDRESS(1314,11))+INDIRECT(ADDRESS(1312,12))-INDIRECT(ADDRESS(1313,12))</f>
        <v>0</v>
      </c>
      <c r="M1314">
        <f>INDIRECT(ADDRESS(1314,12))+INDIRECT(ADDRESS(1312,13))-INDIRECT(ADDRESS(1313,13))</f>
        <v>0</v>
      </c>
      <c r="N1314">
        <f>INDIRECT(ADDRESS(1314,13))+INDIRECT(ADDRESS(1312,14))-INDIRECT(ADDRESS(1313,14))</f>
        <v>0</v>
      </c>
      <c r="O1314">
        <f>INDIRECT(ADDRESS(1314,14))+INDIRECT(ADDRESS(1312,15))-INDIRECT(ADDRESS(1313,15))</f>
        <v>0</v>
      </c>
      <c r="P1314">
        <f>INDIRECT(ADDRESS(1314,15))+INDIRECT(ADDRESS(1312,16))-INDIRECT(ADDRESS(1313,16))</f>
        <v>0</v>
      </c>
      <c r="Q1314">
        <f>INDIRECT(ADDRESS(1314,16))+INDIRECT(ADDRESS(1312,17))-INDIRECT(ADDRESS(1313,17))</f>
        <v>0</v>
      </c>
      <c r="R1314">
        <f>INDIRECT(ADDRESS(1314,17))+INDIRECT(ADDRESS(1312,18))-INDIRECT(ADDRESS(1313,18))</f>
        <v>0</v>
      </c>
      <c r="S1314">
        <f>INDIRECT(ADDRESS(1314,18))+INDIRECT(ADDRESS(1312,19))-INDIRECT(ADDRESS(1313,19))</f>
        <v>0</v>
      </c>
      <c r="T1314">
        <f>INDIRECT(ADDRESS(1314,19))+INDIRECT(ADDRESS(1312,20))-INDIRECT(ADDRESS(1313,20))</f>
        <v>0</v>
      </c>
      <c r="U1314">
        <f>INDIRECT(ADDRESS(1314,20))+INDIRECT(ADDRESS(1312,21))-INDIRECT(ADDRESS(1313,21))</f>
        <v>0</v>
      </c>
      <c r="V1314">
        <f>INDIRECT(ADDRESS(1314,21))+INDIRECT(ADDRESS(1312,22))-INDIRECT(ADDRESS(1313,22))</f>
        <v>0</v>
      </c>
      <c r="W1314">
        <f>INDIRECT(ADDRESS(1314,22))+INDIRECT(ADDRESS(1312,23))-INDIRECT(ADDRESS(1313,23))</f>
        <v>0</v>
      </c>
      <c r="X1314">
        <f>INDIRECT(ADDRESS(1314,23))+INDIRECT(ADDRESS(1312,24))-INDIRECT(ADDRESS(1313,24))</f>
        <v>0</v>
      </c>
      <c r="Y1314">
        <f>INDIRECT(ADDRESS(1314,24))+INDIRECT(ADDRESS(1312,25))-INDIRECT(ADDRESS(1313,25))</f>
        <v>0</v>
      </c>
      <c r="Z1314">
        <f>INDIRECT(ADDRESS(1314,25))+INDIRECT(ADDRESS(1312,26))-INDIRECT(ADDRESS(1313,26))</f>
        <v>0</v>
      </c>
      <c r="AA1314">
        <f>INDIRECT(ADDRESS(1314,26))+INDIRECT(ADDRESS(1312,27))-INDIRECT(ADDRESS(1313,27))</f>
        <v>0</v>
      </c>
      <c r="AB1314">
        <f>INDIRECT(ADDRESS(1314,27))+INDIRECT(ADDRESS(1312,28))-INDIRECT(ADDRESS(1313,28))</f>
        <v>0</v>
      </c>
      <c r="AC1314">
        <f>INDIRECT(ADDRESS(1314,28))+INDIRECT(ADDRESS(1312,29))-INDIRECT(ADDRESS(1313,29))</f>
        <v>0</v>
      </c>
      <c r="AD1314">
        <f>INDIRECT(ADDRESS(1314,29))+INDIRECT(ADDRESS(1312,30))-INDIRECT(ADDRESS(1313,30))</f>
        <v>0</v>
      </c>
      <c r="AE1314">
        <f>INDIRECT(ADDRESS(1314,30))+INDIRECT(ADDRESS(1312,31))-INDIRECT(ADDRESS(1313,31))</f>
        <v>0</v>
      </c>
      <c r="AF1314">
        <f>INDIRECT(ADDRESS(1314,31))+INDIRECT(ADDRESS(1312,32))-INDIRECT(ADDRESS(1313,32))</f>
        <v>0</v>
      </c>
      <c r="AG1314">
        <f>INDIRECT(ADDRESS(1314,32))+INDIRECT(ADDRESS(1312,33))-INDIRECT(ADDRESS(1313,33))</f>
        <v>0</v>
      </c>
      <c r="AH1314">
        <f>INDIRECT(ADDRESS(1314,33))+INDIRECT(ADDRESS(1312,34))-INDIRECT(ADDRESS(1313,34))</f>
        <v>0</v>
      </c>
      <c r="AI1314">
        <f>INDIRECT(ADDRESS(1314,34))+INDIRECT(ADDRESS(1312,35))-INDIRECT(ADDRESS(1313,35))</f>
        <v>0</v>
      </c>
      <c r="AJ1314">
        <f>INDIRECT(ADDRESS(1314,35))+INDIRECT(ADDRESS(1312,36))-INDIRECT(ADDRESS(1313,36))</f>
        <v>0</v>
      </c>
      <c r="AK1314">
        <f>INDIRECT(ADDRESS(1314,36))+INDIRECT(ADDRESS(1312,37))-INDIRECT(ADDRESS(1313,37))</f>
        <v>0</v>
      </c>
      <c r="AL1314">
        <f>INDIRECT(ADDRESS(1314,37))+INDIRECT(ADDRESS(1312,38))-INDIRECT(ADDRESS(1313,38))</f>
        <v>0</v>
      </c>
      <c r="AM1314">
        <f>INDIRECT(ADDRESS(1314,38))+INDIRECT(ADDRESS(1312,39))-INDIRECT(ADDRESS(1313,39))</f>
        <v>0</v>
      </c>
      <c r="AN1314">
        <f>INDIRECT(ADDRESS(1314,39))+INDIRECT(ADDRESS(1312,40))-INDIRECT(ADDRESS(1313,40))</f>
        <v>0</v>
      </c>
      <c r="AO1314">
        <f>SUM(INDIRECT(ADDRESS(1313,8)):INDIRECT(ADDRESS(1313,39)))</f>
        <v>0</v>
      </c>
    </row>
    <row r="1315" spans="1:41">
      <c r="A1315" t="s">
        <v>238</v>
      </c>
      <c r="B1315" t="s">
        <v>653</v>
      </c>
      <c r="C1315" t="s">
        <v>654</v>
      </c>
      <c r="E1315">
        <v>0.03</v>
      </c>
      <c r="I1315" t="s">
        <v>177</v>
      </c>
    </row>
    <row r="1316" spans="1:41">
      <c r="I1316" t="s">
        <v>178</v>
      </c>
      <c r="J1316">
        <f>IFERROR(VLOOKUP("906-353348-210",B:AB,1+8,0),0)</f>
        <v>0</v>
      </c>
      <c r="K1316">
        <f>IFERROR(VLOOKUP("906-353348-210",B:AB,2+8,0),0)</f>
        <v>0</v>
      </c>
      <c r="L1316">
        <f>IFERROR(VLOOKUP("906-353348-210",B:AB,3+8,0),0)</f>
        <v>0</v>
      </c>
      <c r="M1316">
        <f>IFERROR(VLOOKUP("906-353348-210",B:AB,4+8,0),0)</f>
        <v>0</v>
      </c>
      <c r="N1316">
        <f>IFERROR(VLOOKUP("906-353348-210",B:AB,5+8,0),0)</f>
        <v>0</v>
      </c>
      <c r="O1316">
        <f>IFERROR(VLOOKUP("906-353348-210",B:AB,6+8,0),0)</f>
        <v>0</v>
      </c>
      <c r="P1316">
        <f>IFERROR(VLOOKUP("906-353348-210",B:AB,7+8,0),0)</f>
        <v>0</v>
      </c>
      <c r="Q1316">
        <f>IFERROR(VLOOKUP("906-353348-210",B:AB,8+8,0),0)</f>
        <v>0</v>
      </c>
      <c r="R1316">
        <f>IFERROR(VLOOKUP("906-353348-210",B:AB,9+8,0),0)</f>
        <v>0</v>
      </c>
      <c r="S1316">
        <f>IFERROR(VLOOKUP("906-353348-210",B:AB,10+8,0),0)</f>
        <v>0</v>
      </c>
      <c r="T1316">
        <f>IFERROR(VLOOKUP("906-353348-210",B:AB,11+8,0),0)</f>
        <v>0</v>
      </c>
      <c r="U1316">
        <f>IFERROR(VLOOKUP("906-353348-210",B:AB,12+8,0),0)</f>
        <v>0</v>
      </c>
      <c r="V1316">
        <f>IFERROR(VLOOKUP("906-353348-210",B:AB,13+8,0),0)</f>
        <v>0</v>
      </c>
      <c r="W1316">
        <f>IFERROR(VLOOKUP("906-353348-210",B:AB,14+8,0),0)</f>
        <v>0</v>
      </c>
      <c r="X1316">
        <f>IFERROR(VLOOKUP("906-353348-210",B:AB,15+8,0),0)</f>
        <v>0</v>
      </c>
      <c r="Y1316">
        <f>IFERROR(VLOOKUP("906-353348-210",B:AB,16+8,0),0)</f>
        <v>0</v>
      </c>
      <c r="Z1316">
        <f>IFERROR(VLOOKUP("906-353348-210",B:AB,17+8,0),0)</f>
        <v>0</v>
      </c>
      <c r="AA1316">
        <f>IFERROR(VLOOKUP("906-353348-210",B:AB,18+8,0),0)</f>
        <v>0</v>
      </c>
      <c r="AB1316">
        <f>IFERROR(VLOOKUP("906-353348-210",B:AB,19+8,0),0)</f>
        <v>0</v>
      </c>
      <c r="AC1316">
        <f>IFERROR(VLOOKUP("906-353348-210",B:AB,20+8,0),0)</f>
        <v>0</v>
      </c>
      <c r="AD1316">
        <f>IFERROR(VLOOKUP("906-353348-210",B:AB,21+8,0),0)</f>
        <v>0</v>
      </c>
      <c r="AE1316">
        <f>IFERROR(VLOOKUP("906-353348-210",B:AB,22+8,0),0)</f>
        <v>0</v>
      </c>
      <c r="AF1316">
        <f>IFERROR(VLOOKUP("906-353348-210",B:AB,23+8,0),0)</f>
        <v>0</v>
      </c>
      <c r="AG1316">
        <f>IFERROR(VLOOKUP("906-353348-210",B:AB,24+8,0),0)</f>
        <v>0</v>
      </c>
      <c r="AH1316">
        <f>IFERROR(VLOOKUP("906-353348-210",B:AB,25+8,0),0)</f>
        <v>0</v>
      </c>
      <c r="AI1316">
        <f>IFERROR(VLOOKUP("906-353348-210",B:AB,26+8,0),0)</f>
        <v>0</v>
      </c>
      <c r="AJ1316">
        <f>IFERROR(VLOOKUP("906-353348-210",B:AB,27+8,0),0)</f>
        <v>0</v>
      </c>
      <c r="AK1316">
        <f>IFERROR(VLOOKUP("906-353348-210",B:AB,28+8,0),0)</f>
        <v>0</v>
      </c>
      <c r="AL1316">
        <f>IFERROR(VLOOKUP("906-353348-210",B:AB,29+8,0),0)</f>
        <v>0</v>
      </c>
      <c r="AM1316">
        <f>IFERROR(VLOOKUP("906-353348-210",B:AB,30+8,0),0)</f>
        <v>0</v>
      </c>
      <c r="AN1316">
        <f>IFERROR(VLOOKUP("906-353348-210",B:AB,31+8,0),0)</f>
        <v>0</v>
      </c>
      <c r="AO1316">
        <f>SUN(INDIRECT(ADDRESS(1315,8)):INDIRECT(ADDRESS(1315,39)))</f>
        <v>0</v>
      </c>
    </row>
    <row r="1317" spans="1:41">
      <c r="H1317" t="s">
        <v>179</v>
      </c>
      <c r="J1317">
        <f>INDIRECT(ADDRESS(1317,9))+INDIRECT(ADDRESS(1315,10))-INDIRECT(ADDRESS(1316,10))</f>
        <v>0</v>
      </c>
      <c r="K1317">
        <f>INDIRECT(ADDRESS(1317,10))+INDIRECT(ADDRESS(1315,11))-INDIRECT(ADDRESS(1316,11))</f>
        <v>0</v>
      </c>
      <c r="L1317">
        <f>INDIRECT(ADDRESS(1317,11))+INDIRECT(ADDRESS(1315,12))-INDIRECT(ADDRESS(1316,12))</f>
        <v>0</v>
      </c>
      <c r="M1317">
        <f>INDIRECT(ADDRESS(1317,12))+INDIRECT(ADDRESS(1315,13))-INDIRECT(ADDRESS(1316,13))</f>
        <v>0</v>
      </c>
      <c r="N1317">
        <f>INDIRECT(ADDRESS(1317,13))+INDIRECT(ADDRESS(1315,14))-INDIRECT(ADDRESS(1316,14))</f>
        <v>0</v>
      </c>
      <c r="O1317">
        <f>INDIRECT(ADDRESS(1317,14))+INDIRECT(ADDRESS(1315,15))-INDIRECT(ADDRESS(1316,15))</f>
        <v>0</v>
      </c>
      <c r="P1317">
        <f>INDIRECT(ADDRESS(1317,15))+INDIRECT(ADDRESS(1315,16))-INDIRECT(ADDRESS(1316,16))</f>
        <v>0</v>
      </c>
      <c r="Q1317">
        <f>INDIRECT(ADDRESS(1317,16))+INDIRECT(ADDRESS(1315,17))-INDIRECT(ADDRESS(1316,17))</f>
        <v>0</v>
      </c>
      <c r="R1317">
        <f>INDIRECT(ADDRESS(1317,17))+INDIRECT(ADDRESS(1315,18))-INDIRECT(ADDRESS(1316,18))</f>
        <v>0</v>
      </c>
      <c r="S1317">
        <f>INDIRECT(ADDRESS(1317,18))+INDIRECT(ADDRESS(1315,19))-INDIRECT(ADDRESS(1316,19))</f>
        <v>0</v>
      </c>
      <c r="T1317">
        <f>INDIRECT(ADDRESS(1317,19))+INDIRECT(ADDRESS(1315,20))-INDIRECT(ADDRESS(1316,20))</f>
        <v>0</v>
      </c>
      <c r="U1317">
        <f>INDIRECT(ADDRESS(1317,20))+INDIRECT(ADDRESS(1315,21))-INDIRECT(ADDRESS(1316,21))</f>
        <v>0</v>
      </c>
      <c r="V1317">
        <f>INDIRECT(ADDRESS(1317,21))+INDIRECT(ADDRESS(1315,22))-INDIRECT(ADDRESS(1316,22))</f>
        <v>0</v>
      </c>
      <c r="W1317">
        <f>INDIRECT(ADDRESS(1317,22))+INDIRECT(ADDRESS(1315,23))-INDIRECT(ADDRESS(1316,23))</f>
        <v>0</v>
      </c>
      <c r="X1317">
        <f>INDIRECT(ADDRESS(1317,23))+INDIRECT(ADDRESS(1315,24))-INDIRECT(ADDRESS(1316,24))</f>
        <v>0</v>
      </c>
      <c r="Y1317">
        <f>INDIRECT(ADDRESS(1317,24))+INDIRECT(ADDRESS(1315,25))-INDIRECT(ADDRESS(1316,25))</f>
        <v>0</v>
      </c>
      <c r="Z1317">
        <f>INDIRECT(ADDRESS(1317,25))+INDIRECT(ADDRESS(1315,26))-INDIRECT(ADDRESS(1316,26))</f>
        <v>0</v>
      </c>
      <c r="AA1317">
        <f>INDIRECT(ADDRESS(1317,26))+INDIRECT(ADDRESS(1315,27))-INDIRECT(ADDRESS(1316,27))</f>
        <v>0</v>
      </c>
      <c r="AB1317">
        <f>INDIRECT(ADDRESS(1317,27))+INDIRECT(ADDRESS(1315,28))-INDIRECT(ADDRESS(1316,28))</f>
        <v>0</v>
      </c>
      <c r="AC1317">
        <f>INDIRECT(ADDRESS(1317,28))+INDIRECT(ADDRESS(1315,29))-INDIRECT(ADDRESS(1316,29))</f>
        <v>0</v>
      </c>
      <c r="AD1317">
        <f>INDIRECT(ADDRESS(1317,29))+INDIRECT(ADDRESS(1315,30))-INDIRECT(ADDRESS(1316,30))</f>
        <v>0</v>
      </c>
      <c r="AE1317">
        <f>INDIRECT(ADDRESS(1317,30))+INDIRECT(ADDRESS(1315,31))-INDIRECT(ADDRESS(1316,31))</f>
        <v>0</v>
      </c>
      <c r="AF1317">
        <f>INDIRECT(ADDRESS(1317,31))+INDIRECT(ADDRESS(1315,32))-INDIRECT(ADDRESS(1316,32))</f>
        <v>0</v>
      </c>
      <c r="AG1317">
        <f>INDIRECT(ADDRESS(1317,32))+INDIRECT(ADDRESS(1315,33))-INDIRECT(ADDRESS(1316,33))</f>
        <v>0</v>
      </c>
      <c r="AH1317">
        <f>INDIRECT(ADDRESS(1317,33))+INDIRECT(ADDRESS(1315,34))-INDIRECT(ADDRESS(1316,34))</f>
        <v>0</v>
      </c>
      <c r="AI1317">
        <f>INDIRECT(ADDRESS(1317,34))+INDIRECT(ADDRESS(1315,35))-INDIRECT(ADDRESS(1316,35))</f>
        <v>0</v>
      </c>
      <c r="AJ1317">
        <f>INDIRECT(ADDRESS(1317,35))+INDIRECT(ADDRESS(1315,36))-INDIRECT(ADDRESS(1316,36))</f>
        <v>0</v>
      </c>
      <c r="AK1317">
        <f>INDIRECT(ADDRESS(1317,36))+INDIRECT(ADDRESS(1315,37))-INDIRECT(ADDRESS(1316,37))</f>
        <v>0</v>
      </c>
      <c r="AL1317">
        <f>INDIRECT(ADDRESS(1317,37))+INDIRECT(ADDRESS(1315,38))-INDIRECT(ADDRESS(1316,38))</f>
        <v>0</v>
      </c>
      <c r="AM1317">
        <f>INDIRECT(ADDRESS(1317,38))+INDIRECT(ADDRESS(1315,39))-INDIRECT(ADDRESS(1316,39))</f>
        <v>0</v>
      </c>
      <c r="AN1317">
        <f>INDIRECT(ADDRESS(1317,39))+INDIRECT(ADDRESS(1315,40))-INDIRECT(ADDRESS(1316,40))</f>
        <v>0</v>
      </c>
      <c r="AO1317">
        <f>SUM(INDIRECT(ADDRESS(1316,8)):INDIRECT(ADDRESS(1316,39)))</f>
        <v>0</v>
      </c>
    </row>
    <row r="1318" spans="1:41">
      <c r="A1318" t="s">
        <v>8</v>
      </c>
      <c r="B1318" t="s">
        <v>108</v>
      </c>
      <c r="C1318" t="s">
        <v>109</v>
      </c>
      <c r="E1318">
        <v>1</v>
      </c>
      <c r="I1318" t="s">
        <v>177</v>
      </c>
    </row>
    <row r="1319" spans="1:41">
      <c r="I1319" t="s">
        <v>178</v>
      </c>
      <c r="J1319">
        <f>IFERROR(VLOOKUP("906-961000-110",Out!B:AB,1+8,0),0)</f>
        <v>0</v>
      </c>
      <c r="K1319">
        <f>IFERROR(VLOOKUP("906-961000-110",Out!B:AB,2+8,0),0)</f>
        <v>0</v>
      </c>
      <c r="L1319">
        <f>IFERROR(VLOOKUP("906-961000-110",Out!B:AB,3+8,0),0)</f>
        <v>0</v>
      </c>
      <c r="M1319">
        <f>IFERROR(VLOOKUP("906-961000-110",Out!B:AB,4+8,0),0)</f>
        <v>0</v>
      </c>
      <c r="N1319">
        <f>IFERROR(VLOOKUP("906-961000-110",Out!B:AB,5+8,0),0)</f>
        <v>0</v>
      </c>
      <c r="O1319">
        <f>IFERROR(VLOOKUP("906-961000-110",Out!B:AB,6+8,0),0)</f>
        <v>0</v>
      </c>
      <c r="P1319">
        <f>IFERROR(VLOOKUP("906-961000-110",Out!B:AB,7+8,0),0)</f>
        <v>0</v>
      </c>
      <c r="Q1319">
        <f>IFERROR(VLOOKUP("906-961000-110",Out!B:AB,8+8,0),0)</f>
        <v>0</v>
      </c>
      <c r="R1319">
        <f>IFERROR(VLOOKUP("906-961000-110",Out!B:AB,9+8,0),0)</f>
        <v>0</v>
      </c>
      <c r="S1319">
        <f>IFERROR(VLOOKUP("906-961000-110",Out!B:AB,10+8,0),0)</f>
        <v>0</v>
      </c>
      <c r="T1319">
        <f>IFERROR(VLOOKUP("906-961000-110",Out!B:AB,11+8,0),0)</f>
        <v>0</v>
      </c>
      <c r="U1319">
        <f>IFERROR(VLOOKUP("906-961000-110",Out!B:AB,12+8,0),0)</f>
        <v>0</v>
      </c>
      <c r="V1319">
        <f>IFERROR(VLOOKUP("906-961000-110",Out!B:AB,13+8,0),0)</f>
        <v>0</v>
      </c>
      <c r="W1319">
        <f>IFERROR(VLOOKUP("906-961000-110",Out!B:AB,14+8,0),0)</f>
        <v>0</v>
      </c>
      <c r="X1319">
        <f>IFERROR(VLOOKUP("906-961000-110",Out!B:AB,15+8,0),0)</f>
        <v>0</v>
      </c>
      <c r="Y1319">
        <f>IFERROR(VLOOKUP("906-961000-110",Out!B:AB,16+8,0),0)</f>
        <v>0</v>
      </c>
      <c r="Z1319">
        <f>IFERROR(VLOOKUP("906-961000-110",Out!B:AB,17+8,0),0)</f>
        <v>0</v>
      </c>
      <c r="AA1319">
        <f>IFERROR(VLOOKUP("906-961000-110",Out!B:AB,18+8,0),0)</f>
        <v>0</v>
      </c>
      <c r="AB1319">
        <f>IFERROR(VLOOKUP("906-961000-110",Out!B:AB,19+8,0),0)</f>
        <v>0</v>
      </c>
      <c r="AC1319">
        <f>IFERROR(VLOOKUP("906-961000-110",Out!B:AB,20+8,0),0)</f>
        <v>0</v>
      </c>
      <c r="AD1319">
        <f>IFERROR(VLOOKUP("906-961000-110",Out!B:AB,21+8,0),0)</f>
        <v>0</v>
      </c>
      <c r="AE1319">
        <f>IFERROR(VLOOKUP("906-961000-110",Out!B:AB,22+8,0),0)</f>
        <v>0</v>
      </c>
      <c r="AF1319">
        <f>IFERROR(VLOOKUP("906-961000-110",Out!B:AB,23+8,0),0)</f>
        <v>0</v>
      </c>
      <c r="AG1319">
        <f>IFERROR(VLOOKUP("906-961000-110",Out!B:AB,24+8,0),0)</f>
        <v>0</v>
      </c>
      <c r="AH1319">
        <f>IFERROR(VLOOKUP("906-961000-110",Out!B:AB,25+8,0),0)</f>
        <v>0</v>
      </c>
      <c r="AI1319">
        <f>IFERROR(VLOOKUP("906-961000-110",Out!B:AB,26+8,0),0)</f>
        <v>0</v>
      </c>
      <c r="AJ1319">
        <f>IFERROR(VLOOKUP("906-961000-110",Out!B:AB,27+8,0),0)</f>
        <v>0</v>
      </c>
      <c r="AK1319">
        <f>IFERROR(VLOOKUP("906-961000-110",Out!B:AB,28+8,0),0)</f>
        <v>0</v>
      </c>
      <c r="AL1319">
        <f>IFERROR(VLOOKUP("906-961000-110",Out!B:AB,29+8,0),0)</f>
        <v>0</v>
      </c>
      <c r="AM1319">
        <f>IFERROR(VLOOKUP("906-961000-110",Out!B:AB,30+8,0),0)</f>
        <v>0</v>
      </c>
      <c r="AN1319">
        <f>IFERROR(VLOOKUP("906-961000-110",Out!B:AB,31+8,0),0)</f>
        <v>0</v>
      </c>
      <c r="AO1319">
        <f>SUN(INDIRECT(ADDRESS(1318,8)):INDIRECT(ADDRESS(1318,39)))</f>
        <v>0</v>
      </c>
    </row>
    <row r="1320" spans="1:41">
      <c r="H1320" t="s">
        <v>179</v>
      </c>
      <c r="J1320">
        <f>INDIRECT(ADDRESS(1320,9))+INDIRECT(ADDRESS(1318,10))-INDIRECT(ADDRESS(1319,10))</f>
        <v>0</v>
      </c>
      <c r="K1320">
        <f>INDIRECT(ADDRESS(1320,10))+INDIRECT(ADDRESS(1318,11))-INDIRECT(ADDRESS(1319,11))</f>
        <v>0</v>
      </c>
      <c r="L1320">
        <f>INDIRECT(ADDRESS(1320,11))+INDIRECT(ADDRESS(1318,12))-INDIRECT(ADDRESS(1319,12))</f>
        <v>0</v>
      </c>
      <c r="M1320">
        <f>INDIRECT(ADDRESS(1320,12))+INDIRECT(ADDRESS(1318,13))-INDIRECT(ADDRESS(1319,13))</f>
        <v>0</v>
      </c>
      <c r="N1320">
        <f>INDIRECT(ADDRESS(1320,13))+INDIRECT(ADDRESS(1318,14))-INDIRECT(ADDRESS(1319,14))</f>
        <v>0</v>
      </c>
      <c r="O1320">
        <f>INDIRECT(ADDRESS(1320,14))+INDIRECT(ADDRESS(1318,15))-INDIRECT(ADDRESS(1319,15))</f>
        <v>0</v>
      </c>
      <c r="P1320">
        <f>INDIRECT(ADDRESS(1320,15))+INDIRECT(ADDRESS(1318,16))-INDIRECT(ADDRESS(1319,16))</f>
        <v>0</v>
      </c>
      <c r="Q1320">
        <f>INDIRECT(ADDRESS(1320,16))+INDIRECT(ADDRESS(1318,17))-INDIRECT(ADDRESS(1319,17))</f>
        <v>0</v>
      </c>
      <c r="R1320">
        <f>INDIRECT(ADDRESS(1320,17))+INDIRECT(ADDRESS(1318,18))-INDIRECT(ADDRESS(1319,18))</f>
        <v>0</v>
      </c>
      <c r="S1320">
        <f>INDIRECT(ADDRESS(1320,18))+INDIRECT(ADDRESS(1318,19))-INDIRECT(ADDRESS(1319,19))</f>
        <v>0</v>
      </c>
      <c r="T1320">
        <f>INDIRECT(ADDRESS(1320,19))+INDIRECT(ADDRESS(1318,20))-INDIRECT(ADDRESS(1319,20))</f>
        <v>0</v>
      </c>
      <c r="U1320">
        <f>INDIRECT(ADDRESS(1320,20))+INDIRECT(ADDRESS(1318,21))-INDIRECT(ADDRESS(1319,21))</f>
        <v>0</v>
      </c>
      <c r="V1320">
        <f>INDIRECT(ADDRESS(1320,21))+INDIRECT(ADDRESS(1318,22))-INDIRECT(ADDRESS(1319,22))</f>
        <v>0</v>
      </c>
      <c r="W1320">
        <f>INDIRECT(ADDRESS(1320,22))+INDIRECT(ADDRESS(1318,23))-INDIRECT(ADDRESS(1319,23))</f>
        <v>0</v>
      </c>
      <c r="X1320">
        <f>INDIRECT(ADDRESS(1320,23))+INDIRECT(ADDRESS(1318,24))-INDIRECT(ADDRESS(1319,24))</f>
        <v>0</v>
      </c>
      <c r="Y1320">
        <f>INDIRECT(ADDRESS(1320,24))+INDIRECT(ADDRESS(1318,25))-INDIRECT(ADDRESS(1319,25))</f>
        <v>0</v>
      </c>
      <c r="Z1320">
        <f>INDIRECT(ADDRESS(1320,25))+INDIRECT(ADDRESS(1318,26))-INDIRECT(ADDRESS(1319,26))</f>
        <v>0</v>
      </c>
      <c r="AA1320">
        <f>INDIRECT(ADDRESS(1320,26))+INDIRECT(ADDRESS(1318,27))-INDIRECT(ADDRESS(1319,27))</f>
        <v>0</v>
      </c>
      <c r="AB1320">
        <f>INDIRECT(ADDRESS(1320,27))+INDIRECT(ADDRESS(1318,28))-INDIRECT(ADDRESS(1319,28))</f>
        <v>0</v>
      </c>
      <c r="AC1320">
        <f>INDIRECT(ADDRESS(1320,28))+INDIRECT(ADDRESS(1318,29))-INDIRECT(ADDRESS(1319,29))</f>
        <v>0</v>
      </c>
      <c r="AD1320">
        <f>INDIRECT(ADDRESS(1320,29))+INDIRECT(ADDRESS(1318,30))-INDIRECT(ADDRESS(1319,30))</f>
        <v>0</v>
      </c>
      <c r="AE1320">
        <f>INDIRECT(ADDRESS(1320,30))+INDIRECT(ADDRESS(1318,31))-INDIRECT(ADDRESS(1319,31))</f>
        <v>0</v>
      </c>
      <c r="AF1320">
        <f>INDIRECT(ADDRESS(1320,31))+INDIRECT(ADDRESS(1318,32))-INDIRECT(ADDRESS(1319,32))</f>
        <v>0</v>
      </c>
      <c r="AG1320">
        <f>INDIRECT(ADDRESS(1320,32))+INDIRECT(ADDRESS(1318,33))-INDIRECT(ADDRESS(1319,33))</f>
        <v>0</v>
      </c>
      <c r="AH1320">
        <f>INDIRECT(ADDRESS(1320,33))+INDIRECT(ADDRESS(1318,34))-INDIRECT(ADDRESS(1319,34))</f>
        <v>0</v>
      </c>
      <c r="AI1320">
        <f>INDIRECT(ADDRESS(1320,34))+INDIRECT(ADDRESS(1318,35))-INDIRECT(ADDRESS(1319,35))</f>
        <v>0</v>
      </c>
      <c r="AJ1320">
        <f>INDIRECT(ADDRESS(1320,35))+INDIRECT(ADDRESS(1318,36))-INDIRECT(ADDRESS(1319,36))</f>
        <v>0</v>
      </c>
      <c r="AK1320">
        <f>INDIRECT(ADDRESS(1320,36))+INDIRECT(ADDRESS(1318,37))-INDIRECT(ADDRESS(1319,37))</f>
        <v>0</v>
      </c>
      <c r="AL1320">
        <f>INDIRECT(ADDRESS(1320,37))+INDIRECT(ADDRESS(1318,38))-INDIRECT(ADDRESS(1319,38))</f>
        <v>0</v>
      </c>
      <c r="AM1320">
        <f>INDIRECT(ADDRESS(1320,38))+INDIRECT(ADDRESS(1318,39))-INDIRECT(ADDRESS(1319,39))</f>
        <v>0</v>
      </c>
      <c r="AN1320">
        <f>INDIRECT(ADDRESS(1320,39))+INDIRECT(ADDRESS(1318,40))-INDIRECT(ADDRESS(1319,40))</f>
        <v>0</v>
      </c>
      <c r="AO1320">
        <f>SUM(INDIRECT(ADDRESS(1319,8)):INDIRECT(ADDRESS(1319,39)))</f>
        <v>0</v>
      </c>
    </row>
    <row r="1321" spans="1:41">
      <c r="A1321" t="s">
        <v>180</v>
      </c>
      <c r="B1321" t="s">
        <v>655</v>
      </c>
      <c r="C1321" t="s">
        <v>656</v>
      </c>
      <c r="E1321">
        <v>1</v>
      </c>
      <c r="I1321" t="s">
        <v>177</v>
      </c>
    </row>
    <row r="1322" spans="1:41">
      <c r="I1322" t="s">
        <v>178</v>
      </c>
      <c r="J1322">
        <f>IFERROR(VLOOKUP("906-961000-110",B:AB,1+8,0),0)</f>
        <v>0</v>
      </c>
      <c r="K1322">
        <f>IFERROR(VLOOKUP("906-961000-110",B:AB,2+8,0),0)</f>
        <v>0</v>
      </c>
      <c r="L1322">
        <f>IFERROR(VLOOKUP("906-961000-110",B:AB,3+8,0),0)</f>
        <v>0</v>
      </c>
      <c r="M1322">
        <f>IFERROR(VLOOKUP("906-961000-110",B:AB,4+8,0),0)</f>
        <v>0</v>
      </c>
      <c r="N1322">
        <f>IFERROR(VLOOKUP("906-961000-110",B:AB,5+8,0),0)</f>
        <v>0</v>
      </c>
      <c r="O1322">
        <f>IFERROR(VLOOKUP("906-961000-110",B:AB,6+8,0),0)</f>
        <v>0</v>
      </c>
      <c r="P1322">
        <f>IFERROR(VLOOKUP("906-961000-110",B:AB,7+8,0),0)</f>
        <v>0</v>
      </c>
      <c r="Q1322">
        <f>IFERROR(VLOOKUP("906-961000-110",B:AB,8+8,0),0)</f>
        <v>0</v>
      </c>
      <c r="R1322">
        <f>IFERROR(VLOOKUP("906-961000-110",B:AB,9+8,0),0)</f>
        <v>0</v>
      </c>
      <c r="S1322">
        <f>IFERROR(VLOOKUP("906-961000-110",B:AB,10+8,0),0)</f>
        <v>0</v>
      </c>
      <c r="T1322">
        <f>IFERROR(VLOOKUP("906-961000-110",B:AB,11+8,0),0)</f>
        <v>0</v>
      </c>
      <c r="U1322">
        <f>IFERROR(VLOOKUP("906-961000-110",B:AB,12+8,0),0)</f>
        <v>0</v>
      </c>
      <c r="V1322">
        <f>IFERROR(VLOOKUP("906-961000-110",B:AB,13+8,0),0)</f>
        <v>0</v>
      </c>
      <c r="W1322">
        <f>IFERROR(VLOOKUP("906-961000-110",B:AB,14+8,0),0)</f>
        <v>0</v>
      </c>
      <c r="X1322">
        <f>IFERROR(VLOOKUP("906-961000-110",B:AB,15+8,0),0)</f>
        <v>0</v>
      </c>
      <c r="Y1322">
        <f>IFERROR(VLOOKUP("906-961000-110",B:AB,16+8,0),0)</f>
        <v>0</v>
      </c>
      <c r="Z1322">
        <f>IFERROR(VLOOKUP("906-961000-110",B:AB,17+8,0),0)</f>
        <v>0</v>
      </c>
      <c r="AA1322">
        <f>IFERROR(VLOOKUP("906-961000-110",B:AB,18+8,0),0)</f>
        <v>0</v>
      </c>
      <c r="AB1322">
        <f>IFERROR(VLOOKUP("906-961000-110",B:AB,19+8,0),0)</f>
        <v>0</v>
      </c>
      <c r="AC1322">
        <f>IFERROR(VLOOKUP("906-961000-110",B:AB,20+8,0),0)</f>
        <v>0</v>
      </c>
      <c r="AD1322">
        <f>IFERROR(VLOOKUP("906-961000-110",B:AB,21+8,0),0)</f>
        <v>0</v>
      </c>
      <c r="AE1322">
        <f>IFERROR(VLOOKUP("906-961000-110",B:AB,22+8,0),0)</f>
        <v>0</v>
      </c>
      <c r="AF1322">
        <f>IFERROR(VLOOKUP("906-961000-110",B:AB,23+8,0),0)</f>
        <v>0</v>
      </c>
      <c r="AG1322">
        <f>IFERROR(VLOOKUP("906-961000-110",B:AB,24+8,0),0)</f>
        <v>0</v>
      </c>
      <c r="AH1322">
        <f>IFERROR(VLOOKUP("906-961000-110",B:AB,25+8,0),0)</f>
        <v>0</v>
      </c>
      <c r="AI1322">
        <f>IFERROR(VLOOKUP("906-961000-110",B:AB,26+8,0),0)</f>
        <v>0</v>
      </c>
      <c r="AJ1322">
        <f>IFERROR(VLOOKUP("906-961000-110",B:AB,27+8,0),0)</f>
        <v>0</v>
      </c>
      <c r="AK1322">
        <f>IFERROR(VLOOKUP("906-961000-110",B:AB,28+8,0),0)</f>
        <v>0</v>
      </c>
      <c r="AL1322">
        <f>IFERROR(VLOOKUP("906-961000-110",B:AB,29+8,0),0)</f>
        <v>0</v>
      </c>
      <c r="AM1322">
        <f>IFERROR(VLOOKUP("906-961000-110",B:AB,30+8,0),0)</f>
        <v>0</v>
      </c>
      <c r="AN1322">
        <f>IFERROR(VLOOKUP("906-961000-110",B:AB,31+8,0),0)</f>
        <v>0</v>
      </c>
      <c r="AO1322">
        <f>SUN(INDIRECT(ADDRESS(1321,8)):INDIRECT(ADDRESS(1321,39)))</f>
        <v>0</v>
      </c>
    </row>
    <row r="1323" spans="1:41">
      <c r="H1323" t="s">
        <v>179</v>
      </c>
      <c r="J1323">
        <f>INDIRECT(ADDRESS(1323,9))+INDIRECT(ADDRESS(1321,10))-INDIRECT(ADDRESS(1322,10))</f>
        <v>0</v>
      </c>
      <c r="K1323">
        <f>INDIRECT(ADDRESS(1323,10))+INDIRECT(ADDRESS(1321,11))-INDIRECT(ADDRESS(1322,11))</f>
        <v>0</v>
      </c>
      <c r="L1323">
        <f>INDIRECT(ADDRESS(1323,11))+INDIRECT(ADDRESS(1321,12))-INDIRECT(ADDRESS(1322,12))</f>
        <v>0</v>
      </c>
      <c r="M1323">
        <f>INDIRECT(ADDRESS(1323,12))+INDIRECT(ADDRESS(1321,13))-INDIRECT(ADDRESS(1322,13))</f>
        <v>0</v>
      </c>
      <c r="N1323">
        <f>INDIRECT(ADDRESS(1323,13))+INDIRECT(ADDRESS(1321,14))-INDIRECT(ADDRESS(1322,14))</f>
        <v>0</v>
      </c>
      <c r="O1323">
        <f>INDIRECT(ADDRESS(1323,14))+INDIRECT(ADDRESS(1321,15))-INDIRECT(ADDRESS(1322,15))</f>
        <v>0</v>
      </c>
      <c r="P1323">
        <f>INDIRECT(ADDRESS(1323,15))+INDIRECT(ADDRESS(1321,16))-INDIRECT(ADDRESS(1322,16))</f>
        <v>0</v>
      </c>
      <c r="Q1323">
        <f>INDIRECT(ADDRESS(1323,16))+INDIRECT(ADDRESS(1321,17))-INDIRECT(ADDRESS(1322,17))</f>
        <v>0</v>
      </c>
      <c r="R1323">
        <f>INDIRECT(ADDRESS(1323,17))+INDIRECT(ADDRESS(1321,18))-INDIRECT(ADDRESS(1322,18))</f>
        <v>0</v>
      </c>
      <c r="S1323">
        <f>INDIRECT(ADDRESS(1323,18))+INDIRECT(ADDRESS(1321,19))-INDIRECT(ADDRESS(1322,19))</f>
        <v>0</v>
      </c>
      <c r="T1323">
        <f>INDIRECT(ADDRESS(1323,19))+INDIRECT(ADDRESS(1321,20))-INDIRECT(ADDRESS(1322,20))</f>
        <v>0</v>
      </c>
      <c r="U1323">
        <f>INDIRECT(ADDRESS(1323,20))+INDIRECT(ADDRESS(1321,21))-INDIRECT(ADDRESS(1322,21))</f>
        <v>0</v>
      </c>
      <c r="V1323">
        <f>INDIRECT(ADDRESS(1323,21))+INDIRECT(ADDRESS(1321,22))-INDIRECT(ADDRESS(1322,22))</f>
        <v>0</v>
      </c>
      <c r="W1323">
        <f>INDIRECT(ADDRESS(1323,22))+INDIRECT(ADDRESS(1321,23))-INDIRECT(ADDRESS(1322,23))</f>
        <v>0</v>
      </c>
      <c r="X1323">
        <f>INDIRECT(ADDRESS(1323,23))+INDIRECT(ADDRESS(1321,24))-INDIRECT(ADDRESS(1322,24))</f>
        <v>0</v>
      </c>
      <c r="Y1323">
        <f>INDIRECT(ADDRESS(1323,24))+INDIRECT(ADDRESS(1321,25))-INDIRECT(ADDRESS(1322,25))</f>
        <v>0</v>
      </c>
      <c r="Z1323">
        <f>INDIRECT(ADDRESS(1323,25))+INDIRECT(ADDRESS(1321,26))-INDIRECT(ADDRESS(1322,26))</f>
        <v>0</v>
      </c>
      <c r="AA1323">
        <f>INDIRECT(ADDRESS(1323,26))+INDIRECT(ADDRESS(1321,27))-INDIRECT(ADDRESS(1322,27))</f>
        <v>0</v>
      </c>
      <c r="AB1323">
        <f>INDIRECT(ADDRESS(1323,27))+INDIRECT(ADDRESS(1321,28))-INDIRECT(ADDRESS(1322,28))</f>
        <v>0</v>
      </c>
      <c r="AC1323">
        <f>INDIRECT(ADDRESS(1323,28))+INDIRECT(ADDRESS(1321,29))-INDIRECT(ADDRESS(1322,29))</f>
        <v>0</v>
      </c>
      <c r="AD1323">
        <f>INDIRECT(ADDRESS(1323,29))+INDIRECT(ADDRESS(1321,30))-INDIRECT(ADDRESS(1322,30))</f>
        <v>0</v>
      </c>
      <c r="AE1323">
        <f>INDIRECT(ADDRESS(1323,30))+INDIRECT(ADDRESS(1321,31))-INDIRECT(ADDRESS(1322,31))</f>
        <v>0</v>
      </c>
      <c r="AF1323">
        <f>INDIRECT(ADDRESS(1323,31))+INDIRECT(ADDRESS(1321,32))-INDIRECT(ADDRESS(1322,32))</f>
        <v>0</v>
      </c>
      <c r="AG1323">
        <f>INDIRECT(ADDRESS(1323,32))+INDIRECT(ADDRESS(1321,33))-INDIRECT(ADDRESS(1322,33))</f>
        <v>0</v>
      </c>
      <c r="AH1323">
        <f>INDIRECT(ADDRESS(1323,33))+INDIRECT(ADDRESS(1321,34))-INDIRECT(ADDRESS(1322,34))</f>
        <v>0</v>
      </c>
      <c r="AI1323">
        <f>INDIRECT(ADDRESS(1323,34))+INDIRECT(ADDRESS(1321,35))-INDIRECT(ADDRESS(1322,35))</f>
        <v>0</v>
      </c>
      <c r="AJ1323">
        <f>INDIRECT(ADDRESS(1323,35))+INDIRECT(ADDRESS(1321,36))-INDIRECT(ADDRESS(1322,36))</f>
        <v>0</v>
      </c>
      <c r="AK1323">
        <f>INDIRECT(ADDRESS(1323,36))+INDIRECT(ADDRESS(1321,37))-INDIRECT(ADDRESS(1322,37))</f>
        <v>0</v>
      </c>
      <c r="AL1323">
        <f>INDIRECT(ADDRESS(1323,37))+INDIRECT(ADDRESS(1321,38))-INDIRECT(ADDRESS(1322,38))</f>
        <v>0</v>
      </c>
      <c r="AM1323">
        <f>INDIRECT(ADDRESS(1323,38))+INDIRECT(ADDRESS(1321,39))-INDIRECT(ADDRESS(1322,39))</f>
        <v>0</v>
      </c>
      <c r="AN1323">
        <f>INDIRECT(ADDRESS(1323,39))+INDIRECT(ADDRESS(1321,40))-INDIRECT(ADDRESS(1322,40))</f>
        <v>0</v>
      </c>
      <c r="AO1323">
        <f>SUM(INDIRECT(ADDRESS(1322,8)):INDIRECT(ADDRESS(1322,39)))</f>
        <v>0</v>
      </c>
    </row>
    <row r="1324" spans="1:41">
      <c r="A1324" t="s">
        <v>185</v>
      </c>
      <c r="B1324" t="s">
        <v>657</v>
      </c>
      <c r="C1324" t="s">
        <v>658</v>
      </c>
      <c r="E1324">
        <v>1</v>
      </c>
      <c r="I1324" t="s">
        <v>177</v>
      </c>
    </row>
    <row r="1325" spans="1:41">
      <c r="I1325" t="s">
        <v>178</v>
      </c>
      <c r="J1325">
        <f>IFERROR(VLOOKUP("906-961000-110",B:AB,1+8,0),0)</f>
        <v>0</v>
      </c>
      <c r="K1325">
        <f>IFERROR(VLOOKUP("906-961000-110",B:AB,2+8,0),0)</f>
        <v>0</v>
      </c>
      <c r="L1325">
        <f>IFERROR(VLOOKUP("906-961000-110",B:AB,3+8,0),0)</f>
        <v>0</v>
      </c>
      <c r="M1325">
        <f>IFERROR(VLOOKUP("906-961000-110",B:AB,4+8,0),0)</f>
        <v>0</v>
      </c>
      <c r="N1325">
        <f>IFERROR(VLOOKUP("906-961000-110",B:AB,5+8,0),0)</f>
        <v>0</v>
      </c>
      <c r="O1325">
        <f>IFERROR(VLOOKUP("906-961000-110",B:AB,6+8,0),0)</f>
        <v>0</v>
      </c>
      <c r="P1325">
        <f>IFERROR(VLOOKUP("906-961000-110",B:AB,7+8,0),0)</f>
        <v>0</v>
      </c>
      <c r="Q1325">
        <f>IFERROR(VLOOKUP("906-961000-110",B:AB,8+8,0),0)</f>
        <v>0</v>
      </c>
      <c r="R1325">
        <f>IFERROR(VLOOKUP("906-961000-110",B:AB,9+8,0),0)</f>
        <v>0</v>
      </c>
      <c r="S1325">
        <f>IFERROR(VLOOKUP("906-961000-110",B:AB,10+8,0),0)</f>
        <v>0</v>
      </c>
      <c r="T1325">
        <f>IFERROR(VLOOKUP("906-961000-110",B:AB,11+8,0),0)</f>
        <v>0</v>
      </c>
      <c r="U1325">
        <f>IFERROR(VLOOKUP("906-961000-110",B:AB,12+8,0),0)</f>
        <v>0</v>
      </c>
      <c r="V1325">
        <f>IFERROR(VLOOKUP("906-961000-110",B:AB,13+8,0),0)</f>
        <v>0</v>
      </c>
      <c r="W1325">
        <f>IFERROR(VLOOKUP("906-961000-110",B:AB,14+8,0),0)</f>
        <v>0</v>
      </c>
      <c r="X1325">
        <f>IFERROR(VLOOKUP("906-961000-110",B:AB,15+8,0),0)</f>
        <v>0</v>
      </c>
      <c r="Y1325">
        <f>IFERROR(VLOOKUP("906-961000-110",B:AB,16+8,0),0)</f>
        <v>0</v>
      </c>
      <c r="Z1325">
        <f>IFERROR(VLOOKUP("906-961000-110",B:AB,17+8,0),0)</f>
        <v>0</v>
      </c>
      <c r="AA1325">
        <f>IFERROR(VLOOKUP("906-961000-110",B:AB,18+8,0),0)</f>
        <v>0</v>
      </c>
      <c r="AB1325">
        <f>IFERROR(VLOOKUP("906-961000-110",B:AB,19+8,0),0)</f>
        <v>0</v>
      </c>
      <c r="AC1325">
        <f>IFERROR(VLOOKUP("906-961000-110",B:AB,20+8,0),0)</f>
        <v>0</v>
      </c>
      <c r="AD1325">
        <f>IFERROR(VLOOKUP("906-961000-110",B:AB,21+8,0),0)</f>
        <v>0</v>
      </c>
      <c r="AE1325">
        <f>IFERROR(VLOOKUP("906-961000-110",B:AB,22+8,0),0)</f>
        <v>0</v>
      </c>
      <c r="AF1325">
        <f>IFERROR(VLOOKUP("906-961000-110",B:AB,23+8,0),0)</f>
        <v>0</v>
      </c>
      <c r="AG1325">
        <f>IFERROR(VLOOKUP("906-961000-110",B:AB,24+8,0),0)</f>
        <v>0</v>
      </c>
      <c r="AH1325">
        <f>IFERROR(VLOOKUP("906-961000-110",B:AB,25+8,0),0)</f>
        <v>0</v>
      </c>
      <c r="AI1325">
        <f>IFERROR(VLOOKUP("906-961000-110",B:AB,26+8,0),0)</f>
        <v>0</v>
      </c>
      <c r="AJ1325">
        <f>IFERROR(VLOOKUP("906-961000-110",B:AB,27+8,0),0)</f>
        <v>0</v>
      </c>
      <c r="AK1325">
        <f>IFERROR(VLOOKUP("906-961000-110",B:AB,28+8,0),0)</f>
        <v>0</v>
      </c>
      <c r="AL1325">
        <f>IFERROR(VLOOKUP("906-961000-110",B:AB,29+8,0),0)</f>
        <v>0</v>
      </c>
      <c r="AM1325">
        <f>IFERROR(VLOOKUP("906-961000-110",B:AB,30+8,0),0)</f>
        <v>0</v>
      </c>
      <c r="AN1325">
        <f>IFERROR(VLOOKUP("906-961000-110",B:AB,31+8,0),0)</f>
        <v>0</v>
      </c>
      <c r="AO1325">
        <f>SUN(INDIRECT(ADDRESS(1324,8)):INDIRECT(ADDRESS(1324,39)))</f>
        <v>0</v>
      </c>
    </row>
    <row r="1326" spans="1:41">
      <c r="H1326" t="s">
        <v>179</v>
      </c>
      <c r="J1326">
        <f>INDIRECT(ADDRESS(1326,9))+INDIRECT(ADDRESS(1324,10))-INDIRECT(ADDRESS(1325,10))</f>
        <v>0</v>
      </c>
      <c r="K1326">
        <f>INDIRECT(ADDRESS(1326,10))+INDIRECT(ADDRESS(1324,11))-INDIRECT(ADDRESS(1325,11))</f>
        <v>0</v>
      </c>
      <c r="L1326">
        <f>INDIRECT(ADDRESS(1326,11))+INDIRECT(ADDRESS(1324,12))-INDIRECT(ADDRESS(1325,12))</f>
        <v>0</v>
      </c>
      <c r="M1326">
        <f>INDIRECT(ADDRESS(1326,12))+INDIRECT(ADDRESS(1324,13))-INDIRECT(ADDRESS(1325,13))</f>
        <v>0</v>
      </c>
      <c r="N1326">
        <f>INDIRECT(ADDRESS(1326,13))+INDIRECT(ADDRESS(1324,14))-INDIRECT(ADDRESS(1325,14))</f>
        <v>0</v>
      </c>
      <c r="O1326">
        <f>INDIRECT(ADDRESS(1326,14))+INDIRECT(ADDRESS(1324,15))-INDIRECT(ADDRESS(1325,15))</f>
        <v>0</v>
      </c>
      <c r="P1326">
        <f>INDIRECT(ADDRESS(1326,15))+INDIRECT(ADDRESS(1324,16))-INDIRECT(ADDRESS(1325,16))</f>
        <v>0</v>
      </c>
      <c r="Q1326">
        <f>INDIRECT(ADDRESS(1326,16))+INDIRECT(ADDRESS(1324,17))-INDIRECT(ADDRESS(1325,17))</f>
        <v>0</v>
      </c>
      <c r="R1326">
        <f>INDIRECT(ADDRESS(1326,17))+INDIRECT(ADDRESS(1324,18))-INDIRECT(ADDRESS(1325,18))</f>
        <v>0</v>
      </c>
      <c r="S1326">
        <f>INDIRECT(ADDRESS(1326,18))+INDIRECT(ADDRESS(1324,19))-INDIRECT(ADDRESS(1325,19))</f>
        <v>0</v>
      </c>
      <c r="T1326">
        <f>INDIRECT(ADDRESS(1326,19))+INDIRECT(ADDRESS(1324,20))-INDIRECT(ADDRESS(1325,20))</f>
        <v>0</v>
      </c>
      <c r="U1326">
        <f>INDIRECT(ADDRESS(1326,20))+INDIRECT(ADDRESS(1324,21))-INDIRECT(ADDRESS(1325,21))</f>
        <v>0</v>
      </c>
      <c r="V1326">
        <f>INDIRECT(ADDRESS(1326,21))+INDIRECT(ADDRESS(1324,22))-INDIRECT(ADDRESS(1325,22))</f>
        <v>0</v>
      </c>
      <c r="W1326">
        <f>INDIRECT(ADDRESS(1326,22))+INDIRECT(ADDRESS(1324,23))-INDIRECT(ADDRESS(1325,23))</f>
        <v>0</v>
      </c>
      <c r="X1326">
        <f>INDIRECT(ADDRESS(1326,23))+INDIRECT(ADDRESS(1324,24))-INDIRECT(ADDRESS(1325,24))</f>
        <v>0</v>
      </c>
      <c r="Y1326">
        <f>INDIRECT(ADDRESS(1326,24))+INDIRECT(ADDRESS(1324,25))-INDIRECT(ADDRESS(1325,25))</f>
        <v>0</v>
      </c>
      <c r="Z1326">
        <f>INDIRECT(ADDRESS(1326,25))+INDIRECT(ADDRESS(1324,26))-INDIRECT(ADDRESS(1325,26))</f>
        <v>0</v>
      </c>
      <c r="AA1326">
        <f>INDIRECT(ADDRESS(1326,26))+INDIRECT(ADDRESS(1324,27))-INDIRECT(ADDRESS(1325,27))</f>
        <v>0</v>
      </c>
      <c r="AB1326">
        <f>INDIRECT(ADDRESS(1326,27))+INDIRECT(ADDRESS(1324,28))-INDIRECT(ADDRESS(1325,28))</f>
        <v>0</v>
      </c>
      <c r="AC1326">
        <f>INDIRECT(ADDRESS(1326,28))+INDIRECT(ADDRESS(1324,29))-INDIRECT(ADDRESS(1325,29))</f>
        <v>0</v>
      </c>
      <c r="AD1326">
        <f>INDIRECT(ADDRESS(1326,29))+INDIRECT(ADDRESS(1324,30))-INDIRECT(ADDRESS(1325,30))</f>
        <v>0</v>
      </c>
      <c r="AE1326">
        <f>INDIRECT(ADDRESS(1326,30))+INDIRECT(ADDRESS(1324,31))-INDIRECT(ADDRESS(1325,31))</f>
        <v>0</v>
      </c>
      <c r="AF1326">
        <f>INDIRECT(ADDRESS(1326,31))+INDIRECT(ADDRESS(1324,32))-INDIRECT(ADDRESS(1325,32))</f>
        <v>0</v>
      </c>
      <c r="AG1326">
        <f>INDIRECT(ADDRESS(1326,32))+INDIRECT(ADDRESS(1324,33))-INDIRECT(ADDRESS(1325,33))</f>
        <v>0</v>
      </c>
      <c r="AH1326">
        <f>INDIRECT(ADDRESS(1326,33))+INDIRECT(ADDRESS(1324,34))-INDIRECT(ADDRESS(1325,34))</f>
        <v>0</v>
      </c>
      <c r="AI1326">
        <f>INDIRECT(ADDRESS(1326,34))+INDIRECT(ADDRESS(1324,35))-INDIRECT(ADDRESS(1325,35))</f>
        <v>0</v>
      </c>
      <c r="AJ1326">
        <f>INDIRECT(ADDRESS(1326,35))+INDIRECT(ADDRESS(1324,36))-INDIRECT(ADDRESS(1325,36))</f>
        <v>0</v>
      </c>
      <c r="AK1326">
        <f>INDIRECT(ADDRESS(1326,36))+INDIRECT(ADDRESS(1324,37))-INDIRECT(ADDRESS(1325,37))</f>
        <v>0</v>
      </c>
      <c r="AL1326">
        <f>INDIRECT(ADDRESS(1326,37))+INDIRECT(ADDRESS(1324,38))-INDIRECT(ADDRESS(1325,38))</f>
        <v>0</v>
      </c>
      <c r="AM1326">
        <f>INDIRECT(ADDRESS(1326,38))+INDIRECT(ADDRESS(1324,39))-INDIRECT(ADDRESS(1325,39))</f>
        <v>0</v>
      </c>
      <c r="AN1326">
        <f>INDIRECT(ADDRESS(1326,39))+INDIRECT(ADDRESS(1324,40))-INDIRECT(ADDRESS(1325,40))</f>
        <v>0</v>
      </c>
      <c r="AO1326">
        <f>SUM(INDIRECT(ADDRESS(1325,8)):INDIRECT(ADDRESS(1325,39)))</f>
        <v>0</v>
      </c>
    </row>
    <row r="1327" spans="1:41">
      <c r="A1327" t="s">
        <v>185</v>
      </c>
      <c r="B1327" t="s">
        <v>659</v>
      </c>
      <c r="C1327" t="s">
        <v>660</v>
      </c>
      <c r="E1327">
        <v>1</v>
      </c>
      <c r="I1327" t="s">
        <v>177</v>
      </c>
    </row>
    <row r="1328" spans="1:41">
      <c r="I1328" t="s">
        <v>178</v>
      </c>
      <c r="J1328">
        <f>IFERROR(VLOOKUP("906-961000-110",B:AB,1+8,0),0)</f>
        <v>0</v>
      </c>
      <c r="K1328">
        <f>IFERROR(VLOOKUP("906-961000-110",B:AB,2+8,0),0)</f>
        <v>0</v>
      </c>
      <c r="L1328">
        <f>IFERROR(VLOOKUP("906-961000-110",B:AB,3+8,0),0)</f>
        <v>0</v>
      </c>
      <c r="M1328">
        <f>IFERROR(VLOOKUP("906-961000-110",B:AB,4+8,0),0)</f>
        <v>0</v>
      </c>
      <c r="N1328">
        <f>IFERROR(VLOOKUP("906-961000-110",B:AB,5+8,0),0)</f>
        <v>0</v>
      </c>
      <c r="O1328">
        <f>IFERROR(VLOOKUP("906-961000-110",B:AB,6+8,0),0)</f>
        <v>0</v>
      </c>
      <c r="P1328">
        <f>IFERROR(VLOOKUP("906-961000-110",B:AB,7+8,0),0)</f>
        <v>0</v>
      </c>
      <c r="Q1328">
        <f>IFERROR(VLOOKUP("906-961000-110",B:AB,8+8,0),0)</f>
        <v>0</v>
      </c>
      <c r="R1328">
        <f>IFERROR(VLOOKUP("906-961000-110",B:AB,9+8,0),0)</f>
        <v>0</v>
      </c>
      <c r="S1328">
        <f>IFERROR(VLOOKUP("906-961000-110",B:AB,10+8,0),0)</f>
        <v>0</v>
      </c>
      <c r="T1328">
        <f>IFERROR(VLOOKUP("906-961000-110",B:AB,11+8,0),0)</f>
        <v>0</v>
      </c>
      <c r="U1328">
        <f>IFERROR(VLOOKUP("906-961000-110",B:AB,12+8,0),0)</f>
        <v>0</v>
      </c>
      <c r="V1328">
        <f>IFERROR(VLOOKUP("906-961000-110",B:AB,13+8,0),0)</f>
        <v>0</v>
      </c>
      <c r="W1328">
        <f>IFERROR(VLOOKUP("906-961000-110",B:AB,14+8,0),0)</f>
        <v>0</v>
      </c>
      <c r="X1328">
        <f>IFERROR(VLOOKUP("906-961000-110",B:AB,15+8,0),0)</f>
        <v>0</v>
      </c>
      <c r="Y1328">
        <f>IFERROR(VLOOKUP("906-961000-110",B:AB,16+8,0),0)</f>
        <v>0</v>
      </c>
      <c r="Z1328">
        <f>IFERROR(VLOOKUP("906-961000-110",B:AB,17+8,0),0)</f>
        <v>0</v>
      </c>
      <c r="AA1328">
        <f>IFERROR(VLOOKUP("906-961000-110",B:AB,18+8,0),0)</f>
        <v>0</v>
      </c>
      <c r="AB1328">
        <f>IFERROR(VLOOKUP("906-961000-110",B:AB,19+8,0),0)</f>
        <v>0</v>
      </c>
      <c r="AC1328">
        <f>IFERROR(VLOOKUP("906-961000-110",B:AB,20+8,0),0)</f>
        <v>0</v>
      </c>
      <c r="AD1328">
        <f>IFERROR(VLOOKUP("906-961000-110",B:AB,21+8,0),0)</f>
        <v>0</v>
      </c>
      <c r="AE1328">
        <f>IFERROR(VLOOKUP("906-961000-110",B:AB,22+8,0),0)</f>
        <v>0</v>
      </c>
      <c r="AF1328">
        <f>IFERROR(VLOOKUP("906-961000-110",B:AB,23+8,0),0)</f>
        <v>0</v>
      </c>
      <c r="AG1328">
        <f>IFERROR(VLOOKUP("906-961000-110",B:AB,24+8,0),0)</f>
        <v>0</v>
      </c>
      <c r="AH1328">
        <f>IFERROR(VLOOKUP("906-961000-110",B:AB,25+8,0),0)</f>
        <v>0</v>
      </c>
      <c r="AI1328">
        <f>IFERROR(VLOOKUP("906-961000-110",B:AB,26+8,0),0)</f>
        <v>0</v>
      </c>
      <c r="AJ1328">
        <f>IFERROR(VLOOKUP("906-961000-110",B:AB,27+8,0),0)</f>
        <v>0</v>
      </c>
      <c r="AK1328">
        <f>IFERROR(VLOOKUP("906-961000-110",B:AB,28+8,0),0)</f>
        <v>0</v>
      </c>
      <c r="AL1328">
        <f>IFERROR(VLOOKUP("906-961000-110",B:AB,29+8,0),0)</f>
        <v>0</v>
      </c>
      <c r="AM1328">
        <f>IFERROR(VLOOKUP("906-961000-110",B:AB,30+8,0),0)</f>
        <v>0</v>
      </c>
      <c r="AN1328">
        <f>IFERROR(VLOOKUP("906-961000-110",B:AB,31+8,0),0)</f>
        <v>0</v>
      </c>
      <c r="AO1328">
        <f>SUN(INDIRECT(ADDRESS(1327,8)):INDIRECT(ADDRESS(1327,39)))</f>
        <v>0</v>
      </c>
    </row>
    <row r="1329" spans="1:41">
      <c r="H1329" t="s">
        <v>179</v>
      </c>
      <c r="J1329">
        <f>INDIRECT(ADDRESS(1329,9))+INDIRECT(ADDRESS(1327,10))-INDIRECT(ADDRESS(1328,10))</f>
        <v>0</v>
      </c>
      <c r="K1329">
        <f>INDIRECT(ADDRESS(1329,10))+INDIRECT(ADDRESS(1327,11))-INDIRECT(ADDRESS(1328,11))</f>
        <v>0</v>
      </c>
      <c r="L1329">
        <f>INDIRECT(ADDRESS(1329,11))+INDIRECT(ADDRESS(1327,12))-INDIRECT(ADDRESS(1328,12))</f>
        <v>0</v>
      </c>
      <c r="M1329">
        <f>INDIRECT(ADDRESS(1329,12))+INDIRECT(ADDRESS(1327,13))-INDIRECT(ADDRESS(1328,13))</f>
        <v>0</v>
      </c>
      <c r="N1329">
        <f>INDIRECT(ADDRESS(1329,13))+INDIRECT(ADDRESS(1327,14))-INDIRECT(ADDRESS(1328,14))</f>
        <v>0</v>
      </c>
      <c r="O1329">
        <f>INDIRECT(ADDRESS(1329,14))+INDIRECT(ADDRESS(1327,15))-INDIRECT(ADDRESS(1328,15))</f>
        <v>0</v>
      </c>
      <c r="P1329">
        <f>INDIRECT(ADDRESS(1329,15))+INDIRECT(ADDRESS(1327,16))-INDIRECT(ADDRESS(1328,16))</f>
        <v>0</v>
      </c>
      <c r="Q1329">
        <f>INDIRECT(ADDRESS(1329,16))+INDIRECT(ADDRESS(1327,17))-INDIRECT(ADDRESS(1328,17))</f>
        <v>0</v>
      </c>
      <c r="R1329">
        <f>INDIRECT(ADDRESS(1329,17))+INDIRECT(ADDRESS(1327,18))-INDIRECT(ADDRESS(1328,18))</f>
        <v>0</v>
      </c>
      <c r="S1329">
        <f>INDIRECT(ADDRESS(1329,18))+INDIRECT(ADDRESS(1327,19))-INDIRECT(ADDRESS(1328,19))</f>
        <v>0</v>
      </c>
      <c r="T1329">
        <f>INDIRECT(ADDRESS(1329,19))+INDIRECT(ADDRESS(1327,20))-INDIRECT(ADDRESS(1328,20))</f>
        <v>0</v>
      </c>
      <c r="U1329">
        <f>INDIRECT(ADDRESS(1329,20))+INDIRECT(ADDRESS(1327,21))-INDIRECT(ADDRESS(1328,21))</f>
        <v>0</v>
      </c>
      <c r="V1329">
        <f>INDIRECT(ADDRESS(1329,21))+INDIRECT(ADDRESS(1327,22))-INDIRECT(ADDRESS(1328,22))</f>
        <v>0</v>
      </c>
      <c r="W1329">
        <f>INDIRECT(ADDRESS(1329,22))+INDIRECT(ADDRESS(1327,23))-INDIRECT(ADDRESS(1328,23))</f>
        <v>0</v>
      </c>
      <c r="X1329">
        <f>INDIRECT(ADDRESS(1329,23))+INDIRECT(ADDRESS(1327,24))-INDIRECT(ADDRESS(1328,24))</f>
        <v>0</v>
      </c>
      <c r="Y1329">
        <f>INDIRECT(ADDRESS(1329,24))+INDIRECT(ADDRESS(1327,25))-INDIRECT(ADDRESS(1328,25))</f>
        <v>0</v>
      </c>
      <c r="Z1329">
        <f>INDIRECT(ADDRESS(1329,25))+INDIRECT(ADDRESS(1327,26))-INDIRECT(ADDRESS(1328,26))</f>
        <v>0</v>
      </c>
      <c r="AA1329">
        <f>INDIRECT(ADDRESS(1329,26))+INDIRECT(ADDRESS(1327,27))-INDIRECT(ADDRESS(1328,27))</f>
        <v>0</v>
      </c>
      <c r="AB1329">
        <f>INDIRECT(ADDRESS(1329,27))+INDIRECT(ADDRESS(1327,28))-INDIRECT(ADDRESS(1328,28))</f>
        <v>0</v>
      </c>
      <c r="AC1329">
        <f>INDIRECT(ADDRESS(1329,28))+INDIRECT(ADDRESS(1327,29))-INDIRECT(ADDRESS(1328,29))</f>
        <v>0</v>
      </c>
      <c r="AD1329">
        <f>INDIRECT(ADDRESS(1329,29))+INDIRECT(ADDRESS(1327,30))-INDIRECT(ADDRESS(1328,30))</f>
        <v>0</v>
      </c>
      <c r="AE1329">
        <f>INDIRECT(ADDRESS(1329,30))+INDIRECT(ADDRESS(1327,31))-INDIRECT(ADDRESS(1328,31))</f>
        <v>0</v>
      </c>
      <c r="AF1329">
        <f>INDIRECT(ADDRESS(1329,31))+INDIRECT(ADDRESS(1327,32))-INDIRECT(ADDRESS(1328,32))</f>
        <v>0</v>
      </c>
      <c r="AG1329">
        <f>INDIRECT(ADDRESS(1329,32))+INDIRECT(ADDRESS(1327,33))-INDIRECT(ADDRESS(1328,33))</f>
        <v>0</v>
      </c>
      <c r="AH1329">
        <f>INDIRECT(ADDRESS(1329,33))+INDIRECT(ADDRESS(1327,34))-INDIRECT(ADDRESS(1328,34))</f>
        <v>0</v>
      </c>
      <c r="AI1329">
        <f>INDIRECT(ADDRESS(1329,34))+INDIRECT(ADDRESS(1327,35))-INDIRECT(ADDRESS(1328,35))</f>
        <v>0</v>
      </c>
      <c r="AJ1329">
        <f>INDIRECT(ADDRESS(1329,35))+INDIRECT(ADDRESS(1327,36))-INDIRECT(ADDRESS(1328,36))</f>
        <v>0</v>
      </c>
      <c r="AK1329">
        <f>INDIRECT(ADDRESS(1329,36))+INDIRECT(ADDRESS(1327,37))-INDIRECT(ADDRESS(1328,37))</f>
        <v>0</v>
      </c>
      <c r="AL1329">
        <f>INDIRECT(ADDRESS(1329,37))+INDIRECT(ADDRESS(1327,38))-INDIRECT(ADDRESS(1328,38))</f>
        <v>0</v>
      </c>
      <c r="AM1329">
        <f>INDIRECT(ADDRESS(1329,38))+INDIRECT(ADDRESS(1327,39))-INDIRECT(ADDRESS(1328,39))</f>
        <v>0</v>
      </c>
      <c r="AN1329">
        <f>INDIRECT(ADDRESS(1329,39))+INDIRECT(ADDRESS(1327,40))-INDIRECT(ADDRESS(1328,40))</f>
        <v>0</v>
      </c>
      <c r="AO1329">
        <f>SUM(INDIRECT(ADDRESS(1328,8)):INDIRECT(ADDRESS(1328,39)))</f>
        <v>0</v>
      </c>
    </row>
    <row r="1330" spans="1:41">
      <c r="A1330" t="s">
        <v>185</v>
      </c>
      <c r="B1330" t="s">
        <v>640</v>
      </c>
      <c r="C1330" t="s">
        <v>641</v>
      </c>
      <c r="E1330">
        <v>2</v>
      </c>
      <c r="I1330" t="s">
        <v>177</v>
      </c>
    </row>
    <row r="1331" spans="1:41">
      <c r="I1331" t="s">
        <v>178</v>
      </c>
      <c r="J1331">
        <f>IFERROR(VLOOKUP("906-961000-110",B:AB,1+8,0),0)</f>
        <v>0</v>
      </c>
      <c r="K1331">
        <f>IFERROR(VLOOKUP("906-961000-110",B:AB,2+8,0),0)</f>
        <v>0</v>
      </c>
      <c r="L1331">
        <f>IFERROR(VLOOKUP("906-961000-110",B:AB,3+8,0),0)</f>
        <v>0</v>
      </c>
      <c r="M1331">
        <f>IFERROR(VLOOKUP("906-961000-110",B:AB,4+8,0),0)</f>
        <v>0</v>
      </c>
      <c r="N1331">
        <f>IFERROR(VLOOKUP("906-961000-110",B:AB,5+8,0),0)</f>
        <v>0</v>
      </c>
      <c r="O1331">
        <f>IFERROR(VLOOKUP("906-961000-110",B:AB,6+8,0),0)</f>
        <v>0</v>
      </c>
      <c r="P1331">
        <f>IFERROR(VLOOKUP("906-961000-110",B:AB,7+8,0),0)</f>
        <v>0</v>
      </c>
      <c r="Q1331">
        <f>IFERROR(VLOOKUP("906-961000-110",B:AB,8+8,0),0)</f>
        <v>0</v>
      </c>
      <c r="R1331">
        <f>IFERROR(VLOOKUP("906-961000-110",B:AB,9+8,0),0)</f>
        <v>0</v>
      </c>
      <c r="S1331">
        <f>IFERROR(VLOOKUP("906-961000-110",B:AB,10+8,0),0)</f>
        <v>0</v>
      </c>
      <c r="T1331">
        <f>IFERROR(VLOOKUP("906-961000-110",B:AB,11+8,0),0)</f>
        <v>0</v>
      </c>
      <c r="U1331">
        <f>IFERROR(VLOOKUP("906-961000-110",B:AB,12+8,0),0)</f>
        <v>0</v>
      </c>
      <c r="V1331">
        <f>IFERROR(VLOOKUP("906-961000-110",B:AB,13+8,0),0)</f>
        <v>0</v>
      </c>
      <c r="W1331">
        <f>IFERROR(VLOOKUP("906-961000-110",B:AB,14+8,0),0)</f>
        <v>0</v>
      </c>
      <c r="X1331">
        <f>IFERROR(VLOOKUP("906-961000-110",B:AB,15+8,0),0)</f>
        <v>0</v>
      </c>
      <c r="Y1331">
        <f>IFERROR(VLOOKUP("906-961000-110",B:AB,16+8,0),0)</f>
        <v>0</v>
      </c>
      <c r="Z1331">
        <f>IFERROR(VLOOKUP("906-961000-110",B:AB,17+8,0),0)</f>
        <v>0</v>
      </c>
      <c r="AA1331">
        <f>IFERROR(VLOOKUP("906-961000-110",B:AB,18+8,0),0)</f>
        <v>0</v>
      </c>
      <c r="AB1331">
        <f>IFERROR(VLOOKUP("906-961000-110",B:AB,19+8,0),0)</f>
        <v>0</v>
      </c>
      <c r="AC1331">
        <f>IFERROR(VLOOKUP("906-961000-110",B:AB,20+8,0),0)</f>
        <v>0</v>
      </c>
      <c r="AD1331">
        <f>IFERROR(VLOOKUP("906-961000-110",B:AB,21+8,0),0)</f>
        <v>0</v>
      </c>
      <c r="AE1331">
        <f>IFERROR(VLOOKUP("906-961000-110",B:AB,22+8,0),0)</f>
        <v>0</v>
      </c>
      <c r="AF1331">
        <f>IFERROR(VLOOKUP("906-961000-110",B:AB,23+8,0),0)</f>
        <v>0</v>
      </c>
      <c r="AG1331">
        <f>IFERROR(VLOOKUP("906-961000-110",B:AB,24+8,0),0)</f>
        <v>0</v>
      </c>
      <c r="AH1331">
        <f>IFERROR(VLOOKUP("906-961000-110",B:AB,25+8,0),0)</f>
        <v>0</v>
      </c>
      <c r="AI1331">
        <f>IFERROR(VLOOKUP("906-961000-110",B:AB,26+8,0),0)</f>
        <v>0</v>
      </c>
      <c r="AJ1331">
        <f>IFERROR(VLOOKUP("906-961000-110",B:AB,27+8,0),0)</f>
        <v>0</v>
      </c>
      <c r="AK1331">
        <f>IFERROR(VLOOKUP("906-961000-110",B:AB,28+8,0),0)</f>
        <v>0</v>
      </c>
      <c r="AL1331">
        <f>IFERROR(VLOOKUP("906-961000-110",B:AB,29+8,0),0)</f>
        <v>0</v>
      </c>
      <c r="AM1331">
        <f>IFERROR(VLOOKUP("906-961000-110",B:AB,30+8,0),0)</f>
        <v>0</v>
      </c>
      <c r="AN1331">
        <f>IFERROR(VLOOKUP("906-961000-110",B:AB,31+8,0),0)</f>
        <v>0</v>
      </c>
      <c r="AO1331">
        <f>SUN(INDIRECT(ADDRESS(1330,8)):INDIRECT(ADDRESS(1330,39)))</f>
        <v>0</v>
      </c>
    </row>
    <row r="1332" spans="1:41">
      <c r="H1332" t="s">
        <v>179</v>
      </c>
      <c r="J1332">
        <f>INDIRECT(ADDRESS(1332,9))+INDIRECT(ADDRESS(1330,10))-INDIRECT(ADDRESS(1331,10))</f>
        <v>0</v>
      </c>
      <c r="K1332">
        <f>INDIRECT(ADDRESS(1332,10))+INDIRECT(ADDRESS(1330,11))-INDIRECT(ADDRESS(1331,11))</f>
        <v>0</v>
      </c>
      <c r="L1332">
        <f>INDIRECT(ADDRESS(1332,11))+INDIRECT(ADDRESS(1330,12))-INDIRECT(ADDRESS(1331,12))</f>
        <v>0</v>
      </c>
      <c r="M1332">
        <f>INDIRECT(ADDRESS(1332,12))+INDIRECT(ADDRESS(1330,13))-INDIRECT(ADDRESS(1331,13))</f>
        <v>0</v>
      </c>
      <c r="N1332">
        <f>INDIRECT(ADDRESS(1332,13))+INDIRECT(ADDRESS(1330,14))-INDIRECT(ADDRESS(1331,14))</f>
        <v>0</v>
      </c>
      <c r="O1332">
        <f>INDIRECT(ADDRESS(1332,14))+INDIRECT(ADDRESS(1330,15))-INDIRECT(ADDRESS(1331,15))</f>
        <v>0</v>
      </c>
      <c r="P1332">
        <f>INDIRECT(ADDRESS(1332,15))+INDIRECT(ADDRESS(1330,16))-INDIRECT(ADDRESS(1331,16))</f>
        <v>0</v>
      </c>
      <c r="Q1332">
        <f>INDIRECT(ADDRESS(1332,16))+INDIRECT(ADDRESS(1330,17))-INDIRECT(ADDRESS(1331,17))</f>
        <v>0</v>
      </c>
      <c r="R1332">
        <f>INDIRECT(ADDRESS(1332,17))+INDIRECT(ADDRESS(1330,18))-INDIRECT(ADDRESS(1331,18))</f>
        <v>0</v>
      </c>
      <c r="S1332">
        <f>INDIRECT(ADDRESS(1332,18))+INDIRECT(ADDRESS(1330,19))-INDIRECT(ADDRESS(1331,19))</f>
        <v>0</v>
      </c>
      <c r="T1332">
        <f>INDIRECT(ADDRESS(1332,19))+INDIRECT(ADDRESS(1330,20))-INDIRECT(ADDRESS(1331,20))</f>
        <v>0</v>
      </c>
      <c r="U1332">
        <f>INDIRECT(ADDRESS(1332,20))+INDIRECT(ADDRESS(1330,21))-INDIRECT(ADDRESS(1331,21))</f>
        <v>0</v>
      </c>
      <c r="V1332">
        <f>INDIRECT(ADDRESS(1332,21))+INDIRECT(ADDRESS(1330,22))-INDIRECT(ADDRESS(1331,22))</f>
        <v>0</v>
      </c>
      <c r="W1332">
        <f>INDIRECT(ADDRESS(1332,22))+INDIRECT(ADDRESS(1330,23))-INDIRECT(ADDRESS(1331,23))</f>
        <v>0</v>
      </c>
      <c r="X1332">
        <f>INDIRECT(ADDRESS(1332,23))+INDIRECT(ADDRESS(1330,24))-INDIRECT(ADDRESS(1331,24))</f>
        <v>0</v>
      </c>
      <c r="Y1332">
        <f>INDIRECT(ADDRESS(1332,24))+INDIRECT(ADDRESS(1330,25))-INDIRECT(ADDRESS(1331,25))</f>
        <v>0</v>
      </c>
      <c r="Z1332">
        <f>INDIRECT(ADDRESS(1332,25))+INDIRECT(ADDRESS(1330,26))-INDIRECT(ADDRESS(1331,26))</f>
        <v>0</v>
      </c>
      <c r="AA1332">
        <f>INDIRECT(ADDRESS(1332,26))+INDIRECT(ADDRESS(1330,27))-INDIRECT(ADDRESS(1331,27))</f>
        <v>0</v>
      </c>
      <c r="AB1332">
        <f>INDIRECT(ADDRESS(1332,27))+INDIRECT(ADDRESS(1330,28))-INDIRECT(ADDRESS(1331,28))</f>
        <v>0</v>
      </c>
      <c r="AC1332">
        <f>INDIRECT(ADDRESS(1332,28))+INDIRECT(ADDRESS(1330,29))-INDIRECT(ADDRESS(1331,29))</f>
        <v>0</v>
      </c>
      <c r="AD1332">
        <f>INDIRECT(ADDRESS(1332,29))+INDIRECT(ADDRESS(1330,30))-INDIRECT(ADDRESS(1331,30))</f>
        <v>0</v>
      </c>
      <c r="AE1332">
        <f>INDIRECT(ADDRESS(1332,30))+INDIRECT(ADDRESS(1330,31))-INDIRECT(ADDRESS(1331,31))</f>
        <v>0</v>
      </c>
      <c r="AF1332">
        <f>INDIRECT(ADDRESS(1332,31))+INDIRECT(ADDRESS(1330,32))-INDIRECT(ADDRESS(1331,32))</f>
        <v>0</v>
      </c>
      <c r="AG1332">
        <f>INDIRECT(ADDRESS(1332,32))+INDIRECT(ADDRESS(1330,33))-INDIRECT(ADDRESS(1331,33))</f>
        <v>0</v>
      </c>
      <c r="AH1332">
        <f>INDIRECT(ADDRESS(1332,33))+INDIRECT(ADDRESS(1330,34))-INDIRECT(ADDRESS(1331,34))</f>
        <v>0</v>
      </c>
      <c r="AI1332">
        <f>INDIRECT(ADDRESS(1332,34))+INDIRECT(ADDRESS(1330,35))-INDIRECT(ADDRESS(1331,35))</f>
        <v>0</v>
      </c>
      <c r="AJ1332">
        <f>INDIRECT(ADDRESS(1332,35))+INDIRECT(ADDRESS(1330,36))-INDIRECT(ADDRESS(1331,36))</f>
        <v>0</v>
      </c>
      <c r="AK1332">
        <f>INDIRECT(ADDRESS(1332,36))+INDIRECT(ADDRESS(1330,37))-INDIRECT(ADDRESS(1331,37))</f>
        <v>0</v>
      </c>
      <c r="AL1332">
        <f>INDIRECT(ADDRESS(1332,37))+INDIRECT(ADDRESS(1330,38))-INDIRECT(ADDRESS(1331,38))</f>
        <v>0</v>
      </c>
      <c r="AM1332">
        <f>INDIRECT(ADDRESS(1332,38))+INDIRECT(ADDRESS(1330,39))-INDIRECT(ADDRESS(1331,39))</f>
        <v>0</v>
      </c>
      <c r="AN1332">
        <f>INDIRECT(ADDRESS(1332,39))+INDIRECT(ADDRESS(1330,40))-INDIRECT(ADDRESS(1331,40))</f>
        <v>0</v>
      </c>
      <c r="AO1332">
        <f>SUM(INDIRECT(ADDRESS(1331,8)):INDIRECT(ADDRESS(1331,39)))</f>
        <v>0</v>
      </c>
    </row>
    <row r="1333" spans="1:41">
      <c r="A1333" t="s">
        <v>185</v>
      </c>
      <c r="B1333" t="s">
        <v>661</v>
      </c>
      <c r="C1333" t="s">
        <v>662</v>
      </c>
      <c r="E1333">
        <v>1</v>
      </c>
      <c r="I1333" t="s">
        <v>177</v>
      </c>
    </row>
    <row r="1334" spans="1:41">
      <c r="I1334" t="s">
        <v>178</v>
      </c>
      <c r="J1334">
        <f>IFERROR(VLOOKUP("906-961000-110",B:AB,1+8,0),0)</f>
        <v>0</v>
      </c>
      <c r="K1334">
        <f>IFERROR(VLOOKUP("906-961000-110",B:AB,2+8,0),0)</f>
        <v>0</v>
      </c>
      <c r="L1334">
        <f>IFERROR(VLOOKUP("906-961000-110",B:AB,3+8,0),0)</f>
        <v>0</v>
      </c>
      <c r="M1334">
        <f>IFERROR(VLOOKUP("906-961000-110",B:AB,4+8,0),0)</f>
        <v>0</v>
      </c>
      <c r="N1334">
        <f>IFERROR(VLOOKUP("906-961000-110",B:AB,5+8,0),0)</f>
        <v>0</v>
      </c>
      <c r="O1334">
        <f>IFERROR(VLOOKUP("906-961000-110",B:AB,6+8,0),0)</f>
        <v>0</v>
      </c>
      <c r="P1334">
        <f>IFERROR(VLOOKUP("906-961000-110",B:AB,7+8,0),0)</f>
        <v>0</v>
      </c>
      <c r="Q1334">
        <f>IFERROR(VLOOKUP("906-961000-110",B:AB,8+8,0),0)</f>
        <v>0</v>
      </c>
      <c r="R1334">
        <f>IFERROR(VLOOKUP("906-961000-110",B:AB,9+8,0),0)</f>
        <v>0</v>
      </c>
      <c r="S1334">
        <f>IFERROR(VLOOKUP("906-961000-110",B:AB,10+8,0),0)</f>
        <v>0</v>
      </c>
      <c r="T1334">
        <f>IFERROR(VLOOKUP("906-961000-110",B:AB,11+8,0),0)</f>
        <v>0</v>
      </c>
      <c r="U1334">
        <f>IFERROR(VLOOKUP("906-961000-110",B:AB,12+8,0),0)</f>
        <v>0</v>
      </c>
      <c r="V1334">
        <f>IFERROR(VLOOKUP("906-961000-110",B:AB,13+8,0),0)</f>
        <v>0</v>
      </c>
      <c r="W1334">
        <f>IFERROR(VLOOKUP("906-961000-110",B:AB,14+8,0),0)</f>
        <v>0</v>
      </c>
      <c r="X1334">
        <f>IFERROR(VLOOKUP("906-961000-110",B:AB,15+8,0),0)</f>
        <v>0</v>
      </c>
      <c r="Y1334">
        <f>IFERROR(VLOOKUP("906-961000-110",B:AB,16+8,0),0)</f>
        <v>0</v>
      </c>
      <c r="Z1334">
        <f>IFERROR(VLOOKUP("906-961000-110",B:AB,17+8,0),0)</f>
        <v>0</v>
      </c>
      <c r="AA1334">
        <f>IFERROR(VLOOKUP("906-961000-110",B:AB,18+8,0),0)</f>
        <v>0</v>
      </c>
      <c r="AB1334">
        <f>IFERROR(VLOOKUP("906-961000-110",B:AB,19+8,0),0)</f>
        <v>0</v>
      </c>
      <c r="AC1334">
        <f>IFERROR(VLOOKUP("906-961000-110",B:AB,20+8,0),0)</f>
        <v>0</v>
      </c>
      <c r="AD1334">
        <f>IFERROR(VLOOKUP("906-961000-110",B:AB,21+8,0),0)</f>
        <v>0</v>
      </c>
      <c r="AE1334">
        <f>IFERROR(VLOOKUP("906-961000-110",B:AB,22+8,0),0)</f>
        <v>0</v>
      </c>
      <c r="AF1334">
        <f>IFERROR(VLOOKUP("906-961000-110",B:AB,23+8,0),0)</f>
        <v>0</v>
      </c>
      <c r="AG1334">
        <f>IFERROR(VLOOKUP("906-961000-110",B:AB,24+8,0),0)</f>
        <v>0</v>
      </c>
      <c r="AH1334">
        <f>IFERROR(VLOOKUP("906-961000-110",B:AB,25+8,0),0)</f>
        <v>0</v>
      </c>
      <c r="AI1334">
        <f>IFERROR(VLOOKUP("906-961000-110",B:AB,26+8,0),0)</f>
        <v>0</v>
      </c>
      <c r="AJ1334">
        <f>IFERROR(VLOOKUP("906-961000-110",B:AB,27+8,0),0)</f>
        <v>0</v>
      </c>
      <c r="AK1334">
        <f>IFERROR(VLOOKUP("906-961000-110",B:AB,28+8,0),0)</f>
        <v>0</v>
      </c>
      <c r="AL1334">
        <f>IFERROR(VLOOKUP("906-961000-110",B:AB,29+8,0),0)</f>
        <v>0</v>
      </c>
      <c r="AM1334">
        <f>IFERROR(VLOOKUP("906-961000-110",B:AB,30+8,0),0)</f>
        <v>0</v>
      </c>
      <c r="AN1334">
        <f>IFERROR(VLOOKUP("906-961000-110",B:AB,31+8,0),0)</f>
        <v>0</v>
      </c>
      <c r="AO1334">
        <f>SUN(INDIRECT(ADDRESS(1333,8)):INDIRECT(ADDRESS(1333,39)))</f>
        <v>0</v>
      </c>
    </row>
    <row r="1335" spans="1:41">
      <c r="H1335" t="s">
        <v>179</v>
      </c>
      <c r="J1335">
        <f>INDIRECT(ADDRESS(1335,9))+INDIRECT(ADDRESS(1333,10))-INDIRECT(ADDRESS(1334,10))</f>
        <v>0</v>
      </c>
      <c r="K1335">
        <f>INDIRECT(ADDRESS(1335,10))+INDIRECT(ADDRESS(1333,11))-INDIRECT(ADDRESS(1334,11))</f>
        <v>0</v>
      </c>
      <c r="L1335">
        <f>INDIRECT(ADDRESS(1335,11))+INDIRECT(ADDRESS(1333,12))-INDIRECT(ADDRESS(1334,12))</f>
        <v>0</v>
      </c>
      <c r="M1335">
        <f>INDIRECT(ADDRESS(1335,12))+INDIRECT(ADDRESS(1333,13))-INDIRECT(ADDRESS(1334,13))</f>
        <v>0</v>
      </c>
      <c r="N1335">
        <f>INDIRECT(ADDRESS(1335,13))+INDIRECT(ADDRESS(1333,14))-INDIRECT(ADDRESS(1334,14))</f>
        <v>0</v>
      </c>
      <c r="O1335">
        <f>INDIRECT(ADDRESS(1335,14))+INDIRECT(ADDRESS(1333,15))-INDIRECT(ADDRESS(1334,15))</f>
        <v>0</v>
      </c>
      <c r="P1335">
        <f>INDIRECT(ADDRESS(1335,15))+INDIRECT(ADDRESS(1333,16))-INDIRECT(ADDRESS(1334,16))</f>
        <v>0</v>
      </c>
      <c r="Q1335">
        <f>INDIRECT(ADDRESS(1335,16))+INDIRECT(ADDRESS(1333,17))-INDIRECT(ADDRESS(1334,17))</f>
        <v>0</v>
      </c>
      <c r="R1335">
        <f>INDIRECT(ADDRESS(1335,17))+INDIRECT(ADDRESS(1333,18))-INDIRECT(ADDRESS(1334,18))</f>
        <v>0</v>
      </c>
      <c r="S1335">
        <f>INDIRECT(ADDRESS(1335,18))+INDIRECT(ADDRESS(1333,19))-INDIRECT(ADDRESS(1334,19))</f>
        <v>0</v>
      </c>
      <c r="T1335">
        <f>INDIRECT(ADDRESS(1335,19))+INDIRECT(ADDRESS(1333,20))-INDIRECT(ADDRESS(1334,20))</f>
        <v>0</v>
      </c>
      <c r="U1335">
        <f>INDIRECT(ADDRESS(1335,20))+INDIRECT(ADDRESS(1333,21))-INDIRECT(ADDRESS(1334,21))</f>
        <v>0</v>
      </c>
      <c r="V1335">
        <f>INDIRECT(ADDRESS(1335,21))+INDIRECT(ADDRESS(1333,22))-INDIRECT(ADDRESS(1334,22))</f>
        <v>0</v>
      </c>
      <c r="W1335">
        <f>INDIRECT(ADDRESS(1335,22))+INDIRECT(ADDRESS(1333,23))-INDIRECT(ADDRESS(1334,23))</f>
        <v>0</v>
      </c>
      <c r="X1335">
        <f>INDIRECT(ADDRESS(1335,23))+INDIRECT(ADDRESS(1333,24))-INDIRECT(ADDRESS(1334,24))</f>
        <v>0</v>
      </c>
      <c r="Y1335">
        <f>INDIRECT(ADDRESS(1335,24))+INDIRECT(ADDRESS(1333,25))-INDIRECT(ADDRESS(1334,25))</f>
        <v>0</v>
      </c>
      <c r="Z1335">
        <f>INDIRECT(ADDRESS(1335,25))+INDIRECT(ADDRESS(1333,26))-INDIRECT(ADDRESS(1334,26))</f>
        <v>0</v>
      </c>
      <c r="AA1335">
        <f>INDIRECT(ADDRESS(1335,26))+INDIRECT(ADDRESS(1333,27))-INDIRECT(ADDRESS(1334,27))</f>
        <v>0</v>
      </c>
      <c r="AB1335">
        <f>INDIRECT(ADDRESS(1335,27))+INDIRECT(ADDRESS(1333,28))-INDIRECT(ADDRESS(1334,28))</f>
        <v>0</v>
      </c>
      <c r="AC1335">
        <f>INDIRECT(ADDRESS(1335,28))+INDIRECT(ADDRESS(1333,29))-INDIRECT(ADDRESS(1334,29))</f>
        <v>0</v>
      </c>
      <c r="AD1335">
        <f>INDIRECT(ADDRESS(1335,29))+INDIRECT(ADDRESS(1333,30))-INDIRECT(ADDRESS(1334,30))</f>
        <v>0</v>
      </c>
      <c r="AE1335">
        <f>INDIRECT(ADDRESS(1335,30))+INDIRECT(ADDRESS(1333,31))-INDIRECT(ADDRESS(1334,31))</f>
        <v>0</v>
      </c>
      <c r="AF1335">
        <f>INDIRECT(ADDRESS(1335,31))+INDIRECT(ADDRESS(1333,32))-INDIRECT(ADDRESS(1334,32))</f>
        <v>0</v>
      </c>
      <c r="AG1335">
        <f>INDIRECT(ADDRESS(1335,32))+INDIRECT(ADDRESS(1333,33))-INDIRECT(ADDRESS(1334,33))</f>
        <v>0</v>
      </c>
      <c r="AH1335">
        <f>INDIRECT(ADDRESS(1335,33))+INDIRECT(ADDRESS(1333,34))-INDIRECT(ADDRESS(1334,34))</f>
        <v>0</v>
      </c>
      <c r="AI1335">
        <f>INDIRECT(ADDRESS(1335,34))+INDIRECT(ADDRESS(1333,35))-INDIRECT(ADDRESS(1334,35))</f>
        <v>0</v>
      </c>
      <c r="AJ1335">
        <f>INDIRECT(ADDRESS(1335,35))+INDIRECT(ADDRESS(1333,36))-INDIRECT(ADDRESS(1334,36))</f>
        <v>0</v>
      </c>
      <c r="AK1335">
        <f>INDIRECT(ADDRESS(1335,36))+INDIRECT(ADDRESS(1333,37))-INDIRECT(ADDRESS(1334,37))</f>
        <v>0</v>
      </c>
      <c r="AL1335">
        <f>INDIRECT(ADDRESS(1335,37))+INDIRECT(ADDRESS(1333,38))-INDIRECT(ADDRESS(1334,38))</f>
        <v>0</v>
      </c>
      <c r="AM1335">
        <f>INDIRECT(ADDRESS(1335,38))+INDIRECT(ADDRESS(1333,39))-INDIRECT(ADDRESS(1334,39))</f>
        <v>0</v>
      </c>
      <c r="AN1335">
        <f>INDIRECT(ADDRESS(1335,39))+INDIRECT(ADDRESS(1333,40))-INDIRECT(ADDRESS(1334,40))</f>
        <v>0</v>
      </c>
      <c r="AO1335">
        <f>SUM(INDIRECT(ADDRESS(1334,8)):INDIRECT(ADDRESS(1334,39)))</f>
        <v>0</v>
      </c>
    </row>
    <row r="1336" spans="1:41">
      <c r="A1336" t="s">
        <v>185</v>
      </c>
      <c r="B1336" t="s">
        <v>663</v>
      </c>
      <c r="C1336" t="s">
        <v>664</v>
      </c>
      <c r="E1336">
        <v>2</v>
      </c>
      <c r="I1336" t="s">
        <v>177</v>
      </c>
    </row>
    <row r="1337" spans="1:41">
      <c r="I1337" t="s">
        <v>178</v>
      </c>
      <c r="J1337">
        <f>IFERROR(VLOOKUP("906-961000-110",B:AB,1+8,0),0)</f>
        <v>0</v>
      </c>
      <c r="K1337">
        <f>IFERROR(VLOOKUP("906-961000-110",B:AB,2+8,0),0)</f>
        <v>0</v>
      </c>
      <c r="L1337">
        <f>IFERROR(VLOOKUP("906-961000-110",B:AB,3+8,0),0)</f>
        <v>0</v>
      </c>
      <c r="M1337">
        <f>IFERROR(VLOOKUP("906-961000-110",B:AB,4+8,0),0)</f>
        <v>0</v>
      </c>
      <c r="N1337">
        <f>IFERROR(VLOOKUP("906-961000-110",B:AB,5+8,0),0)</f>
        <v>0</v>
      </c>
      <c r="O1337">
        <f>IFERROR(VLOOKUP("906-961000-110",B:AB,6+8,0),0)</f>
        <v>0</v>
      </c>
      <c r="P1337">
        <f>IFERROR(VLOOKUP("906-961000-110",B:AB,7+8,0),0)</f>
        <v>0</v>
      </c>
      <c r="Q1337">
        <f>IFERROR(VLOOKUP("906-961000-110",B:AB,8+8,0),0)</f>
        <v>0</v>
      </c>
      <c r="R1337">
        <f>IFERROR(VLOOKUP("906-961000-110",B:AB,9+8,0),0)</f>
        <v>0</v>
      </c>
      <c r="S1337">
        <f>IFERROR(VLOOKUP("906-961000-110",B:AB,10+8,0),0)</f>
        <v>0</v>
      </c>
      <c r="T1337">
        <f>IFERROR(VLOOKUP("906-961000-110",B:AB,11+8,0),0)</f>
        <v>0</v>
      </c>
      <c r="U1337">
        <f>IFERROR(VLOOKUP("906-961000-110",B:AB,12+8,0),0)</f>
        <v>0</v>
      </c>
      <c r="V1337">
        <f>IFERROR(VLOOKUP("906-961000-110",B:AB,13+8,0),0)</f>
        <v>0</v>
      </c>
      <c r="W1337">
        <f>IFERROR(VLOOKUP("906-961000-110",B:AB,14+8,0),0)</f>
        <v>0</v>
      </c>
      <c r="X1337">
        <f>IFERROR(VLOOKUP("906-961000-110",B:AB,15+8,0),0)</f>
        <v>0</v>
      </c>
      <c r="Y1337">
        <f>IFERROR(VLOOKUP("906-961000-110",B:AB,16+8,0),0)</f>
        <v>0</v>
      </c>
      <c r="Z1337">
        <f>IFERROR(VLOOKUP("906-961000-110",B:AB,17+8,0),0)</f>
        <v>0</v>
      </c>
      <c r="AA1337">
        <f>IFERROR(VLOOKUP("906-961000-110",B:AB,18+8,0),0)</f>
        <v>0</v>
      </c>
      <c r="AB1337">
        <f>IFERROR(VLOOKUP("906-961000-110",B:AB,19+8,0),0)</f>
        <v>0</v>
      </c>
      <c r="AC1337">
        <f>IFERROR(VLOOKUP("906-961000-110",B:AB,20+8,0),0)</f>
        <v>0</v>
      </c>
      <c r="AD1337">
        <f>IFERROR(VLOOKUP("906-961000-110",B:AB,21+8,0),0)</f>
        <v>0</v>
      </c>
      <c r="AE1337">
        <f>IFERROR(VLOOKUP("906-961000-110",B:AB,22+8,0),0)</f>
        <v>0</v>
      </c>
      <c r="AF1337">
        <f>IFERROR(VLOOKUP("906-961000-110",B:AB,23+8,0),0)</f>
        <v>0</v>
      </c>
      <c r="AG1337">
        <f>IFERROR(VLOOKUP("906-961000-110",B:AB,24+8,0),0)</f>
        <v>0</v>
      </c>
      <c r="AH1337">
        <f>IFERROR(VLOOKUP("906-961000-110",B:AB,25+8,0),0)</f>
        <v>0</v>
      </c>
      <c r="AI1337">
        <f>IFERROR(VLOOKUP("906-961000-110",B:AB,26+8,0),0)</f>
        <v>0</v>
      </c>
      <c r="AJ1337">
        <f>IFERROR(VLOOKUP("906-961000-110",B:AB,27+8,0),0)</f>
        <v>0</v>
      </c>
      <c r="AK1337">
        <f>IFERROR(VLOOKUP("906-961000-110",B:AB,28+8,0),0)</f>
        <v>0</v>
      </c>
      <c r="AL1337">
        <f>IFERROR(VLOOKUP("906-961000-110",B:AB,29+8,0),0)</f>
        <v>0</v>
      </c>
      <c r="AM1337">
        <f>IFERROR(VLOOKUP("906-961000-110",B:AB,30+8,0),0)</f>
        <v>0</v>
      </c>
      <c r="AN1337">
        <f>IFERROR(VLOOKUP("906-961000-110",B:AB,31+8,0),0)</f>
        <v>0</v>
      </c>
      <c r="AO1337">
        <f>SUN(INDIRECT(ADDRESS(1336,8)):INDIRECT(ADDRESS(1336,39)))</f>
        <v>0</v>
      </c>
    </row>
    <row r="1338" spans="1:41">
      <c r="H1338" t="s">
        <v>179</v>
      </c>
      <c r="J1338">
        <f>INDIRECT(ADDRESS(1338,9))+INDIRECT(ADDRESS(1336,10))-INDIRECT(ADDRESS(1337,10))</f>
        <v>0</v>
      </c>
      <c r="K1338">
        <f>INDIRECT(ADDRESS(1338,10))+INDIRECT(ADDRESS(1336,11))-INDIRECT(ADDRESS(1337,11))</f>
        <v>0</v>
      </c>
      <c r="L1338">
        <f>INDIRECT(ADDRESS(1338,11))+INDIRECT(ADDRESS(1336,12))-INDIRECT(ADDRESS(1337,12))</f>
        <v>0</v>
      </c>
      <c r="M1338">
        <f>INDIRECT(ADDRESS(1338,12))+INDIRECT(ADDRESS(1336,13))-INDIRECT(ADDRESS(1337,13))</f>
        <v>0</v>
      </c>
      <c r="N1338">
        <f>INDIRECT(ADDRESS(1338,13))+INDIRECT(ADDRESS(1336,14))-INDIRECT(ADDRESS(1337,14))</f>
        <v>0</v>
      </c>
      <c r="O1338">
        <f>INDIRECT(ADDRESS(1338,14))+INDIRECT(ADDRESS(1336,15))-INDIRECT(ADDRESS(1337,15))</f>
        <v>0</v>
      </c>
      <c r="P1338">
        <f>INDIRECT(ADDRESS(1338,15))+INDIRECT(ADDRESS(1336,16))-INDIRECT(ADDRESS(1337,16))</f>
        <v>0</v>
      </c>
      <c r="Q1338">
        <f>INDIRECT(ADDRESS(1338,16))+INDIRECT(ADDRESS(1336,17))-INDIRECT(ADDRESS(1337,17))</f>
        <v>0</v>
      </c>
      <c r="R1338">
        <f>INDIRECT(ADDRESS(1338,17))+INDIRECT(ADDRESS(1336,18))-INDIRECT(ADDRESS(1337,18))</f>
        <v>0</v>
      </c>
      <c r="S1338">
        <f>INDIRECT(ADDRESS(1338,18))+INDIRECT(ADDRESS(1336,19))-INDIRECT(ADDRESS(1337,19))</f>
        <v>0</v>
      </c>
      <c r="T1338">
        <f>INDIRECT(ADDRESS(1338,19))+INDIRECT(ADDRESS(1336,20))-INDIRECT(ADDRESS(1337,20))</f>
        <v>0</v>
      </c>
      <c r="U1338">
        <f>INDIRECT(ADDRESS(1338,20))+INDIRECT(ADDRESS(1336,21))-INDIRECT(ADDRESS(1337,21))</f>
        <v>0</v>
      </c>
      <c r="V1338">
        <f>INDIRECT(ADDRESS(1338,21))+INDIRECT(ADDRESS(1336,22))-INDIRECT(ADDRESS(1337,22))</f>
        <v>0</v>
      </c>
      <c r="W1338">
        <f>INDIRECT(ADDRESS(1338,22))+INDIRECT(ADDRESS(1336,23))-INDIRECT(ADDRESS(1337,23))</f>
        <v>0</v>
      </c>
      <c r="X1338">
        <f>INDIRECT(ADDRESS(1338,23))+INDIRECT(ADDRESS(1336,24))-INDIRECT(ADDRESS(1337,24))</f>
        <v>0</v>
      </c>
      <c r="Y1338">
        <f>INDIRECT(ADDRESS(1338,24))+INDIRECT(ADDRESS(1336,25))-INDIRECT(ADDRESS(1337,25))</f>
        <v>0</v>
      </c>
      <c r="Z1338">
        <f>INDIRECT(ADDRESS(1338,25))+INDIRECT(ADDRESS(1336,26))-INDIRECT(ADDRESS(1337,26))</f>
        <v>0</v>
      </c>
      <c r="AA1338">
        <f>INDIRECT(ADDRESS(1338,26))+INDIRECT(ADDRESS(1336,27))-INDIRECT(ADDRESS(1337,27))</f>
        <v>0</v>
      </c>
      <c r="AB1338">
        <f>INDIRECT(ADDRESS(1338,27))+INDIRECT(ADDRESS(1336,28))-INDIRECT(ADDRESS(1337,28))</f>
        <v>0</v>
      </c>
      <c r="AC1338">
        <f>INDIRECT(ADDRESS(1338,28))+INDIRECT(ADDRESS(1336,29))-INDIRECT(ADDRESS(1337,29))</f>
        <v>0</v>
      </c>
      <c r="AD1338">
        <f>INDIRECT(ADDRESS(1338,29))+INDIRECT(ADDRESS(1336,30))-INDIRECT(ADDRESS(1337,30))</f>
        <v>0</v>
      </c>
      <c r="AE1338">
        <f>INDIRECT(ADDRESS(1338,30))+INDIRECT(ADDRESS(1336,31))-INDIRECT(ADDRESS(1337,31))</f>
        <v>0</v>
      </c>
      <c r="AF1338">
        <f>INDIRECT(ADDRESS(1338,31))+INDIRECT(ADDRESS(1336,32))-INDIRECT(ADDRESS(1337,32))</f>
        <v>0</v>
      </c>
      <c r="AG1338">
        <f>INDIRECT(ADDRESS(1338,32))+INDIRECT(ADDRESS(1336,33))-INDIRECT(ADDRESS(1337,33))</f>
        <v>0</v>
      </c>
      <c r="AH1338">
        <f>INDIRECT(ADDRESS(1338,33))+INDIRECT(ADDRESS(1336,34))-INDIRECT(ADDRESS(1337,34))</f>
        <v>0</v>
      </c>
      <c r="AI1338">
        <f>INDIRECT(ADDRESS(1338,34))+INDIRECT(ADDRESS(1336,35))-INDIRECT(ADDRESS(1337,35))</f>
        <v>0</v>
      </c>
      <c r="AJ1338">
        <f>INDIRECT(ADDRESS(1338,35))+INDIRECT(ADDRESS(1336,36))-INDIRECT(ADDRESS(1337,36))</f>
        <v>0</v>
      </c>
      <c r="AK1338">
        <f>INDIRECT(ADDRESS(1338,36))+INDIRECT(ADDRESS(1336,37))-INDIRECT(ADDRESS(1337,37))</f>
        <v>0</v>
      </c>
      <c r="AL1338">
        <f>INDIRECT(ADDRESS(1338,37))+INDIRECT(ADDRESS(1336,38))-INDIRECT(ADDRESS(1337,38))</f>
        <v>0</v>
      </c>
      <c r="AM1338">
        <f>INDIRECT(ADDRESS(1338,38))+INDIRECT(ADDRESS(1336,39))-INDIRECT(ADDRESS(1337,39))</f>
        <v>0</v>
      </c>
      <c r="AN1338">
        <f>INDIRECT(ADDRESS(1338,39))+INDIRECT(ADDRESS(1336,40))-INDIRECT(ADDRESS(1337,40))</f>
        <v>0</v>
      </c>
      <c r="AO1338">
        <f>SUM(INDIRECT(ADDRESS(1337,8)):INDIRECT(ADDRESS(1337,39)))</f>
        <v>0</v>
      </c>
    </row>
    <row r="1339" spans="1:41">
      <c r="A1339" t="s">
        <v>185</v>
      </c>
      <c r="B1339" t="s">
        <v>665</v>
      </c>
      <c r="C1339" t="s">
        <v>666</v>
      </c>
      <c r="E1339">
        <v>1</v>
      </c>
      <c r="I1339" t="s">
        <v>177</v>
      </c>
    </row>
    <row r="1340" spans="1:41">
      <c r="I1340" t="s">
        <v>178</v>
      </c>
      <c r="J1340">
        <f>IFERROR(VLOOKUP("906-961000-110",B:AB,1+8,0),0)</f>
        <v>0</v>
      </c>
      <c r="K1340">
        <f>IFERROR(VLOOKUP("906-961000-110",B:AB,2+8,0),0)</f>
        <v>0</v>
      </c>
      <c r="L1340">
        <f>IFERROR(VLOOKUP("906-961000-110",B:AB,3+8,0),0)</f>
        <v>0</v>
      </c>
      <c r="M1340">
        <f>IFERROR(VLOOKUP("906-961000-110",B:AB,4+8,0),0)</f>
        <v>0</v>
      </c>
      <c r="N1340">
        <f>IFERROR(VLOOKUP("906-961000-110",B:AB,5+8,0),0)</f>
        <v>0</v>
      </c>
      <c r="O1340">
        <f>IFERROR(VLOOKUP("906-961000-110",B:AB,6+8,0),0)</f>
        <v>0</v>
      </c>
      <c r="P1340">
        <f>IFERROR(VLOOKUP("906-961000-110",B:AB,7+8,0),0)</f>
        <v>0</v>
      </c>
      <c r="Q1340">
        <f>IFERROR(VLOOKUP("906-961000-110",B:AB,8+8,0),0)</f>
        <v>0</v>
      </c>
      <c r="R1340">
        <f>IFERROR(VLOOKUP("906-961000-110",B:AB,9+8,0),0)</f>
        <v>0</v>
      </c>
      <c r="S1340">
        <f>IFERROR(VLOOKUP("906-961000-110",B:AB,10+8,0),0)</f>
        <v>0</v>
      </c>
      <c r="T1340">
        <f>IFERROR(VLOOKUP("906-961000-110",B:AB,11+8,0),0)</f>
        <v>0</v>
      </c>
      <c r="U1340">
        <f>IFERROR(VLOOKUP("906-961000-110",B:AB,12+8,0),0)</f>
        <v>0</v>
      </c>
      <c r="V1340">
        <f>IFERROR(VLOOKUP("906-961000-110",B:AB,13+8,0),0)</f>
        <v>0</v>
      </c>
      <c r="W1340">
        <f>IFERROR(VLOOKUP("906-961000-110",B:AB,14+8,0),0)</f>
        <v>0</v>
      </c>
      <c r="X1340">
        <f>IFERROR(VLOOKUP("906-961000-110",B:AB,15+8,0),0)</f>
        <v>0</v>
      </c>
      <c r="Y1340">
        <f>IFERROR(VLOOKUP("906-961000-110",B:AB,16+8,0),0)</f>
        <v>0</v>
      </c>
      <c r="Z1340">
        <f>IFERROR(VLOOKUP("906-961000-110",B:AB,17+8,0),0)</f>
        <v>0</v>
      </c>
      <c r="AA1340">
        <f>IFERROR(VLOOKUP("906-961000-110",B:AB,18+8,0),0)</f>
        <v>0</v>
      </c>
      <c r="AB1340">
        <f>IFERROR(VLOOKUP("906-961000-110",B:AB,19+8,0),0)</f>
        <v>0</v>
      </c>
      <c r="AC1340">
        <f>IFERROR(VLOOKUP("906-961000-110",B:AB,20+8,0),0)</f>
        <v>0</v>
      </c>
      <c r="AD1340">
        <f>IFERROR(VLOOKUP("906-961000-110",B:AB,21+8,0),0)</f>
        <v>0</v>
      </c>
      <c r="AE1340">
        <f>IFERROR(VLOOKUP("906-961000-110",B:AB,22+8,0),0)</f>
        <v>0</v>
      </c>
      <c r="AF1340">
        <f>IFERROR(VLOOKUP("906-961000-110",B:AB,23+8,0),0)</f>
        <v>0</v>
      </c>
      <c r="AG1340">
        <f>IFERROR(VLOOKUP("906-961000-110",B:AB,24+8,0),0)</f>
        <v>0</v>
      </c>
      <c r="AH1340">
        <f>IFERROR(VLOOKUP("906-961000-110",B:AB,25+8,0),0)</f>
        <v>0</v>
      </c>
      <c r="AI1340">
        <f>IFERROR(VLOOKUP("906-961000-110",B:AB,26+8,0),0)</f>
        <v>0</v>
      </c>
      <c r="AJ1340">
        <f>IFERROR(VLOOKUP("906-961000-110",B:AB,27+8,0),0)</f>
        <v>0</v>
      </c>
      <c r="AK1340">
        <f>IFERROR(VLOOKUP("906-961000-110",B:AB,28+8,0),0)</f>
        <v>0</v>
      </c>
      <c r="AL1340">
        <f>IFERROR(VLOOKUP("906-961000-110",B:AB,29+8,0),0)</f>
        <v>0</v>
      </c>
      <c r="AM1340">
        <f>IFERROR(VLOOKUP("906-961000-110",B:AB,30+8,0),0)</f>
        <v>0</v>
      </c>
      <c r="AN1340">
        <f>IFERROR(VLOOKUP("906-961000-110",B:AB,31+8,0),0)</f>
        <v>0</v>
      </c>
      <c r="AO1340">
        <f>SUN(INDIRECT(ADDRESS(1339,8)):INDIRECT(ADDRESS(1339,39)))</f>
        <v>0</v>
      </c>
    </row>
    <row r="1341" spans="1:41">
      <c r="H1341" t="s">
        <v>179</v>
      </c>
      <c r="J1341">
        <f>INDIRECT(ADDRESS(1341,9))+INDIRECT(ADDRESS(1339,10))-INDIRECT(ADDRESS(1340,10))</f>
        <v>0</v>
      </c>
      <c r="K1341">
        <f>INDIRECT(ADDRESS(1341,10))+INDIRECT(ADDRESS(1339,11))-INDIRECT(ADDRESS(1340,11))</f>
        <v>0</v>
      </c>
      <c r="L1341">
        <f>INDIRECT(ADDRESS(1341,11))+INDIRECT(ADDRESS(1339,12))-INDIRECT(ADDRESS(1340,12))</f>
        <v>0</v>
      </c>
      <c r="M1341">
        <f>INDIRECT(ADDRESS(1341,12))+INDIRECT(ADDRESS(1339,13))-INDIRECT(ADDRESS(1340,13))</f>
        <v>0</v>
      </c>
      <c r="N1341">
        <f>INDIRECT(ADDRESS(1341,13))+INDIRECT(ADDRESS(1339,14))-INDIRECT(ADDRESS(1340,14))</f>
        <v>0</v>
      </c>
      <c r="O1341">
        <f>INDIRECT(ADDRESS(1341,14))+INDIRECT(ADDRESS(1339,15))-INDIRECT(ADDRESS(1340,15))</f>
        <v>0</v>
      </c>
      <c r="P1341">
        <f>INDIRECT(ADDRESS(1341,15))+INDIRECT(ADDRESS(1339,16))-INDIRECT(ADDRESS(1340,16))</f>
        <v>0</v>
      </c>
      <c r="Q1341">
        <f>INDIRECT(ADDRESS(1341,16))+INDIRECT(ADDRESS(1339,17))-INDIRECT(ADDRESS(1340,17))</f>
        <v>0</v>
      </c>
      <c r="R1341">
        <f>INDIRECT(ADDRESS(1341,17))+INDIRECT(ADDRESS(1339,18))-INDIRECT(ADDRESS(1340,18))</f>
        <v>0</v>
      </c>
      <c r="S1341">
        <f>INDIRECT(ADDRESS(1341,18))+INDIRECT(ADDRESS(1339,19))-INDIRECT(ADDRESS(1340,19))</f>
        <v>0</v>
      </c>
      <c r="T1341">
        <f>INDIRECT(ADDRESS(1341,19))+INDIRECT(ADDRESS(1339,20))-INDIRECT(ADDRESS(1340,20))</f>
        <v>0</v>
      </c>
      <c r="U1341">
        <f>INDIRECT(ADDRESS(1341,20))+INDIRECT(ADDRESS(1339,21))-INDIRECT(ADDRESS(1340,21))</f>
        <v>0</v>
      </c>
      <c r="V1341">
        <f>INDIRECT(ADDRESS(1341,21))+INDIRECT(ADDRESS(1339,22))-INDIRECT(ADDRESS(1340,22))</f>
        <v>0</v>
      </c>
      <c r="W1341">
        <f>INDIRECT(ADDRESS(1341,22))+INDIRECT(ADDRESS(1339,23))-INDIRECT(ADDRESS(1340,23))</f>
        <v>0</v>
      </c>
      <c r="X1341">
        <f>INDIRECT(ADDRESS(1341,23))+INDIRECT(ADDRESS(1339,24))-INDIRECT(ADDRESS(1340,24))</f>
        <v>0</v>
      </c>
      <c r="Y1341">
        <f>INDIRECT(ADDRESS(1341,24))+INDIRECT(ADDRESS(1339,25))-INDIRECT(ADDRESS(1340,25))</f>
        <v>0</v>
      </c>
      <c r="Z1341">
        <f>INDIRECT(ADDRESS(1341,25))+INDIRECT(ADDRESS(1339,26))-INDIRECT(ADDRESS(1340,26))</f>
        <v>0</v>
      </c>
      <c r="AA1341">
        <f>INDIRECT(ADDRESS(1341,26))+INDIRECT(ADDRESS(1339,27))-INDIRECT(ADDRESS(1340,27))</f>
        <v>0</v>
      </c>
      <c r="AB1341">
        <f>INDIRECT(ADDRESS(1341,27))+INDIRECT(ADDRESS(1339,28))-INDIRECT(ADDRESS(1340,28))</f>
        <v>0</v>
      </c>
      <c r="AC1341">
        <f>INDIRECT(ADDRESS(1341,28))+INDIRECT(ADDRESS(1339,29))-INDIRECT(ADDRESS(1340,29))</f>
        <v>0</v>
      </c>
      <c r="AD1341">
        <f>INDIRECT(ADDRESS(1341,29))+INDIRECT(ADDRESS(1339,30))-INDIRECT(ADDRESS(1340,30))</f>
        <v>0</v>
      </c>
      <c r="AE1341">
        <f>INDIRECT(ADDRESS(1341,30))+INDIRECT(ADDRESS(1339,31))-INDIRECT(ADDRESS(1340,31))</f>
        <v>0</v>
      </c>
      <c r="AF1341">
        <f>INDIRECT(ADDRESS(1341,31))+INDIRECT(ADDRESS(1339,32))-INDIRECT(ADDRESS(1340,32))</f>
        <v>0</v>
      </c>
      <c r="AG1341">
        <f>INDIRECT(ADDRESS(1341,32))+INDIRECT(ADDRESS(1339,33))-INDIRECT(ADDRESS(1340,33))</f>
        <v>0</v>
      </c>
      <c r="AH1341">
        <f>INDIRECT(ADDRESS(1341,33))+INDIRECT(ADDRESS(1339,34))-INDIRECT(ADDRESS(1340,34))</f>
        <v>0</v>
      </c>
      <c r="AI1341">
        <f>INDIRECT(ADDRESS(1341,34))+INDIRECT(ADDRESS(1339,35))-INDIRECT(ADDRESS(1340,35))</f>
        <v>0</v>
      </c>
      <c r="AJ1341">
        <f>INDIRECT(ADDRESS(1341,35))+INDIRECT(ADDRESS(1339,36))-INDIRECT(ADDRESS(1340,36))</f>
        <v>0</v>
      </c>
      <c r="AK1341">
        <f>INDIRECT(ADDRESS(1341,36))+INDIRECT(ADDRESS(1339,37))-INDIRECT(ADDRESS(1340,37))</f>
        <v>0</v>
      </c>
      <c r="AL1341">
        <f>INDIRECT(ADDRESS(1341,37))+INDIRECT(ADDRESS(1339,38))-INDIRECT(ADDRESS(1340,38))</f>
        <v>0</v>
      </c>
      <c r="AM1341">
        <f>INDIRECT(ADDRESS(1341,38))+INDIRECT(ADDRESS(1339,39))-INDIRECT(ADDRESS(1340,39))</f>
        <v>0</v>
      </c>
      <c r="AN1341">
        <f>INDIRECT(ADDRESS(1341,39))+INDIRECT(ADDRESS(1339,40))-INDIRECT(ADDRESS(1340,40))</f>
        <v>0</v>
      </c>
      <c r="AO1341">
        <f>SUM(INDIRECT(ADDRESS(1340,8)):INDIRECT(ADDRESS(1340,39)))</f>
        <v>0</v>
      </c>
    </row>
    <row r="1342" spans="1:41">
      <c r="A1342" t="s">
        <v>8</v>
      </c>
      <c r="B1342" t="s">
        <v>110</v>
      </c>
      <c r="C1342" t="s">
        <v>111</v>
      </c>
      <c r="E1342">
        <v>1</v>
      </c>
      <c r="I1342" t="s">
        <v>177</v>
      </c>
    </row>
    <row r="1343" spans="1:41">
      <c r="I1343" t="s">
        <v>178</v>
      </c>
      <c r="J1343">
        <f>IFERROR(VLOOKUP("906-424348-110",Out!B:AB,1+8,0),0)</f>
        <v>0</v>
      </c>
      <c r="K1343">
        <f>IFERROR(VLOOKUP("906-424348-110",Out!B:AB,2+8,0),0)</f>
        <v>0</v>
      </c>
      <c r="L1343">
        <f>IFERROR(VLOOKUP("906-424348-110",Out!B:AB,3+8,0),0)</f>
        <v>0</v>
      </c>
      <c r="M1343">
        <f>IFERROR(VLOOKUP("906-424348-110",Out!B:AB,4+8,0),0)</f>
        <v>0</v>
      </c>
      <c r="N1343">
        <f>IFERROR(VLOOKUP("906-424348-110",Out!B:AB,5+8,0),0)</f>
        <v>0</v>
      </c>
      <c r="O1343">
        <f>IFERROR(VLOOKUP("906-424348-110",Out!B:AB,6+8,0),0)</f>
        <v>0</v>
      </c>
      <c r="P1343">
        <f>IFERROR(VLOOKUP("906-424348-110",Out!B:AB,7+8,0),0)</f>
        <v>0</v>
      </c>
      <c r="Q1343">
        <f>IFERROR(VLOOKUP("906-424348-110",Out!B:AB,8+8,0),0)</f>
        <v>0</v>
      </c>
      <c r="R1343">
        <f>IFERROR(VLOOKUP("906-424348-110",Out!B:AB,9+8,0),0)</f>
        <v>0</v>
      </c>
      <c r="S1343">
        <f>IFERROR(VLOOKUP("906-424348-110",Out!B:AB,10+8,0),0)</f>
        <v>0</v>
      </c>
      <c r="T1343">
        <f>IFERROR(VLOOKUP("906-424348-110",Out!B:AB,11+8,0),0)</f>
        <v>0</v>
      </c>
      <c r="U1343">
        <f>IFERROR(VLOOKUP("906-424348-110",Out!B:AB,12+8,0),0)</f>
        <v>0</v>
      </c>
      <c r="V1343">
        <f>IFERROR(VLOOKUP("906-424348-110",Out!B:AB,13+8,0),0)</f>
        <v>0</v>
      </c>
      <c r="W1343">
        <f>IFERROR(VLOOKUP("906-424348-110",Out!B:AB,14+8,0),0)</f>
        <v>0</v>
      </c>
      <c r="X1343">
        <f>IFERROR(VLOOKUP("906-424348-110",Out!B:AB,15+8,0),0)</f>
        <v>0</v>
      </c>
      <c r="Y1343">
        <f>IFERROR(VLOOKUP("906-424348-110",Out!B:AB,16+8,0),0)</f>
        <v>0</v>
      </c>
      <c r="Z1343">
        <f>IFERROR(VLOOKUP("906-424348-110",Out!B:AB,17+8,0),0)</f>
        <v>0</v>
      </c>
      <c r="AA1343">
        <f>IFERROR(VLOOKUP("906-424348-110",Out!B:AB,18+8,0),0)</f>
        <v>0</v>
      </c>
      <c r="AB1343">
        <f>IFERROR(VLOOKUP("906-424348-110",Out!B:AB,19+8,0),0)</f>
        <v>0</v>
      </c>
      <c r="AC1343">
        <f>IFERROR(VLOOKUP("906-424348-110",Out!B:AB,20+8,0),0)</f>
        <v>0</v>
      </c>
      <c r="AD1343">
        <f>IFERROR(VLOOKUP("906-424348-110",Out!B:AB,21+8,0),0)</f>
        <v>0</v>
      </c>
      <c r="AE1343">
        <f>IFERROR(VLOOKUP("906-424348-110",Out!B:AB,22+8,0),0)</f>
        <v>0</v>
      </c>
      <c r="AF1343">
        <f>IFERROR(VLOOKUP("906-424348-110",Out!B:AB,23+8,0),0)</f>
        <v>0</v>
      </c>
      <c r="AG1343">
        <f>IFERROR(VLOOKUP("906-424348-110",Out!B:AB,24+8,0),0)</f>
        <v>0</v>
      </c>
      <c r="AH1343">
        <f>IFERROR(VLOOKUP("906-424348-110",Out!B:AB,25+8,0),0)</f>
        <v>0</v>
      </c>
      <c r="AI1343">
        <f>IFERROR(VLOOKUP("906-424348-110",Out!B:AB,26+8,0),0)</f>
        <v>0</v>
      </c>
      <c r="AJ1343">
        <f>IFERROR(VLOOKUP("906-424348-110",Out!B:AB,27+8,0),0)</f>
        <v>0</v>
      </c>
      <c r="AK1343">
        <f>IFERROR(VLOOKUP("906-424348-110",Out!B:AB,28+8,0),0)</f>
        <v>0</v>
      </c>
      <c r="AL1343">
        <f>IFERROR(VLOOKUP("906-424348-110",Out!B:AB,29+8,0),0)</f>
        <v>0</v>
      </c>
      <c r="AM1343">
        <f>IFERROR(VLOOKUP("906-424348-110",Out!B:AB,30+8,0),0)</f>
        <v>0</v>
      </c>
      <c r="AN1343">
        <f>IFERROR(VLOOKUP("906-424348-110",Out!B:AB,31+8,0),0)</f>
        <v>0</v>
      </c>
      <c r="AO1343">
        <f>SUN(INDIRECT(ADDRESS(1342,8)):INDIRECT(ADDRESS(1342,39)))</f>
        <v>0</v>
      </c>
    </row>
    <row r="1344" spans="1:41">
      <c r="H1344" t="s">
        <v>179</v>
      </c>
      <c r="J1344">
        <f>INDIRECT(ADDRESS(1344,9))+INDIRECT(ADDRESS(1342,10))-INDIRECT(ADDRESS(1343,10))</f>
        <v>0</v>
      </c>
      <c r="K1344">
        <f>INDIRECT(ADDRESS(1344,10))+INDIRECT(ADDRESS(1342,11))-INDIRECT(ADDRESS(1343,11))</f>
        <v>0</v>
      </c>
      <c r="L1344">
        <f>INDIRECT(ADDRESS(1344,11))+INDIRECT(ADDRESS(1342,12))-INDIRECT(ADDRESS(1343,12))</f>
        <v>0</v>
      </c>
      <c r="M1344">
        <f>INDIRECT(ADDRESS(1344,12))+INDIRECT(ADDRESS(1342,13))-INDIRECT(ADDRESS(1343,13))</f>
        <v>0</v>
      </c>
      <c r="N1344">
        <f>INDIRECT(ADDRESS(1344,13))+INDIRECT(ADDRESS(1342,14))-INDIRECT(ADDRESS(1343,14))</f>
        <v>0</v>
      </c>
      <c r="O1344">
        <f>INDIRECT(ADDRESS(1344,14))+INDIRECT(ADDRESS(1342,15))-INDIRECT(ADDRESS(1343,15))</f>
        <v>0</v>
      </c>
      <c r="P1344">
        <f>INDIRECT(ADDRESS(1344,15))+INDIRECT(ADDRESS(1342,16))-INDIRECT(ADDRESS(1343,16))</f>
        <v>0</v>
      </c>
      <c r="Q1344">
        <f>INDIRECT(ADDRESS(1344,16))+INDIRECT(ADDRESS(1342,17))-INDIRECT(ADDRESS(1343,17))</f>
        <v>0</v>
      </c>
      <c r="R1344">
        <f>INDIRECT(ADDRESS(1344,17))+INDIRECT(ADDRESS(1342,18))-INDIRECT(ADDRESS(1343,18))</f>
        <v>0</v>
      </c>
      <c r="S1344">
        <f>INDIRECT(ADDRESS(1344,18))+INDIRECT(ADDRESS(1342,19))-INDIRECT(ADDRESS(1343,19))</f>
        <v>0</v>
      </c>
      <c r="T1344">
        <f>INDIRECT(ADDRESS(1344,19))+INDIRECT(ADDRESS(1342,20))-INDIRECT(ADDRESS(1343,20))</f>
        <v>0</v>
      </c>
      <c r="U1344">
        <f>INDIRECT(ADDRESS(1344,20))+INDIRECT(ADDRESS(1342,21))-INDIRECT(ADDRESS(1343,21))</f>
        <v>0</v>
      </c>
      <c r="V1344">
        <f>INDIRECT(ADDRESS(1344,21))+INDIRECT(ADDRESS(1342,22))-INDIRECT(ADDRESS(1343,22))</f>
        <v>0</v>
      </c>
      <c r="W1344">
        <f>INDIRECT(ADDRESS(1344,22))+INDIRECT(ADDRESS(1342,23))-INDIRECT(ADDRESS(1343,23))</f>
        <v>0</v>
      </c>
      <c r="X1344">
        <f>INDIRECT(ADDRESS(1344,23))+INDIRECT(ADDRESS(1342,24))-INDIRECT(ADDRESS(1343,24))</f>
        <v>0</v>
      </c>
      <c r="Y1344">
        <f>INDIRECT(ADDRESS(1344,24))+INDIRECT(ADDRESS(1342,25))-INDIRECT(ADDRESS(1343,25))</f>
        <v>0</v>
      </c>
      <c r="Z1344">
        <f>INDIRECT(ADDRESS(1344,25))+INDIRECT(ADDRESS(1342,26))-INDIRECT(ADDRESS(1343,26))</f>
        <v>0</v>
      </c>
      <c r="AA1344">
        <f>INDIRECT(ADDRESS(1344,26))+INDIRECT(ADDRESS(1342,27))-INDIRECT(ADDRESS(1343,27))</f>
        <v>0</v>
      </c>
      <c r="AB1344">
        <f>INDIRECT(ADDRESS(1344,27))+INDIRECT(ADDRESS(1342,28))-INDIRECT(ADDRESS(1343,28))</f>
        <v>0</v>
      </c>
      <c r="AC1344">
        <f>INDIRECT(ADDRESS(1344,28))+INDIRECT(ADDRESS(1342,29))-INDIRECT(ADDRESS(1343,29))</f>
        <v>0</v>
      </c>
      <c r="AD1344">
        <f>INDIRECT(ADDRESS(1344,29))+INDIRECT(ADDRESS(1342,30))-INDIRECT(ADDRESS(1343,30))</f>
        <v>0</v>
      </c>
      <c r="AE1344">
        <f>INDIRECT(ADDRESS(1344,30))+INDIRECT(ADDRESS(1342,31))-INDIRECT(ADDRESS(1343,31))</f>
        <v>0</v>
      </c>
      <c r="AF1344">
        <f>INDIRECT(ADDRESS(1344,31))+INDIRECT(ADDRESS(1342,32))-INDIRECT(ADDRESS(1343,32))</f>
        <v>0</v>
      </c>
      <c r="AG1344">
        <f>INDIRECT(ADDRESS(1344,32))+INDIRECT(ADDRESS(1342,33))-INDIRECT(ADDRESS(1343,33))</f>
        <v>0</v>
      </c>
      <c r="AH1344">
        <f>INDIRECT(ADDRESS(1344,33))+INDIRECT(ADDRESS(1342,34))-INDIRECT(ADDRESS(1343,34))</f>
        <v>0</v>
      </c>
      <c r="AI1344">
        <f>INDIRECT(ADDRESS(1344,34))+INDIRECT(ADDRESS(1342,35))-INDIRECT(ADDRESS(1343,35))</f>
        <v>0</v>
      </c>
      <c r="AJ1344">
        <f>INDIRECT(ADDRESS(1344,35))+INDIRECT(ADDRESS(1342,36))-INDIRECT(ADDRESS(1343,36))</f>
        <v>0</v>
      </c>
      <c r="AK1344">
        <f>INDIRECT(ADDRESS(1344,36))+INDIRECT(ADDRESS(1342,37))-INDIRECT(ADDRESS(1343,37))</f>
        <v>0</v>
      </c>
      <c r="AL1344">
        <f>INDIRECT(ADDRESS(1344,37))+INDIRECT(ADDRESS(1342,38))-INDIRECT(ADDRESS(1343,38))</f>
        <v>0</v>
      </c>
      <c r="AM1344">
        <f>INDIRECT(ADDRESS(1344,38))+INDIRECT(ADDRESS(1342,39))-INDIRECT(ADDRESS(1343,39))</f>
        <v>0</v>
      </c>
      <c r="AN1344">
        <f>INDIRECT(ADDRESS(1344,39))+INDIRECT(ADDRESS(1342,40))-INDIRECT(ADDRESS(1343,40))</f>
        <v>0</v>
      </c>
      <c r="AO1344">
        <f>SUM(INDIRECT(ADDRESS(1343,8)):INDIRECT(ADDRESS(1343,39)))</f>
        <v>0</v>
      </c>
    </row>
    <row r="1345" spans="1:41">
      <c r="A1345" t="s">
        <v>180</v>
      </c>
      <c r="B1345" t="s">
        <v>667</v>
      </c>
      <c r="C1345" t="s">
        <v>585</v>
      </c>
      <c r="E1345">
        <v>1</v>
      </c>
      <c r="I1345" t="s">
        <v>177</v>
      </c>
    </row>
    <row r="1346" spans="1:41">
      <c r="I1346" t="s">
        <v>178</v>
      </c>
      <c r="J1346">
        <f>IFERROR(VLOOKUP("906-424348-110",B:AB,1+8,0),0)</f>
        <v>0</v>
      </c>
      <c r="K1346">
        <f>IFERROR(VLOOKUP("906-424348-110",B:AB,2+8,0),0)</f>
        <v>0</v>
      </c>
      <c r="L1346">
        <f>IFERROR(VLOOKUP("906-424348-110",B:AB,3+8,0),0)</f>
        <v>0</v>
      </c>
      <c r="M1346">
        <f>IFERROR(VLOOKUP("906-424348-110",B:AB,4+8,0),0)</f>
        <v>0</v>
      </c>
      <c r="N1346">
        <f>IFERROR(VLOOKUP("906-424348-110",B:AB,5+8,0),0)</f>
        <v>0</v>
      </c>
      <c r="O1346">
        <f>IFERROR(VLOOKUP("906-424348-110",B:AB,6+8,0),0)</f>
        <v>0</v>
      </c>
      <c r="P1346">
        <f>IFERROR(VLOOKUP("906-424348-110",B:AB,7+8,0),0)</f>
        <v>0</v>
      </c>
      <c r="Q1346">
        <f>IFERROR(VLOOKUP("906-424348-110",B:AB,8+8,0),0)</f>
        <v>0</v>
      </c>
      <c r="R1346">
        <f>IFERROR(VLOOKUP("906-424348-110",B:AB,9+8,0),0)</f>
        <v>0</v>
      </c>
      <c r="S1346">
        <f>IFERROR(VLOOKUP("906-424348-110",B:AB,10+8,0),0)</f>
        <v>0</v>
      </c>
      <c r="T1346">
        <f>IFERROR(VLOOKUP("906-424348-110",B:AB,11+8,0),0)</f>
        <v>0</v>
      </c>
      <c r="U1346">
        <f>IFERROR(VLOOKUP("906-424348-110",B:AB,12+8,0),0)</f>
        <v>0</v>
      </c>
      <c r="V1346">
        <f>IFERROR(VLOOKUP("906-424348-110",B:AB,13+8,0),0)</f>
        <v>0</v>
      </c>
      <c r="W1346">
        <f>IFERROR(VLOOKUP("906-424348-110",B:AB,14+8,0),0)</f>
        <v>0</v>
      </c>
      <c r="X1346">
        <f>IFERROR(VLOOKUP("906-424348-110",B:AB,15+8,0),0)</f>
        <v>0</v>
      </c>
      <c r="Y1346">
        <f>IFERROR(VLOOKUP("906-424348-110",B:AB,16+8,0),0)</f>
        <v>0</v>
      </c>
      <c r="Z1346">
        <f>IFERROR(VLOOKUP("906-424348-110",B:AB,17+8,0),0)</f>
        <v>0</v>
      </c>
      <c r="AA1346">
        <f>IFERROR(VLOOKUP("906-424348-110",B:AB,18+8,0),0)</f>
        <v>0</v>
      </c>
      <c r="AB1346">
        <f>IFERROR(VLOOKUP("906-424348-110",B:AB,19+8,0),0)</f>
        <v>0</v>
      </c>
      <c r="AC1346">
        <f>IFERROR(VLOOKUP("906-424348-110",B:AB,20+8,0),0)</f>
        <v>0</v>
      </c>
      <c r="AD1346">
        <f>IFERROR(VLOOKUP("906-424348-110",B:AB,21+8,0),0)</f>
        <v>0</v>
      </c>
      <c r="AE1346">
        <f>IFERROR(VLOOKUP("906-424348-110",B:AB,22+8,0),0)</f>
        <v>0</v>
      </c>
      <c r="AF1346">
        <f>IFERROR(VLOOKUP("906-424348-110",B:AB,23+8,0),0)</f>
        <v>0</v>
      </c>
      <c r="AG1346">
        <f>IFERROR(VLOOKUP("906-424348-110",B:AB,24+8,0),0)</f>
        <v>0</v>
      </c>
      <c r="AH1346">
        <f>IFERROR(VLOOKUP("906-424348-110",B:AB,25+8,0),0)</f>
        <v>0</v>
      </c>
      <c r="AI1346">
        <f>IFERROR(VLOOKUP("906-424348-110",B:AB,26+8,0),0)</f>
        <v>0</v>
      </c>
      <c r="AJ1346">
        <f>IFERROR(VLOOKUP("906-424348-110",B:AB,27+8,0),0)</f>
        <v>0</v>
      </c>
      <c r="AK1346">
        <f>IFERROR(VLOOKUP("906-424348-110",B:AB,28+8,0),0)</f>
        <v>0</v>
      </c>
      <c r="AL1346">
        <f>IFERROR(VLOOKUP("906-424348-110",B:AB,29+8,0),0)</f>
        <v>0</v>
      </c>
      <c r="AM1346">
        <f>IFERROR(VLOOKUP("906-424348-110",B:AB,30+8,0),0)</f>
        <v>0</v>
      </c>
      <c r="AN1346">
        <f>IFERROR(VLOOKUP("906-424348-110",B:AB,31+8,0),0)</f>
        <v>0</v>
      </c>
      <c r="AO1346">
        <f>SUN(INDIRECT(ADDRESS(1345,8)):INDIRECT(ADDRESS(1345,39)))</f>
        <v>0</v>
      </c>
    </row>
    <row r="1347" spans="1:41">
      <c r="H1347" t="s">
        <v>179</v>
      </c>
      <c r="J1347">
        <f>INDIRECT(ADDRESS(1347,9))+INDIRECT(ADDRESS(1345,10))-INDIRECT(ADDRESS(1346,10))</f>
        <v>0</v>
      </c>
      <c r="K1347">
        <f>INDIRECT(ADDRESS(1347,10))+INDIRECT(ADDRESS(1345,11))-INDIRECT(ADDRESS(1346,11))</f>
        <v>0</v>
      </c>
      <c r="L1347">
        <f>INDIRECT(ADDRESS(1347,11))+INDIRECT(ADDRESS(1345,12))-INDIRECT(ADDRESS(1346,12))</f>
        <v>0</v>
      </c>
      <c r="M1347">
        <f>INDIRECT(ADDRESS(1347,12))+INDIRECT(ADDRESS(1345,13))-INDIRECT(ADDRESS(1346,13))</f>
        <v>0</v>
      </c>
      <c r="N1347">
        <f>INDIRECT(ADDRESS(1347,13))+INDIRECT(ADDRESS(1345,14))-INDIRECT(ADDRESS(1346,14))</f>
        <v>0</v>
      </c>
      <c r="O1347">
        <f>INDIRECT(ADDRESS(1347,14))+INDIRECT(ADDRESS(1345,15))-INDIRECT(ADDRESS(1346,15))</f>
        <v>0</v>
      </c>
      <c r="P1347">
        <f>INDIRECT(ADDRESS(1347,15))+INDIRECT(ADDRESS(1345,16))-INDIRECT(ADDRESS(1346,16))</f>
        <v>0</v>
      </c>
      <c r="Q1347">
        <f>INDIRECT(ADDRESS(1347,16))+INDIRECT(ADDRESS(1345,17))-INDIRECT(ADDRESS(1346,17))</f>
        <v>0</v>
      </c>
      <c r="R1347">
        <f>INDIRECT(ADDRESS(1347,17))+INDIRECT(ADDRESS(1345,18))-INDIRECT(ADDRESS(1346,18))</f>
        <v>0</v>
      </c>
      <c r="S1347">
        <f>INDIRECT(ADDRESS(1347,18))+INDIRECT(ADDRESS(1345,19))-INDIRECT(ADDRESS(1346,19))</f>
        <v>0</v>
      </c>
      <c r="T1347">
        <f>INDIRECT(ADDRESS(1347,19))+INDIRECT(ADDRESS(1345,20))-INDIRECT(ADDRESS(1346,20))</f>
        <v>0</v>
      </c>
      <c r="U1347">
        <f>INDIRECT(ADDRESS(1347,20))+INDIRECT(ADDRESS(1345,21))-INDIRECT(ADDRESS(1346,21))</f>
        <v>0</v>
      </c>
      <c r="V1347">
        <f>INDIRECT(ADDRESS(1347,21))+INDIRECT(ADDRESS(1345,22))-INDIRECT(ADDRESS(1346,22))</f>
        <v>0</v>
      </c>
      <c r="W1347">
        <f>INDIRECT(ADDRESS(1347,22))+INDIRECT(ADDRESS(1345,23))-INDIRECT(ADDRESS(1346,23))</f>
        <v>0</v>
      </c>
      <c r="X1347">
        <f>INDIRECT(ADDRESS(1347,23))+INDIRECT(ADDRESS(1345,24))-INDIRECT(ADDRESS(1346,24))</f>
        <v>0</v>
      </c>
      <c r="Y1347">
        <f>INDIRECT(ADDRESS(1347,24))+INDIRECT(ADDRESS(1345,25))-INDIRECT(ADDRESS(1346,25))</f>
        <v>0</v>
      </c>
      <c r="Z1347">
        <f>INDIRECT(ADDRESS(1347,25))+INDIRECT(ADDRESS(1345,26))-INDIRECT(ADDRESS(1346,26))</f>
        <v>0</v>
      </c>
      <c r="AA1347">
        <f>INDIRECT(ADDRESS(1347,26))+INDIRECT(ADDRESS(1345,27))-INDIRECT(ADDRESS(1346,27))</f>
        <v>0</v>
      </c>
      <c r="AB1347">
        <f>INDIRECT(ADDRESS(1347,27))+INDIRECT(ADDRESS(1345,28))-INDIRECT(ADDRESS(1346,28))</f>
        <v>0</v>
      </c>
      <c r="AC1347">
        <f>INDIRECT(ADDRESS(1347,28))+INDIRECT(ADDRESS(1345,29))-INDIRECT(ADDRESS(1346,29))</f>
        <v>0</v>
      </c>
      <c r="AD1347">
        <f>INDIRECT(ADDRESS(1347,29))+INDIRECT(ADDRESS(1345,30))-INDIRECT(ADDRESS(1346,30))</f>
        <v>0</v>
      </c>
      <c r="AE1347">
        <f>INDIRECT(ADDRESS(1347,30))+INDIRECT(ADDRESS(1345,31))-INDIRECT(ADDRESS(1346,31))</f>
        <v>0</v>
      </c>
      <c r="AF1347">
        <f>INDIRECT(ADDRESS(1347,31))+INDIRECT(ADDRESS(1345,32))-INDIRECT(ADDRESS(1346,32))</f>
        <v>0</v>
      </c>
      <c r="AG1347">
        <f>INDIRECT(ADDRESS(1347,32))+INDIRECT(ADDRESS(1345,33))-INDIRECT(ADDRESS(1346,33))</f>
        <v>0</v>
      </c>
      <c r="AH1347">
        <f>INDIRECT(ADDRESS(1347,33))+INDIRECT(ADDRESS(1345,34))-INDIRECT(ADDRESS(1346,34))</f>
        <v>0</v>
      </c>
      <c r="AI1347">
        <f>INDIRECT(ADDRESS(1347,34))+INDIRECT(ADDRESS(1345,35))-INDIRECT(ADDRESS(1346,35))</f>
        <v>0</v>
      </c>
      <c r="AJ1347">
        <f>INDIRECT(ADDRESS(1347,35))+INDIRECT(ADDRESS(1345,36))-INDIRECT(ADDRESS(1346,36))</f>
        <v>0</v>
      </c>
      <c r="AK1347">
        <f>INDIRECT(ADDRESS(1347,36))+INDIRECT(ADDRESS(1345,37))-INDIRECT(ADDRESS(1346,37))</f>
        <v>0</v>
      </c>
      <c r="AL1347">
        <f>INDIRECT(ADDRESS(1347,37))+INDIRECT(ADDRESS(1345,38))-INDIRECT(ADDRESS(1346,38))</f>
        <v>0</v>
      </c>
      <c r="AM1347">
        <f>INDIRECT(ADDRESS(1347,38))+INDIRECT(ADDRESS(1345,39))-INDIRECT(ADDRESS(1346,39))</f>
        <v>0</v>
      </c>
      <c r="AN1347">
        <f>INDIRECT(ADDRESS(1347,39))+INDIRECT(ADDRESS(1345,40))-INDIRECT(ADDRESS(1346,40))</f>
        <v>0</v>
      </c>
      <c r="AO1347">
        <f>SUM(INDIRECT(ADDRESS(1346,8)):INDIRECT(ADDRESS(1346,39)))</f>
        <v>0</v>
      </c>
    </row>
    <row r="1348" spans="1:41">
      <c r="A1348" t="s">
        <v>180</v>
      </c>
      <c r="B1348" t="s">
        <v>668</v>
      </c>
      <c r="C1348" t="s">
        <v>669</v>
      </c>
      <c r="E1348">
        <v>1</v>
      </c>
      <c r="I1348" t="s">
        <v>177</v>
      </c>
    </row>
    <row r="1349" spans="1:41">
      <c r="I1349" t="s">
        <v>178</v>
      </c>
      <c r="J1349">
        <f>IFERROR(VLOOKUP("906-424348-110",B:AB,1+8,0),0)</f>
        <v>0</v>
      </c>
      <c r="K1349">
        <f>IFERROR(VLOOKUP("906-424348-110",B:AB,2+8,0),0)</f>
        <v>0</v>
      </c>
      <c r="L1349">
        <f>IFERROR(VLOOKUP("906-424348-110",B:AB,3+8,0),0)</f>
        <v>0</v>
      </c>
      <c r="M1349">
        <f>IFERROR(VLOOKUP("906-424348-110",B:AB,4+8,0),0)</f>
        <v>0</v>
      </c>
      <c r="N1349">
        <f>IFERROR(VLOOKUP("906-424348-110",B:AB,5+8,0),0)</f>
        <v>0</v>
      </c>
      <c r="O1349">
        <f>IFERROR(VLOOKUP("906-424348-110",B:AB,6+8,0),0)</f>
        <v>0</v>
      </c>
      <c r="P1349">
        <f>IFERROR(VLOOKUP("906-424348-110",B:AB,7+8,0),0)</f>
        <v>0</v>
      </c>
      <c r="Q1349">
        <f>IFERROR(VLOOKUP("906-424348-110",B:AB,8+8,0),0)</f>
        <v>0</v>
      </c>
      <c r="R1349">
        <f>IFERROR(VLOOKUP("906-424348-110",B:AB,9+8,0),0)</f>
        <v>0</v>
      </c>
      <c r="S1349">
        <f>IFERROR(VLOOKUP("906-424348-110",B:AB,10+8,0),0)</f>
        <v>0</v>
      </c>
      <c r="T1349">
        <f>IFERROR(VLOOKUP("906-424348-110",B:AB,11+8,0),0)</f>
        <v>0</v>
      </c>
      <c r="U1349">
        <f>IFERROR(VLOOKUP("906-424348-110",B:AB,12+8,0),0)</f>
        <v>0</v>
      </c>
      <c r="V1349">
        <f>IFERROR(VLOOKUP("906-424348-110",B:AB,13+8,0),0)</f>
        <v>0</v>
      </c>
      <c r="W1349">
        <f>IFERROR(VLOOKUP("906-424348-110",B:AB,14+8,0),0)</f>
        <v>0</v>
      </c>
      <c r="X1349">
        <f>IFERROR(VLOOKUP("906-424348-110",B:AB,15+8,0),0)</f>
        <v>0</v>
      </c>
      <c r="Y1349">
        <f>IFERROR(VLOOKUP("906-424348-110",B:AB,16+8,0),0)</f>
        <v>0</v>
      </c>
      <c r="Z1349">
        <f>IFERROR(VLOOKUP("906-424348-110",B:AB,17+8,0),0)</f>
        <v>0</v>
      </c>
      <c r="AA1349">
        <f>IFERROR(VLOOKUP("906-424348-110",B:AB,18+8,0),0)</f>
        <v>0</v>
      </c>
      <c r="AB1349">
        <f>IFERROR(VLOOKUP("906-424348-110",B:AB,19+8,0),0)</f>
        <v>0</v>
      </c>
      <c r="AC1349">
        <f>IFERROR(VLOOKUP("906-424348-110",B:AB,20+8,0),0)</f>
        <v>0</v>
      </c>
      <c r="AD1349">
        <f>IFERROR(VLOOKUP("906-424348-110",B:AB,21+8,0),0)</f>
        <v>0</v>
      </c>
      <c r="AE1349">
        <f>IFERROR(VLOOKUP("906-424348-110",B:AB,22+8,0),0)</f>
        <v>0</v>
      </c>
      <c r="AF1349">
        <f>IFERROR(VLOOKUP("906-424348-110",B:AB,23+8,0),0)</f>
        <v>0</v>
      </c>
      <c r="AG1349">
        <f>IFERROR(VLOOKUP("906-424348-110",B:AB,24+8,0),0)</f>
        <v>0</v>
      </c>
      <c r="AH1349">
        <f>IFERROR(VLOOKUP("906-424348-110",B:AB,25+8,0),0)</f>
        <v>0</v>
      </c>
      <c r="AI1349">
        <f>IFERROR(VLOOKUP("906-424348-110",B:AB,26+8,0),0)</f>
        <v>0</v>
      </c>
      <c r="AJ1349">
        <f>IFERROR(VLOOKUP("906-424348-110",B:AB,27+8,0),0)</f>
        <v>0</v>
      </c>
      <c r="AK1349">
        <f>IFERROR(VLOOKUP("906-424348-110",B:AB,28+8,0),0)</f>
        <v>0</v>
      </c>
      <c r="AL1349">
        <f>IFERROR(VLOOKUP("906-424348-110",B:AB,29+8,0),0)</f>
        <v>0</v>
      </c>
      <c r="AM1349">
        <f>IFERROR(VLOOKUP("906-424348-110",B:AB,30+8,0),0)</f>
        <v>0</v>
      </c>
      <c r="AN1349">
        <f>IFERROR(VLOOKUP("906-424348-110",B:AB,31+8,0),0)</f>
        <v>0</v>
      </c>
      <c r="AO1349">
        <f>SUN(INDIRECT(ADDRESS(1348,8)):INDIRECT(ADDRESS(1348,39)))</f>
        <v>0</v>
      </c>
    </row>
    <row r="1350" spans="1:41">
      <c r="H1350" t="s">
        <v>179</v>
      </c>
      <c r="J1350">
        <f>INDIRECT(ADDRESS(1350,9))+INDIRECT(ADDRESS(1348,10))-INDIRECT(ADDRESS(1349,10))</f>
        <v>0</v>
      </c>
      <c r="K1350">
        <f>INDIRECT(ADDRESS(1350,10))+INDIRECT(ADDRESS(1348,11))-INDIRECT(ADDRESS(1349,11))</f>
        <v>0</v>
      </c>
      <c r="L1350">
        <f>INDIRECT(ADDRESS(1350,11))+INDIRECT(ADDRESS(1348,12))-INDIRECT(ADDRESS(1349,12))</f>
        <v>0</v>
      </c>
      <c r="M1350">
        <f>INDIRECT(ADDRESS(1350,12))+INDIRECT(ADDRESS(1348,13))-INDIRECT(ADDRESS(1349,13))</f>
        <v>0</v>
      </c>
      <c r="N1350">
        <f>INDIRECT(ADDRESS(1350,13))+INDIRECT(ADDRESS(1348,14))-INDIRECT(ADDRESS(1349,14))</f>
        <v>0</v>
      </c>
      <c r="O1350">
        <f>INDIRECT(ADDRESS(1350,14))+INDIRECT(ADDRESS(1348,15))-INDIRECT(ADDRESS(1349,15))</f>
        <v>0</v>
      </c>
      <c r="P1350">
        <f>INDIRECT(ADDRESS(1350,15))+INDIRECT(ADDRESS(1348,16))-INDIRECT(ADDRESS(1349,16))</f>
        <v>0</v>
      </c>
      <c r="Q1350">
        <f>INDIRECT(ADDRESS(1350,16))+INDIRECT(ADDRESS(1348,17))-INDIRECT(ADDRESS(1349,17))</f>
        <v>0</v>
      </c>
      <c r="R1350">
        <f>INDIRECT(ADDRESS(1350,17))+INDIRECT(ADDRESS(1348,18))-INDIRECT(ADDRESS(1349,18))</f>
        <v>0</v>
      </c>
      <c r="S1350">
        <f>INDIRECT(ADDRESS(1350,18))+INDIRECT(ADDRESS(1348,19))-INDIRECT(ADDRESS(1349,19))</f>
        <v>0</v>
      </c>
      <c r="T1350">
        <f>INDIRECT(ADDRESS(1350,19))+INDIRECT(ADDRESS(1348,20))-INDIRECT(ADDRESS(1349,20))</f>
        <v>0</v>
      </c>
      <c r="U1350">
        <f>INDIRECT(ADDRESS(1350,20))+INDIRECT(ADDRESS(1348,21))-INDIRECT(ADDRESS(1349,21))</f>
        <v>0</v>
      </c>
      <c r="V1350">
        <f>INDIRECT(ADDRESS(1350,21))+INDIRECT(ADDRESS(1348,22))-INDIRECT(ADDRESS(1349,22))</f>
        <v>0</v>
      </c>
      <c r="W1350">
        <f>INDIRECT(ADDRESS(1350,22))+INDIRECT(ADDRESS(1348,23))-INDIRECT(ADDRESS(1349,23))</f>
        <v>0</v>
      </c>
      <c r="X1350">
        <f>INDIRECT(ADDRESS(1350,23))+INDIRECT(ADDRESS(1348,24))-INDIRECT(ADDRESS(1349,24))</f>
        <v>0</v>
      </c>
      <c r="Y1350">
        <f>INDIRECT(ADDRESS(1350,24))+INDIRECT(ADDRESS(1348,25))-INDIRECT(ADDRESS(1349,25))</f>
        <v>0</v>
      </c>
      <c r="Z1350">
        <f>INDIRECT(ADDRESS(1350,25))+INDIRECT(ADDRESS(1348,26))-INDIRECT(ADDRESS(1349,26))</f>
        <v>0</v>
      </c>
      <c r="AA1350">
        <f>INDIRECT(ADDRESS(1350,26))+INDIRECT(ADDRESS(1348,27))-INDIRECT(ADDRESS(1349,27))</f>
        <v>0</v>
      </c>
      <c r="AB1350">
        <f>INDIRECT(ADDRESS(1350,27))+INDIRECT(ADDRESS(1348,28))-INDIRECT(ADDRESS(1349,28))</f>
        <v>0</v>
      </c>
      <c r="AC1350">
        <f>INDIRECT(ADDRESS(1350,28))+INDIRECT(ADDRESS(1348,29))-INDIRECT(ADDRESS(1349,29))</f>
        <v>0</v>
      </c>
      <c r="AD1350">
        <f>INDIRECT(ADDRESS(1350,29))+INDIRECT(ADDRESS(1348,30))-INDIRECT(ADDRESS(1349,30))</f>
        <v>0</v>
      </c>
      <c r="AE1350">
        <f>INDIRECT(ADDRESS(1350,30))+INDIRECT(ADDRESS(1348,31))-INDIRECT(ADDRESS(1349,31))</f>
        <v>0</v>
      </c>
      <c r="AF1350">
        <f>INDIRECT(ADDRESS(1350,31))+INDIRECT(ADDRESS(1348,32))-INDIRECT(ADDRESS(1349,32))</f>
        <v>0</v>
      </c>
      <c r="AG1350">
        <f>INDIRECT(ADDRESS(1350,32))+INDIRECT(ADDRESS(1348,33))-INDIRECT(ADDRESS(1349,33))</f>
        <v>0</v>
      </c>
      <c r="AH1350">
        <f>INDIRECT(ADDRESS(1350,33))+INDIRECT(ADDRESS(1348,34))-INDIRECT(ADDRESS(1349,34))</f>
        <v>0</v>
      </c>
      <c r="AI1350">
        <f>INDIRECT(ADDRESS(1350,34))+INDIRECT(ADDRESS(1348,35))-INDIRECT(ADDRESS(1349,35))</f>
        <v>0</v>
      </c>
      <c r="AJ1350">
        <f>INDIRECT(ADDRESS(1350,35))+INDIRECT(ADDRESS(1348,36))-INDIRECT(ADDRESS(1349,36))</f>
        <v>0</v>
      </c>
      <c r="AK1350">
        <f>INDIRECT(ADDRESS(1350,36))+INDIRECT(ADDRESS(1348,37))-INDIRECT(ADDRESS(1349,37))</f>
        <v>0</v>
      </c>
      <c r="AL1350">
        <f>INDIRECT(ADDRESS(1350,37))+INDIRECT(ADDRESS(1348,38))-INDIRECT(ADDRESS(1349,38))</f>
        <v>0</v>
      </c>
      <c r="AM1350">
        <f>INDIRECT(ADDRESS(1350,38))+INDIRECT(ADDRESS(1348,39))-INDIRECT(ADDRESS(1349,39))</f>
        <v>0</v>
      </c>
      <c r="AN1350">
        <f>INDIRECT(ADDRESS(1350,39))+INDIRECT(ADDRESS(1348,40))-INDIRECT(ADDRESS(1349,40))</f>
        <v>0</v>
      </c>
      <c r="AO1350">
        <f>SUM(INDIRECT(ADDRESS(1349,8)):INDIRECT(ADDRESS(1349,39)))</f>
        <v>0</v>
      </c>
    </row>
    <row r="1351" spans="1:41">
      <c r="A1351" t="s">
        <v>185</v>
      </c>
      <c r="B1351" t="s">
        <v>592</v>
      </c>
      <c r="C1351" t="s">
        <v>593</v>
      </c>
      <c r="E1351">
        <v>1</v>
      </c>
      <c r="I1351" t="s">
        <v>177</v>
      </c>
    </row>
    <row r="1352" spans="1:41">
      <c r="I1352" t="s">
        <v>178</v>
      </c>
      <c r="J1352">
        <f>IFERROR(VLOOKUP("906-424348-110",B:AB,1+8,0),0)</f>
        <v>0</v>
      </c>
      <c r="K1352">
        <f>IFERROR(VLOOKUP("906-424348-110",B:AB,2+8,0),0)</f>
        <v>0</v>
      </c>
      <c r="L1352">
        <f>IFERROR(VLOOKUP("906-424348-110",B:AB,3+8,0),0)</f>
        <v>0</v>
      </c>
      <c r="M1352">
        <f>IFERROR(VLOOKUP("906-424348-110",B:AB,4+8,0),0)</f>
        <v>0</v>
      </c>
      <c r="N1352">
        <f>IFERROR(VLOOKUP("906-424348-110",B:AB,5+8,0),0)</f>
        <v>0</v>
      </c>
      <c r="O1352">
        <f>IFERROR(VLOOKUP("906-424348-110",B:AB,6+8,0),0)</f>
        <v>0</v>
      </c>
      <c r="P1352">
        <f>IFERROR(VLOOKUP("906-424348-110",B:AB,7+8,0),0)</f>
        <v>0</v>
      </c>
      <c r="Q1352">
        <f>IFERROR(VLOOKUP("906-424348-110",B:AB,8+8,0),0)</f>
        <v>0</v>
      </c>
      <c r="R1352">
        <f>IFERROR(VLOOKUP("906-424348-110",B:AB,9+8,0),0)</f>
        <v>0</v>
      </c>
      <c r="S1352">
        <f>IFERROR(VLOOKUP("906-424348-110",B:AB,10+8,0),0)</f>
        <v>0</v>
      </c>
      <c r="T1352">
        <f>IFERROR(VLOOKUP("906-424348-110",B:AB,11+8,0),0)</f>
        <v>0</v>
      </c>
      <c r="U1352">
        <f>IFERROR(VLOOKUP("906-424348-110",B:AB,12+8,0),0)</f>
        <v>0</v>
      </c>
      <c r="V1352">
        <f>IFERROR(VLOOKUP("906-424348-110",B:AB,13+8,0),0)</f>
        <v>0</v>
      </c>
      <c r="W1352">
        <f>IFERROR(VLOOKUP("906-424348-110",B:AB,14+8,0),0)</f>
        <v>0</v>
      </c>
      <c r="X1352">
        <f>IFERROR(VLOOKUP("906-424348-110",B:AB,15+8,0),0)</f>
        <v>0</v>
      </c>
      <c r="Y1352">
        <f>IFERROR(VLOOKUP("906-424348-110",B:AB,16+8,0),0)</f>
        <v>0</v>
      </c>
      <c r="Z1352">
        <f>IFERROR(VLOOKUP("906-424348-110",B:AB,17+8,0),0)</f>
        <v>0</v>
      </c>
      <c r="AA1352">
        <f>IFERROR(VLOOKUP("906-424348-110",B:AB,18+8,0),0)</f>
        <v>0</v>
      </c>
      <c r="AB1352">
        <f>IFERROR(VLOOKUP("906-424348-110",B:AB,19+8,0),0)</f>
        <v>0</v>
      </c>
      <c r="AC1352">
        <f>IFERROR(VLOOKUP("906-424348-110",B:AB,20+8,0),0)</f>
        <v>0</v>
      </c>
      <c r="AD1352">
        <f>IFERROR(VLOOKUP("906-424348-110",B:AB,21+8,0),0)</f>
        <v>0</v>
      </c>
      <c r="AE1352">
        <f>IFERROR(VLOOKUP("906-424348-110",B:AB,22+8,0),0)</f>
        <v>0</v>
      </c>
      <c r="AF1352">
        <f>IFERROR(VLOOKUP("906-424348-110",B:AB,23+8,0),0)</f>
        <v>0</v>
      </c>
      <c r="AG1352">
        <f>IFERROR(VLOOKUP("906-424348-110",B:AB,24+8,0),0)</f>
        <v>0</v>
      </c>
      <c r="AH1352">
        <f>IFERROR(VLOOKUP("906-424348-110",B:AB,25+8,0),0)</f>
        <v>0</v>
      </c>
      <c r="AI1352">
        <f>IFERROR(VLOOKUP("906-424348-110",B:AB,26+8,0),0)</f>
        <v>0</v>
      </c>
      <c r="AJ1352">
        <f>IFERROR(VLOOKUP("906-424348-110",B:AB,27+8,0),0)</f>
        <v>0</v>
      </c>
      <c r="AK1352">
        <f>IFERROR(VLOOKUP("906-424348-110",B:AB,28+8,0),0)</f>
        <v>0</v>
      </c>
      <c r="AL1352">
        <f>IFERROR(VLOOKUP("906-424348-110",B:AB,29+8,0),0)</f>
        <v>0</v>
      </c>
      <c r="AM1352">
        <f>IFERROR(VLOOKUP("906-424348-110",B:AB,30+8,0),0)</f>
        <v>0</v>
      </c>
      <c r="AN1352">
        <f>IFERROR(VLOOKUP("906-424348-110",B:AB,31+8,0),0)</f>
        <v>0</v>
      </c>
      <c r="AO1352">
        <f>SUN(INDIRECT(ADDRESS(1351,8)):INDIRECT(ADDRESS(1351,39)))</f>
        <v>0</v>
      </c>
    </row>
    <row r="1353" spans="1:41">
      <c r="H1353" t="s">
        <v>179</v>
      </c>
      <c r="J1353">
        <f>INDIRECT(ADDRESS(1353,9))+INDIRECT(ADDRESS(1351,10))-INDIRECT(ADDRESS(1352,10))</f>
        <v>0</v>
      </c>
      <c r="K1353">
        <f>INDIRECT(ADDRESS(1353,10))+INDIRECT(ADDRESS(1351,11))-INDIRECT(ADDRESS(1352,11))</f>
        <v>0</v>
      </c>
      <c r="L1353">
        <f>INDIRECT(ADDRESS(1353,11))+INDIRECT(ADDRESS(1351,12))-INDIRECT(ADDRESS(1352,12))</f>
        <v>0</v>
      </c>
      <c r="M1353">
        <f>INDIRECT(ADDRESS(1353,12))+INDIRECT(ADDRESS(1351,13))-INDIRECT(ADDRESS(1352,13))</f>
        <v>0</v>
      </c>
      <c r="N1353">
        <f>INDIRECT(ADDRESS(1353,13))+INDIRECT(ADDRESS(1351,14))-INDIRECT(ADDRESS(1352,14))</f>
        <v>0</v>
      </c>
      <c r="O1353">
        <f>INDIRECT(ADDRESS(1353,14))+INDIRECT(ADDRESS(1351,15))-INDIRECT(ADDRESS(1352,15))</f>
        <v>0</v>
      </c>
      <c r="P1353">
        <f>INDIRECT(ADDRESS(1353,15))+INDIRECT(ADDRESS(1351,16))-INDIRECT(ADDRESS(1352,16))</f>
        <v>0</v>
      </c>
      <c r="Q1353">
        <f>INDIRECT(ADDRESS(1353,16))+INDIRECT(ADDRESS(1351,17))-INDIRECT(ADDRESS(1352,17))</f>
        <v>0</v>
      </c>
      <c r="R1353">
        <f>INDIRECT(ADDRESS(1353,17))+INDIRECT(ADDRESS(1351,18))-INDIRECT(ADDRESS(1352,18))</f>
        <v>0</v>
      </c>
      <c r="S1353">
        <f>INDIRECT(ADDRESS(1353,18))+INDIRECT(ADDRESS(1351,19))-INDIRECT(ADDRESS(1352,19))</f>
        <v>0</v>
      </c>
      <c r="T1353">
        <f>INDIRECT(ADDRESS(1353,19))+INDIRECT(ADDRESS(1351,20))-INDIRECT(ADDRESS(1352,20))</f>
        <v>0</v>
      </c>
      <c r="U1353">
        <f>INDIRECT(ADDRESS(1353,20))+INDIRECT(ADDRESS(1351,21))-INDIRECT(ADDRESS(1352,21))</f>
        <v>0</v>
      </c>
      <c r="V1353">
        <f>INDIRECT(ADDRESS(1353,21))+INDIRECT(ADDRESS(1351,22))-INDIRECT(ADDRESS(1352,22))</f>
        <v>0</v>
      </c>
      <c r="W1353">
        <f>INDIRECT(ADDRESS(1353,22))+INDIRECT(ADDRESS(1351,23))-INDIRECT(ADDRESS(1352,23))</f>
        <v>0</v>
      </c>
      <c r="X1353">
        <f>INDIRECT(ADDRESS(1353,23))+INDIRECT(ADDRESS(1351,24))-INDIRECT(ADDRESS(1352,24))</f>
        <v>0</v>
      </c>
      <c r="Y1353">
        <f>INDIRECT(ADDRESS(1353,24))+INDIRECT(ADDRESS(1351,25))-INDIRECT(ADDRESS(1352,25))</f>
        <v>0</v>
      </c>
      <c r="Z1353">
        <f>INDIRECT(ADDRESS(1353,25))+INDIRECT(ADDRESS(1351,26))-INDIRECT(ADDRESS(1352,26))</f>
        <v>0</v>
      </c>
      <c r="AA1353">
        <f>INDIRECT(ADDRESS(1353,26))+INDIRECT(ADDRESS(1351,27))-INDIRECT(ADDRESS(1352,27))</f>
        <v>0</v>
      </c>
      <c r="AB1353">
        <f>INDIRECT(ADDRESS(1353,27))+INDIRECT(ADDRESS(1351,28))-INDIRECT(ADDRESS(1352,28))</f>
        <v>0</v>
      </c>
      <c r="AC1353">
        <f>INDIRECT(ADDRESS(1353,28))+INDIRECT(ADDRESS(1351,29))-INDIRECT(ADDRESS(1352,29))</f>
        <v>0</v>
      </c>
      <c r="AD1353">
        <f>INDIRECT(ADDRESS(1353,29))+INDIRECT(ADDRESS(1351,30))-INDIRECT(ADDRESS(1352,30))</f>
        <v>0</v>
      </c>
      <c r="AE1353">
        <f>INDIRECT(ADDRESS(1353,30))+INDIRECT(ADDRESS(1351,31))-INDIRECT(ADDRESS(1352,31))</f>
        <v>0</v>
      </c>
      <c r="AF1353">
        <f>INDIRECT(ADDRESS(1353,31))+INDIRECT(ADDRESS(1351,32))-INDIRECT(ADDRESS(1352,32))</f>
        <v>0</v>
      </c>
      <c r="AG1353">
        <f>INDIRECT(ADDRESS(1353,32))+INDIRECT(ADDRESS(1351,33))-INDIRECT(ADDRESS(1352,33))</f>
        <v>0</v>
      </c>
      <c r="AH1353">
        <f>INDIRECT(ADDRESS(1353,33))+INDIRECT(ADDRESS(1351,34))-INDIRECT(ADDRESS(1352,34))</f>
        <v>0</v>
      </c>
      <c r="AI1353">
        <f>INDIRECT(ADDRESS(1353,34))+INDIRECT(ADDRESS(1351,35))-INDIRECT(ADDRESS(1352,35))</f>
        <v>0</v>
      </c>
      <c r="AJ1353">
        <f>INDIRECT(ADDRESS(1353,35))+INDIRECT(ADDRESS(1351,36))-INDIRECT(ADDRESS(1352,36))</f>
        <v>0</v>
      </c>
      <c r="AK1353">
        <f>INDIRECT(ADDRESS(1353,36))+INDIRECT(ADDRESS(1351,37))-INDIRECT(ADDRESS(1352,37))</f>
        <v>0</v>
      </c>
      <c r="AL1353">
        <f>INDIRECT(ADDRESS(1353,37))+INDIRECT(ADDRESS(1351,38))-INDIRECT(ADDRESS(1352,38))</f>
        <v>0</v>
      </c>
      <c r="AM1353">
        <f>INDIRECT(ADDRESS(1353,38))+INDIRECT(ADDRESS(1351,39))-INDIRECT(ADDRESS(1352,39))</f>
        <v>0</v>
      </c>
      <c r="AN1353">
        <f>INDIRECT(ADDRESS(1353,39))+INDIRECT(ADDRESS(1351,40))-INDIRECT(ADDRESS(1352,40))</f>
        <v>0</v>
      </c>
      <c r="AO1353">
        <f>SUM(INDIRECT(ADDRESS(1352,8)):INDIRECT(ADDRESS(1352,39)))</f>
        <v>0</v>
      </c>
    </row>
    <row r="1354" spans="1:41">
      <c r="A1354" t="s">
        <v>185</v>
      </c>
      <c r="B1354" t="s">
        <v>670</v>
      </c>
      <c r="C1354" t="s">
        <v>671</v>
      </c>
      <c r="E1354">
        <v>1</v>
      </c>
      <c r="I1354" t="s">
        <v>177</v>
      </c>
    </row>
    <row r="1355" spans="1:41">
      <c r="I1355" t="s">
        <v>178</v>
      </c>
      <c r="J1355">
        <f>IFERROR(VLOOKUP("906-424348-110",B:AB,1+8,0),0)</f>
        <v>0</v>
      </c>
      <c r="K1355">
        <f>IFERROR(VLOOKUP("906-424348-110",B:AB,2+8,0),0)</f>
        <v>0</v>
      </c>
      <c r="L1355">
        <f>IFERROR(VLOOKUP("906-424348-110",B:AB,3+8,0),0)</f>
        <v>0</v>
      </c>
      <c r="M1355">
        <f>IFERROR(VLOOKUP("906-424348-110",B:AB,4+8,0),0)</f>
        <v>0</v>
      </c>
      <c r="N1355">
        <f>IFERROR(VLOOKUP("906-424348-110",B:AB,5+8,0),0)</f>
        <v>0</v>
      </c>
      <c r="O1355">
        <f>IFERROR(VLOOKUP("906-424348-110",B:AB,6+8,0),0)</f>
        <v>0</v>
      </c>
      <c r="P1355">
        <f>IFERROR(VLOOKUP("906-424348-110",B:AB,7+8,0),0)</f>
        <v>0</v>
      </c>
      <c r="Q1355">
        <f>IFERROR(VLOOKUP("906-424348-110",B:AB,8+8,0),0)</f>
        <v>0</v>
      </c>
      <c r="R1355">
        <f>IFERROR(VLOOKUP("906-424348-110",B:AB,9+8,0),0)</f>
        <v>0</v>
      </c>
      <c r="S1355">
        <f>IFERROR(VLOOKUP("906-424348-110",B:AB,10+8,0),0)</f>
        <v>0</v>
      </c>
      <c r="T1355">
        <f>IFERROR(VLOOKUP("906-424348-110",B:AB,11+8,0),0)</f>
        <v>0</v>
      </c>
      <c r="U1355">
        <f>IFERROR(VLOOKUP("906-424348-110",B:AB,12+8,0),0)</f>
        <v>0</v>
      </c>
      <c r="V1355">
        <f>IFERROR(VLOOKUP("906-424348-110",B:AB,13+8,0),0)</f>
        <v>0</v>
      </c>
      <c r="W1355">
        <f>IFERROR(VLOOKUP("906-424348-110",B:AB,14+8,0),0)</f>
        <v>0</v>
      </c>
      <c r="X1355">
        <f>IFERROR(VLOOKUP("906-424348-110",B:AB,15+8,0),0)</f>
        <v>0</v>
      </c>
      <c r="Y1355">
        <f>IFERROR(VLOOKUP("906-424348-110",B:AB,16+8,0),0)</f>
        <v>0</v>
      </c>
      <c r="Z1355">
        <f>IFERROR(VLOOKUP("906-424348-110",B:AB,17+8,0),0)</f>
        <v>0</v>
      </c>
      <c r="AA1355">
        <f>IFERROR(VLOOKUP("906-424348-110",B:AB,18+8,0),0)</f>
        <v>0</v>
      </c>
      <c r="AB1355">
        <f>IFERROR(VLOOKUP("906-424348-110",B:AB,19+8,0),0)</f>
        <v>0</v>
      </c>
      <c r="AC1355">
        <f>IFERROR(VLOOKUP("906-424348-110",B:AB,20+8,0),0)</f>
        <v>0</v>
      </c>
      <c r="AD1355">
        <f>IFERROR(VLOOKUP("906-424348-110",B:AB,21+8,0),0)</f>
        <v>0</v>
      </c>
      <c r="AE1355">
        <f>IFERROR(VLOOKUP("906-424348-110",B:AB,22+8,0),0)</f>
        <v>0</v>
      </c>
      <c r="AF1355">
        <f>IFERROR(VLOOKUP("906-424348-110",B:AB,23+8,0),0)</f>
        <v>0</v>
      </c>
      <c r="AG1355">
        <f>IFERROR(VLOOKUP("906-424348-110",B:AB,24+8,0),0)</f>
        <v>0</v>
      </c>
      <c r="AH1355">
        <f>IFERROR(VLOOKUP("906-424348-110",B:AB,25+8,0),0)</f>
        <v>0</v>
      </c>
      <c r="AI1355">
        <f>IFERROR(VLOOKUP("906-424348-110",B:AB,26+8,0),0)</f>
        <v>0</v>
      </c>
      <c r="AJ1355">
        <f>IFERROR(VLOOKUP("906-424348-110",B:AB,27+8,0),0)</f>
        <v>0</v>
      </c>
      <c r="AK1355">
        <f>IFERROR(VLOOKUP("906-424348-110",B:AB,28+8,0),0)</f>
        <v>0</v>
      </c>
      <c r="AL1355">
        <f>IFERROR(VLOOKUP("906-424348-110",B:AB,29+8,0),0)</f>
        <v>0</v>
      </c>
      <c r="AM1355">
        <f>IFERROR(VLOOKUP("906-424348-110",B:AB,30+8,0),0)</f>
        <v>0</v>
      </c>
      <c r="AN1355">
        <f>IFERROR(VLOOKUP("906-424348-110",B:AB,31+8,0),0)</f>
        <v>0</v>
      </c>
      <c r="AO1355">
        <f>SUN(INDIRECT(ADDRESS(1354,8)):INDIRECT(ADDRESS(1354,39)))</f>
        <v>0</v>
      </c>
    </row>
    <row r="1356" spans="1:41">
      <c r="H1356" t="s">
        <v>179</v>
      </c>
      <c r="J1356">
        <f>INDIRECT(ADDRESS(1356,9))+INDIRECT(ADDRESS(1354,10))-INDIRECT(ADDRESS(1355,10))</f>
        <v>0</v>
      </c>
      <c r="K1356">
        <f>INDIRECT(ADDRESS(1356,10))+INDIRECT(ADDRESS(1354,11))-INDIRECT(ADDRESS(1355,11))</f>
        <v>0</v>
      </c>
      <c r="L1356">
        <f>INDIRECT(ADDRESS(1356,11))+INDIRECT(ADDRESS(1354,12))-INDIRECT(ADDRESS(1355,12))</f>
        <v>0</v>
      </c>
      <c r="M1356">
        <f>INDIRECT(ADDRESS(1356,12))+INDIRECT(ADDRESS(1354,13))-INDIRECT(ADDRESS(1355,13))</f>
        <v>0</v>
      </c>
      <c r="N1356">
        <f>INDIRECT(ADDRESS(1356,13))+INDIRECT(ADDRESS(1354,14))-INDIRECT(ADDRESS(1355,14))</f>
        <v>0</v>
      </c>
      <c r="O1356">
        <f>INDIRECT(ADDRESS(1356,14))+INDIRECT(ADDRESS(1354,15))-INDIRECT(ADDRESS(1355,15))</f>
        <v>0</v>
      </c>
      <c r="P1356">
        <f>INDIRECT(ADDRESS(1356,15))+INDIRECT(ADDRESS(1354,16))-INDIRECT(ADDRESS(1355,16))</f>
        <v>0</v>
      </c>
      <c r="Q1356">
        <f>INDIRECT(ADDRESS(1356,16))+INDIRECT(ADDRESS(1354,17))-INDIRECT(ADDRESS(1355,17))</f>
        <v>0</v>
      </c>
      <c r="R1356">
        <f>INDIRECT(ADDRESS(1356,17))+INDIRECT(ADDRESS(1354,18))-INDIRECT(ADDRESS(1355,18))</f>
        <v>0</v>
      </c>
      <c r="S1356">
        <f>INDIRECT(ADDRESS(1356,18))+INDIRECT(ADDRESS(1354,19))-INDIRECT(ADDRESS(1355,19))</f>
        <v>0</v>
      </c>
      <c r="T1356">
        <f>INDIRECT(ADDRESS(1356,19))+INDIRECT(ADDRESS(1354,20))-INDIRECT(ADDRESS(1355,20))</f>
        <v>0</v>
      </c>
      <c r="U1356">
        <f>INDIRECT(ADDRESS(1356,20))+INDIRECT(ADDRESS(1354,21))-INDIRECT(ADDRESS(1355,21))</f>
        <v>0</v>
      </c>
      <c r="V1356">
        <f>INDIRECT(ADDRESS(1356,21))+INDIRECT(ADDRESS(1354,22))-INDIRECT(ADDRESS(1355,22))</f>
        <v>0</v>
      </c>
      <c r="W1356">
        <f>INDIRECT(ADDRESS(1356,22))+INDIRECT(ADDRESS(1354,23))-INDIRECT(ADDRESS(1355,23))</f>
        <v>0</v>
      </c>
      <c r="X1356">
        <f>INDIRECT(ADDRESS(1356,23))+INDIRECT(ADDRESS(1354,24))-INDIRECT(ADDRESS(1355,24))</f>
        <v>0</v>
      </c>
      <c r="Y1356">
        <f>INDIRECT(ADDRESS(1356,24))+INDIRECT(ADDRESS(1354,25))-INDIRECT(ADDRESS(1355,25))</f>
        <v>0</v>
      </c>
      <c r="Z1356">
        <f>INDIRECT(ADDRESS(1356,25))+INDIRECT(ADDRESS(1354,26))-INDIRECT(ADDRESS(1355,26))</f>
        <v>0</v>
      </c>
      <c r="AA1356">
        <f>INDIRECT(ADDRESS(1356,26))+INDIRECT(ADDRESS(1354,27))-INDIRECT(ADDRESS(1355,27))</f>
        <v>0</v>
      </c>
      <c r="AB1356">
        <f>INDIRECT(ADDRESS(1356,27))+INDIRECT(ADDRESS(1354,28))-INDIRECT(ADDRESS(1355,28))</f>
        <v>0</v>
      </c>
      <c r="AC1356">
        <f>INDIRECT(ADDRESS(1356,28))+INDIRECT(ADDRESS(1354,29))-INDIRECT(ADDRESS(1355,29))</f>
        <v>0</v>
      </c>
      <c r="AD1356">
        <f>INDIRECT(ADDRESS(1356,29))+INDIRECT(ADDRESS(1354,30))-INDIRECT(ADDRESS(1355,30))</f>
        <v>0</v>
      </c>
      <c r="AE1356">
        <f>INDIRECT(ADDRESS(1356,30))+INDIRECT(ADDRESS(1354,31))-INDIRECT(ADDRESS(1355,31))</f>
        <v>0</v>
      </c>
      <c r="AF1356">
        <f>INDIRECT(ADDRESS(1356,31))+INDIRECT(ADDRESS(1354,32))-INDIRECT(ADDRESS(1355,32))</f>
        <v>0</v>
      </c>
      <c r="AG1356">
        <f>INDIRECT(ADDRESS(1356,32))+INDIRECT(ADDRESS(1354,33))-INDIRECT(ADDRESS(1355,33))</f>
        <v>0</v>
      </c>
      <c r="AH1356">
        <f>INDIRECT(ADDRESS(1356,33))+INDIRECT(ADDRESS(1354,34))-INDIRECT(ADDRESS(1355,34))</f>
        <v>0</v>
      </c>
      <c r="AI1356">
        <f>INDIRECT(ADDRESS(1356,34))+INDIRECT(ADDRESS(1354,35))-INDIRECT(ADDRESS(1355,35))</f>
        <v>0</v>
      </c>
      <c r="AJ1356">
        <f>INDIRECT(ADDRESS(1356,35))+INDIRECT(ADDRESS(1354,36))-INDIRECT(ADDRESS(1355,36))</f>
        <v>0</v>
      </c>
      <c r="AK1356">
        <f>INDIRECT(ADDRESS(1356,36))+INDIRECT(ADDRESS(1354,37))-INDIRECT(ADDRESS(1355,37))</f>
        <v>0</v>
      </c>
      <c r="AL1356">
        <f>INDIRECT(ADDRESS(1356,37))+INDIRECT(ADDRESS(1354,38))-INDIRECT(ADDRESS(1355,38))</f>
        <v>0</v>
      </c>
      <c r="AM1356">
        <f>INDIRECT(ADDRESS(1356,38))+INDIRECT(ADDRESS(1354,39))-INDIRECT(ADDRESS(1355,39))</f>
        <v>0</v>
      </c>
      <c r="AN1356">
        <f>INDIRECT(ADDRESS(1356,39))+INDIRECT(ADDRESS(1354,40))-INDIRECT(ADDRESS(1355,40))</f>
        <v>0</v>
      </c>
      <c r="AO1356">
        <f>SUM(INDIRECT(ADDRESS(1355,8)):INDIRECT(ADDRESS(1355,39)))</f>
        <v>0</v>
      </c>
    </row>
    <row r="1357" spans="1:41">
      <c r="A1357" t="s">
        <v>185</v>
      </c>
      <c r="B1357" t="s">
        <v>588</v>
      </c>
      <c r="C1357" t="s">
        <v>589</v>
      </c>
      <c r="E1357">
        <v>2</v>
      </c>
      <c r="I1357" t="s">
        <v>177</v>
      </c>
    </row>
    <row r="1358" spans="1:41">
      <c r="I1358" t="s">
        <v>178</v>
      </c>
      <c r="J1358">
        <f>IFERROR(VLOOKUP("906-424348-110",B:AB,1+8,0),0)</f>
        <v>0</v>
      </c>
      <c r="K1358">
        <f>IFERROR(VLOOKUP("906-424348-110",B:AB,2+8,0),0)</f>
        <v>0</v>
      </c>
      <c r="L1358">
        <f>IFERROR(VLOOKUP("906-424348-110",B:AB,3+8,0),0)</f>
        <v>0</v>
      </c>
      <c r="M1358">
        <f>IFERROR(VLOOKUP("906-424348-110",B:AB,4+8,0),0)</f>
        <v>0</v>
      </c>
      <c r="N1358">
        <f>IFERROR(VLOOKUP("906-424348-110",B:AB,5+8,0),0)</f>
        <v>0</v>
      </c>
      <c r="O1358">
        <f>IFERROR(VLOOKUP("906-424348-110",B:AB,6+8,0),0)</f>
        <v>0</v>
      </c>
      <c r="P1358">
        <f>IFERROR(VLOOKUP("906-424348-110",B:AB,7+8,0),0)</f>
        <v>0</v>
      </c>
      <c r="Q1358">
        <f>IFERROR(VLOOKUP("906-424348-110",B:AB,8+8,0),0)</f>
        <v>0</v>
      </c>
      <c r="R1358">
        <f>IFERROR(VLOOKUP("906-424348-110",B:AB,9+8,0),0)</f>
        <v>0</v>
      </c>
      <c r="S1358">
        <f>IFERROR(VLOOKUP("906-424348-110",B:AB,10+8,0),0)</f>
        <v>0</v>
      </c>
      <c r="T1358">
        <f>IFERROR(VLOOKUP("906-424348-110",B:AB,11+8,0),0)</f>
        <v>0</v>
      </c>
      <c r="U1358">
        <f>IFERROR(VLOOKUP("906-424348-110",B:AB,12+8,0),0)</f>
        <v>0</v>
      </c>
      <c r="V1358">
        <f>IFERROR(VLOOKUP("906-424348-110",B:AB,13+8,0),0)</f>
        <v>0</v>
      </c>
      <c r="W1358">
        <f>IFERROR(VLOOKUP("906-424348-110",B:AB,14+8,0),0)</f>
        <v>0</v>
      </c>
      <c r="X1358">
        <f>IFERROR(VLOOKUP("906-424348-110",B:AB,15+8,0),0)</f>
        <v>0</v>
      </c>
      <c r="Y1358">
        <f>IFERROR(VLOOKUP("906-424348-110",B:AB,16+8,0),0)</f>
        <v>0</v>
      </c>
      <c r="Z1358">
        <f>IFERROR(VLOOKUP("906-424348-110",B:AB,17+8,0),0)</f>
        <v>0</v>
      </c>
      <c r="AA1358">
        <f>IFERROR(VLOOKUP("906-424348-110",B:AB,18+8,0),0)</f>
        <v>0</v>
      </c>
      <c r="AB1358">
        <f>IFERROR(VLOOKUP("906-424348-110",B:AB,19+8,0),0)</f>
        <v>0</v>
      </c>
      <c r="AC1358">
        <f>IFERROR(VLOOKUP("906-424348-110",B:AB,20+8,0),0)</f>
        <v>0</v>
      </c>
      <c r="AD1358">
        <f>IFERROR(VLOOKUP("906-424348-110",B:AB,21+8,0),0)</f>
        <v>0</v>
      </c>
      <c r="AE1358">
        <f>IFERROR(VLOOKUP("906-424348-110",B:AB,22+8,0),0)</f>
        <v>0</v>
      </c>
      <c r="AF1358">
        <f>IFERROR(VLOOKUP("906-424348-110",B:AB,23+8,0),0)</f>
        <v>0</v>
      </c>
      <c r="AG1358">
        <f>IFERROR(VLOOKUP("906-424348-110",B:AB,24+8,0),0)</f>
        <v>0</v>
      </c>
      <c r="AH1358">
        <f>IFERROR(VLOOKUP("906-424348-110",B:AB,25+8,0),0)</f>
        <v>0</v>
      </c>
      <c r="AI1358">
        <f>IFERROR(VLOOKUP("906-424348-110",B:AB,26+8,0),0)</f>
        <v>0</v>
      </c>
      <c r="AJ1358">
        <f>IFERROR(VLOOKUP("906-424348-110",B:AB,27+8,0),0)</f>
        <v>0</v>
      </c>
      <c r="AK1358">
        <f>IFERROR(VLOOKUP("906-424348-110",B:AB,28+8,0),0)</f>
        <v>0</v>
      </c>
      <c r="AL1358">
        <f>IFERROR(VLOOKUP("906-424348-110",B:AB,29+8,0),0)</f>
        <v>0</v>
      </c>
      <c r="AM1358">
        <f>IFERROR(VLOOKUP("906-424348-110",B:AB,30+8,0),0)</f>
        <v>0</v>
      </c>
      <c r="AN1358">
        <f>IFERROR(VLOOKUP("906-424348-110",B:AB,31+8,0),0)</f>
        <v>0</v>
      </c>
      <c r="AO1358">
        <f>SUN(INDIRECT(ADDRESS(1357,8)):INDIRECT(ADDRESS(1357,39)))</f>
        <v>0</v>
      </c>
    </row>
    <row r="1359" spans="1:41">
      <c r="H1359" t="s">
        <v>179</v>
      </c>
      <c r="J1359">
        <f>INDIRECT(ADDRESS(1359,9))+INDIRECT(ADDRESS(1357,10))-INDIRECT(ADDRESS(1358,10))</f>
        <v>0</v>
      </c>
      <c r="K1359">
        <f>INDIRECT(ADDRESS(1359,10))+INDIRECT(ADDRESS(1357,11))-INDIRECT(ADDRESS(1358,11))</f>
        <v>0</v>
      </c>
      <c r="L1359">
        <f>INDIRECT(ADDRESS(1359,11))+INDIRECT(ADDRESS(1357,12))-INDIRECT(ADDRESS(1358,12))</f>
        <v>0</v>
      </c>
      <c r="M1359">
        <f>INDIRECT(ADDRESS(1359,12))+INDIRECT(ADDRESS(1357,13))-INDIRECT(ADDRESS(1358,13))</f>
        <v>0</v>
      </c>
      <c r="N1359">
        <f>INDIRECT(ADDRESS(1359,13))+INDIRECT(ADDRESS(1357,14))-INDIRECT(ADDRESS(1358,14))</f>
        <v>0</v>
      </c>
      <c r="O1359">
        <f>INDIRECT(ADDRESS(1359,14))+INDIRECT(ADDRESS(1357,15))-INDIRECT(ADDRESS(1358,15))</f>
        <v>0</v>
      </c>
      <c r="P1359">
        <f>INDIRECT(ADDRESS(1359,15))+INDIRECT(ADDRESS(1357,16))-INDIRECT(ADDRESS(1358,16))</f>
        <v>0</v>
      </c>
      <c r="Q1359">
        <f>INDIRECT(ADDRESS(1359,16))+INDIRECT(ADDRESS(1357,17))-INDIRECT(ADDRESS(1358,17))</f>
        <v>0</v>
      </c>
      <c r="R1359">
        <f>INDIRECT(ADDRESS(1359,17))+INDIRECT(ADDRESS(1357,18))-INDIRECT(ADDRESS(1358,18))</f>
        <v>0</v>
      </c>
      <c r="S1359">
        <f>INDIRECT(ADDRESS(1359,18))+INDIRECT(ADDRESS(1357,19))-INDIRECT(ADDRESS(1358,19))</f>
        <v>0</v>
      </c>
      <c r="T1359">
        <f>INDIRECT(ADDRESS(1359,19))+INDIRECT(ADDRESS(1357,20))-INDIRECT(ADDRESS(1358,20))</f>
        <v>0</v>
      </c>
      <c r="U1359">
        <f>INDIRECT(ADDRESS(1359,20))+INDIRECT(ADDRESS(1357,21))-INDIRECT(ADDRESS(1358,21))</f>
        <v>0</v>
      </c>
      <c r="V1359">
        <f>INDIRECT(ADDRESS(1359,21))+INDIRECT(ADDRESS(1357,22))-INDIRECT(ADDRESS(1358,22))</f>
        <v>0</v>
      </c>
      <c r="W1359">
        <f>INDIRECT(ADDRESS(1359,22))+INDIRECT(ADDRESS(1357,23))-INDIRECT(ADDRESS(1358,23))</f>
        <v>0</v>
      </c>
      <c r="X1359">
        <f>INDIRECT(ADDRESS(1359,23))+INDIRECT(ADDRESS(1357,24))-INDIRECT(ADDRESS(1358,24))</f>
        <v>0</v>
      </c>
      <c r="Y1359">
        <f>INDIRECT(ADDRESS(1359,24))+INDIRECT(ADDRESS(1357,25))-INDIRECT(ADDRESS(1358,25))</f>
        <v>0</v>
      </c>
      <c r="Z1359">
        <f>INDIRECT(ADDRESS(1359,25))+INDIRECT(ADDRESS(1357,26))-INDIRECT(ADDRESS(1358,26))</f>
        <v>0</v>
      </c>
      <c r="AA1359">
        <f>INDIRECT(ADDRESS(1359,26))+INDIRECT(ADDRESS(1357,27))-INDIRECT(ADDRESS(1358,27))</f>
        <v>0</v>
      </c>
      <c r="AB1359">
        <f>INDIRECT(ADDRESS(1359,27))+INDIRECT(ADDRESS(1357,28))-INDIRECT(ADDRESS(1358,28))</f>
        <v>0</v>
      </c>
      <c r="AC1359">
        <f>INDIRECT(ADDRESS(1359,28))+INDIRECT(ADDRESS(1357,29))-INDIRECT(ADDRESS(1358,29))</f>
        <v>0</v>
      </c>
      <c r="AD1359">
        <f>INDIRECT(ADDRESS(1359,29))+INDIRECT(ADDRESS(1357,30))-INDIRECT(ADDRESS(1358,30))</f>
        <v>0</v>
      </c>
      <c r="AE1359">
        <f>INDIRECT(ADDRESS(1359,30))+INDIRECT(ADDRESS(1357,31))-INDIRECT(ADDRESS(1358,31))</f>
        <v>0</v>
      </c>
      <c r="AF1359">
        <f>INDIRECT(ADDRESS(1359,31))+INDIRECT(ADDRESS(1357,32))-INDIRECT(ADDRESS(1358,32))</f>
        <v>0</v>
      </c>
      <c r="AG1359">
        <f>INDIRECT(ADDRESS(1359,32))+INDIRECT(ADDRESS(1357,33))-INDIRECT(ADDRESS(1358,33))</f>
        <v>0</v>
      </c>
      <c r="AH1359">
        <f>INDIRECT(ADDRESS(1359,33))+INDIRECT(ADDRESS(1357,34))-INDIRECT(ADDRESS(1358,34))</f>
        <v>0</v>
      </c>
      <c r="AI1359">
        <f>INDIRECT(ADDRESS(1359,34))+INDIRECT(ADDRESS(1357,35))-INDIRECT(ADDRESS(1358,35))</f>
        <v>0</v>
      </c>
      <c r="AJ1359">
        <f>INDIRECT(ADDRESS(1359,35))+INDIRECT(ADDRESS(1357,36))-INDIRECT(ADDRESS(1358,36))</f>
        <v>0</v>
      </c>
      <c r="AK1359">
        <f>INDIRECT(ADDRESS(1359,36))+INDIRECT(ADDRESS(1357,37))-INDIRECT(ADDRESS(1358,37))</f>
        <v>0</v>
      </c>
      <c r="AL1359">
        <f>INDIRECT(ADDRESS(1359,37))+INDIRECT(ADDRESS(1357,38))-INDIRECT(ADDRESS(1358,38))</f>
        <v>0</v>
      </c>
      <c r="AM1359">
        <f>INDIRECT(ADDRESS(1359,38))+INDIRECT(ADDRESS(1357,39))-INDIRECT(ADDRESS(1358,39))</f>
        <v>0</v>
      </c>
      <c r="AN1359">
        <f>INDIRECT(ADDRESS(1359,39))+INDIRECT(ADDRESS(1357,40))-INDIRECT(ADDRESS(1358,40))</f>
        <v>0</v>
      </c>
      <c r="AO1359">
        <f>SUM(INDIRECT(ADDRESS(1358,8)):INDIRECT(ADDRESS(1358,39)))</f>
        <v>0</v>
      </c>
    </row>
    <row r="1360" spans="1:41">
      <c r="A1360" t="s">
        <v>185</v>
      </c>
      <c r="B1360" t="s">
        <v>672</v>
      </c>
      <c r="C1360" t="s">
        <v>673</v>
      </c>
      <c r="E1360">
        <v>2</v>
      </c>
      <c r="I1360" t="s">
        <v>177</v>
      </c>
    </row>
    <row r="1361" spans="1:41">
      <c r="I1361" t="s">
        <v>178</v>
      </c>
      <c r="J1361">
        <f>IFERROR(VLOOKUP("906-424348-110",B:AB,1+8,0),0)</f>
        <v>0</v>
      </c>
      <c r="K1361">
        <f>IFERROR(VLOOKUP("906-424348-110",B:AB,2+8,0),0)</f>
        <v>0</v>
      </c>
      <c r="L1361">
        <f>IFERROR(VLOOKUP("906-424348-110",B:AB,3+8,0),0)</f>
        <v>0</v>
      </c>
      <c r="M1361">
        <f>IFERROR(VLOOKUP("906-424348-110",B:AB,4+8,0),0)</f>
        <v>0</v>
      </c>
      <c r="N1361">
        <f>IFERROR(VLOOKUP("906-424348-110",B:AB,5+8,0),0)</f>
        <v>0</v>
      </c>
      <c r="O1361">
        <f>IFERROR(VLOOKUP("906-424348-110",B:AB,6+8,0),0)</f>
        <v>0</v>
      </c>
      <c r="P1361">
        <f>IFERROR(VLOOKUP("906-424348-110",B:AB,7+8,0),0)</f>
        <v>0</v>
      </c>
      <c r="Q1361">
        <f>IFERROR(VLOOKUP("906-424348-110",B:AB,8+8,0),0)</f>
        <v>0</v>
      </c>
      <c r="R1361">
        <f>IFERROR(VLOOKUP("906-424348-110",B:AB,9+8,0),0)</f>
        <v>0</v>
      </c>
      <c r="S1361">
        <f>IFERROR(VLOOKUP("906-424348-110",B:AB,10+8,0),0)</f>
        <v>0</v>
      </c>
      <c r="T1361">
        <f>IFERROR(VLOOKUP("906-424348-110",B:AB,11+8,0),0)</f>
        <v>0</v>
      </c>
      <c r="U1361">
        <f>IFERROR(VLOOKUP("906-424348-110",B:AB,12+8,0),0)</f>
        <v>0</v>
      </c>
      <c r="V1361">
        <f>IFERROR(VLOOKUP("906-424348-110",B:AB,13+8,0),0)</f>
        <v>0</v>
      </c>
      <c r="W1361">
        <f>IFERROR(VLOOKUP("906-424348-110",B:AB,14+8,0),0)</f>
        <v>0</v>
      </c>
      <c r="X1361">
        <f>IFERROR(VLOOKUP("906-424348-110",B:AB,15+8,0),0)</f>
        <v>0</v>
      </c>
      <c r="Y1361">
        <f>IFERROR(VLOOKUP("906-424348-110",B:AB,16+8,0),0)</f>
        <v>0</v>
      </c>
      <c r="Z1361">
        <f>IFERROR(VLOOKUP("906-424348-110",B:AB,17+8,0),0)</f>
        <v>0</v>
      </c>
      <c r="AA1361">
        <f>IFERROR(VLOOKUP("906-424348-110",B:AB,18+8,0),0)</f>
        <v>0</v>
      </c>
      <c r="AB1361">
        <f>IFERROR(VLOOKUP("906-424348-110",B:AB,19+8,0),0)</f>
        <v>0</v>
      </c>
      <c r="AC1361">
        <f>IFERROR(VLOOKUP("906-424348-110",B:AB,20+8,0),0)</f>
        <v>0</v>
      </c>
      <c r="AD1361">
        <f>IFERROR(VLOOKUP("906-424348-110",B:AB,21+8,0),0)</f>
        <v>0</v>
      </c>
      <c r="AE1361">
        <f>IFERROR(VLOOKUP("906-424348-110",B:AB,22+8,0),0)</f>
        <v>0</v>
      </c>
      <c r="AF1361">
        <f>IFERROR(VLOOKUP("906-424348-110",B:AB,23+8,0),0)</f>
        <v>0</v>
      </c>
      <c r="AG1361">
        <f>IFERROR(VLOOKUP("906-424348-110",B:AB,24+8,0),0)</f>
        <v>0</v>
      </c>
      <c r="AH1361">
        <f>IFERROR(VLOOKUP("906-424348-110",B:AB,25+8,0),0)</f>
        <v>0</v>
      </c>
      <c r="AI1361">
        <f>IFERROR(VLOOKUP("906-424348-110",B:AB,26+8,0),0)</f>
        <v>0</v>
      </c>
      <c r="AJ1361">
        <f>IFERROR(VLOOKUP("906-424348-110",B:AB,27+8,0),0)</f>
        <v>0</v>
      </c>
      <c r="AK1361">
        <f>IFERROR(VLOOKUP("906-424348-110",B:AB,28+8,0),0)</f>
        <v>0</v>
      </c>
      <c r="AL1361">
        <f>IFERROR(VLOOKUP("906-424348-110",B:AB,29+8,0),0)</f>
        <v>0</v>
      </c>
      <c r="AM1361">
        <f>IFERROR(VLOOKUP("906-424348-110",B:AB,30+8,0),0)</f>
        <v>0</v>
      </c>
      <c r="AN1361">
        <f>IFERROR(VLOOKUP("906-424348-110",B:AB,31+8,0),0)</f>
        <v>0</v>
      </c>
      <c r="AO1361">
        <f>SUN(INDIRECT(ADDRESS(1360,8)):INDIRECT(ADDRESS(1360,39)))</f>
        <v>0</v>
      </c>
    </row>
    <row r="1362" spans="1:41">
      <c r="H1362" t="s">
        <v>179</v>
      </c>
      <c r="J1362">
        <f>INDIRECT(ADDRESS(1362,9))+INDIRECT(ADDRESS(1360,10))-INDIRECT(ADDRESS(1361,10))</f>
        <v>0</v>
      </c>
      <c r="K1362">
        <f>INDIRECT(ADDRESS(1362,10))+INDIRECT(ADDRESS(1360,11))-INDIRECT(ADDRESS(1361,11))</f>
        <v>0</v>
      </c>
      <c r="L1362">
        <f>INDIRECT(ADDRESS(1362,11))+INDIRECT(ADDRESS(1360,12))-INDIRECT(ADDRESS(1361,12))</f>
        <v>0</v>
      </c>
      <c r="M1362">
        <f>INDIRECT(ADDRESS(1362,12))+INDIRECT(ADDRESS(1360,13))-INDIRECT(ADDRESS(1361,13))</f>
        <v>0</v>
      </c>
      <c r="N1362">
        <f>INDIRECT(ADDRESS(1362,13))+INDIRECT(ADDRESS(1360,14))-INDIRECT(ADDRESS(1361,14))</f>
        <v>0</v>
      </c>
      <c r="O1362">
        <f>INDIRECT(ADDRESS(1362,14))+INDIRECT(ADDRESS(1360,15))-INDIRECT(ADDRESS(1361,15))</f>
        <v>0</v>
      </c>
      <c r="P1362">
        <f>INDIRECT(ADDRESS(1362,15))+INDIRECT(ADDRESS(1360,16))-INDIRECT(ADDRESS(1361,16))</f>
        <v>0</v>
      </c>
      <c r="Q1362">
        <f>INDIRECT(ADDRESS(1362,16))+INDIRECT(ADDRESS(1360,17))-INDIRECT(ADDRESS(1361,17))</f>
        <v>0</v>
      </c>
      <c r="R1362">
        <f>INDIRECT(ADDRESS(1362,17))+INDIRECT(ADDRESS(1360,18))-INDIRECT(ADDRESS(1361,18))</f>
        <v>0</v>
      </c>
      <c r="S1362">
        <f>INDIRECT(ADDRESS(1362,18))+INDIRECT(ADDRESS(1360,19))-INDIRECT(ADDRESS(1361,19))</f>
        <v>0</v>
      </c>
      <c r="T1362">
        <f>INDIRECT(ADDRESS(1362,19))+INDIRECT(ADDRESS(1360,20))-INDIRECT(ADDRESS(1361,20))</f>
        <v>0</v>
      </c>
      <c r="U1362">
        <f>INDIRECT(ADDRESS(1362,20))+INDIRECT(ADDRESS(1360,21))-INDIRECT(ADDRESS(1361,21))</f>
        <v>0</v>
      </c>
      <c r="V1362">
        <f>INDIRECT(ADDRESS(1362,21))+INDIRECT(ADDRESS(1360,22))-INDIRECT(ADDRESS(1361,22))</f>
        <v>0</v>
      </c>
      <c r="W1362">
        <f>INDIRECT(ADDRESS(1362,22))+INDIRECT(ADDRESS(1360,23))-INDIRECT(ADDRESS(1361,23))</f>
        <v>0</v>
      </c>
      <c r="X1362">
        <f>INDIRECT(ADDRESS(1362,23))+INDIRECT(ADDRESS(1360,24))-INDIRECT(ADDRESS(1361,24))</f>
        <v>0</v>
      </c>
      <c r="Y1362">
        <f>INDIRECT(ADDRESS(1362,24))+INDIRECT(ADDRESS(1360,25))-INDIRECT(ADDRESS(1361,25))</f>
        <v>0</v>
      </c>
      <c r="Z1362">
        <f>INDIRECT(ADDRESS(1362,25))+INDIRECT(ADDRESS(1360,26))-INDIRECT(ADDRESS(1361,26))</f>
        <v>0</v>
      </c>
      <c r="AA1362">
        <f>INDIRECT(ADDRESS(1362,26))+INDIRECT(ADDRESS(1360,27))-INDIRECT(ADDRESS(1361,27))</f>
        <v>0</v>
      </c>
      <c r="AB1362">
        <f>INDIRECT(ADDRESS(1362,27))+INDIRECT(ADDRESS(1360,28))-INDIRECT(ADDRESS(1361,28))</f>
        <v>0</v>
      </c>
      <c r="AC1362">
        <f>INDIRECT(ADDRESS(1362,28))+INDIRECT(ADDRESS(1360,29))-INDIRECT(ADDRESS(1361,29))</f>
        <v>0</v>
      </c>
      <c r="AD1362">
        <f>INDIRECT(ADDRESS(1362,29))+INDIRECT(ADDRESS(1360,30))-INDIRECT(ADDRESS(1361,30))</f>
        <v>0</v>
      </c>
      <c r="AE1362">
        <f>INDIRECT(ADDRESS(1362,30))+INDIRECT(ADDRESS(1360,31))-INDIRECT(ADDRESS(1361,31))</f>
        <v>0</v>
      </c>
      <c r="AF1362">
        <f>INDIRECT(ADDRESS(1362,31))+INDIRECT(ADDRESS(1360,32))-INDIRECT(ADDRESS(1361,32))</f>
        <v>0</v>
      </c>
      <c r="AG1362">
        <f>INDIRECT(ADDRESS(1362,32))+INDIRECT(ADDRESS(1360,33))-INDIRECT(ADDRESS(1361,33))</f>
        <v>0</v>
      </c>
      <c r="AH1362">
        <f>INDIRECT(ADDRESS(1362,33))+INDIRECT(ADDRESS(1360,34))-INDIRECT(ADDRESS(1361,34))</f>
        <v>0</v>
      </c>
      <c r="AI1362">
        <f>INDIRECT(ADDRESS(1362,34))+INDIRECT(ADDRESS(1360,35))-INDIRECT(ADDRESS(1361,35))</f>
        <v>0</v>
      </c>
      <c r="AJ1362">
        <f>INDIRECT(ADDRESS(1362,35))+INDIRECT(ADDRESS(1360,36))-INDIRECT(ADDRESS(1361,36))</f>
        <v>0</v>
      </c>
      <c r="AK1362">
        <f>INDIRECT(ADDRESS(1362,36))+INDIRECT(ADDRESS(1360,37))-INDIRECT(ADDRESS(1361,37))</f>
        <v>0</v>
      </c>
      <c r="AL1362">
        <f>INDIRECT(ADDRESS(1362,37))+INDIRECT(ADDRESS(1360,38))-INDIRECT(ADDRESS(1361,38))</f>
        <v>0</v>
      </c>
      <c r="AM1362">
        <f>INDIRECT(ADDRESS(1362,38))+INDIRECT(ADDRESS(1360,39))-INDIRECT(ADDRESS(1361,39))</f>
        <v>0</v>
      </c>
      <c r="AN1362">
        <f>INDIRECT(ADDRESS(1362,39))+INDIRECT(ADDRESS(1360,40))-INDIRECT(ADDRESS(1361,40))</f>
        <v>0</v>
      </c>
      <c r="AO1362">
        <f>SUM(INDIRECT(ADDRESS(1361,8)):INDIRECT(ADDRESS(1361,39)))</f>
        <v>0</v>
      </c>
    </row>
    <row r="1363" spans="1:41">
      <c r="A1363" t="s">
        <v>185</v>
      </c>
      <c r="B1363" t="s">
        <v>674</v>
      </c>
      <c r="C1363" t="s">
        <v>675</v>
      </c>
      <c r="E1363">
        <v>1</v>
      </c>
      <c r="I1363" t="s">
        <v>177</v>
      </c>
    </row>
    <row r="1364" spans="1:41">
      <c r="I1364" t="s">
        <v>178</v>
      </c>
      <c r="J1364">
        <f>IFERROR(VLOOKUP("906-424348-110",B:AB,1+8,0),0)</f>
        <v>0</v>
      </c>
      <c r="K1364">
        <f>IFERROR(VLOOKUP("906-424348-110",B:AB,2+8,0),0)</f>
        <v>0</v>
      </c>
      <c r="L1364">
        <f>IFERROR(VLOOKUP("906-424348-110",B:AB,3+8,0),0)</f>
        <v>0</v>
      </c>
      <c r="M1364">
        <f>IFERROR(VLOOKUP("906-424348-110",B:AB,4+8,0),0)</f>
        <v>0</v>
      </c>
      <c r="N1364">
        <f>IFERROR(VLOOKUP("906-424348-110",B:AB,5+8,0),0)</f>
        <v>0</v>
      </c>
      <c r="O1364">
        <f>IFERROR(VLOOKUP("906-424348-110",B:AB,6+8,0),0)</f>
        <v>0</v>
      </c>
      <c r="P1364">
        <f>IFERROR(VLOOKUP("906-424348-110",B:AB,7+8,0),0)</f>
        <v>0</v>
      </c>
      <c r="Q1364">
        <f>IFERROR(VLOOKUP("906-424348-110",B:AB,8+8,0),0)</f>
        <v>0</v>
      </c>
      <c r="R1364">
        <f>IFERROR(VLOOKUP("906-424348-110",B:AB,9+8,0),0)</f>
        <v>0</v>
      </c>
      <c r="S1364">
        <f>IFERROR(VLOOKUP("906-424348-110",B:AB,10+8,0),0)</f>
        <v>0</v>
      </c>
      <c r="T1364">
        <f>IFERROR(VLOOKUP("906-424348-110",B:AB,11+8,0),0)</f>
        <v>0</v>
      </c>
      <c r="U1364">
        <f>IFERROR(VLOOKUP("906-424348-110",B:AB,12+8,0),0)</f>
        <v>0</v>
      </c>
      <c r="V1364">
        <f>IFERROR(VLOOKUP("906-424348-110",B:AB,13+8,0),0)</f>
        <v>0</v>
      </c>
      <c r="W1364">
        <f>IFERROR(VLOOKUP("906-424348-110",B:AB,14+8,0),0)</f>
        <v>0</v>
      </c>
      <c r="X1364">
        <f>IFERROR(VLOOKUP("906-424348-110",B:AB,15+8,0),0)</f>
        <v>0</v>
      </c>
      <c r="Y1364">
        <f>IFERROR(VLOOKUP("906-424348-110",B:AB,16+8,0),0)</f>
        <v>0</v>
      </c>
      <c r="Z1364">
        <f>IFERROR(VLOOKUP("906-424348-110",B:AB,17+8,0),0)</f>
        <v>0</v>
      </c>
      <c r="AA1364">
        <f>IFERROR(VLOOKUP("906-424348-110",B:AB,18+8,0),0)</f>
        <v>0</v>
      </c>
      <c r="AB1364">
        <f>IFERROR(VLOOKUP("906-424348-110",B:AB,19+8,0),0)</f>
        <v>0</v>
      </c>
      <c r="AC1364">
        <f>IFERROR(VLOOKUP("906-424348-110",B:AB,20+8,0),0)</f>
        <v>0</v>
      </c>
      <c r="AD1364">
        <f>IFERROR(VLOOKUP("906-424348-110",B:AB,21+8,0),0)</f>
        <v>0</v>
      </c>
      <c r="AE1364">
        <f>IFERROR(VLOOKUP("906-424348-110",B:AB,22+8,0),0)</f>
        <v>0</v>
      </c>
      <c r="AF1364">
        <f>IFERROR(VLOOKUP("906-424348-110",B:AB,23+8,0),0)</f>
        <v>0</v>
      </c>
      <c r="AG1364">
        <f>IFERROR(VLOOKUP("906-424348-110",B:AB,24+8,0),0)</f>
        <v>0</v>
      </c>
      <c r="AH1364">
        <f>IFERROR(VLOOKUP("906-424348-110",B:AB,25+8,0),0)</f>
        <v>0</v>
      </c>
      <c r="AI1364">
        <f>IFERROR(VLOOKUP("906-424348-110",B:AB,26+8,0),0)</f>
        <v>0</v>
      </c>
      <c r="AJ1364">
        <f>IFERROR(VLOOKUP("906-424348-110",B:AB,27+8,0),0)</f>
        <v>0</v>
      </c>
      <c r="AK1364">
        <f>IFERROR(VLOOKUP("906-424348-110",B:AB,28+8,0),0)</f>
        <v>0</v>
      </c>
      <c r="AL1364">
        <f>IFERROR(VLOOKUP("906-424348-110",B:AB,29+8,0),0)</f>
        <v>0</v>
      </c>
      <c r="AM1364">
        <f>IFERROR(VLOOKUP("906-424348-110",B:AB,30+8,0),0)</f>
        <v>0</v>
      </c>
      <c r="AN1364">
        <f>IFERROR(VLOOKUP("906-424348-110",B:AB,31+8,0),0)</f>
        <v>0</v>
      </c>
      <c r="AO1364">
        <f>SUN(INDIRECT(ADDRESS(1363,8)):INDIRECT(ADDRESS(1363,39)))</f>
        <v>0</v>
      </c>
    </row>
    <row r="1365" spans="1:41">
      <c r="H1365" t="s">
        <v>179</v>
      </c>
      <c r="J1365">
        <f>INDIRECT(ADDRESS(1365,9))+INDIRECT(ADDRESS(1363,10))-INDIRECT(ADDRESS(1364,10))</f>
        <v>0</v>
      </c>
      <c r="K1365">
        <f>INDIRECT(ADDRESS(1365,10))+INDIRECT(ADDRESS(1363,11))-INDIRECT(ADDRESS(1364,11))</f>
        <v>0</v>
      </c>
      <c r="L1365">
        <f>INDIRECT(ADDRESS(1365,11))+INDIRECT(ADDRESS(1363,12))-INDIRECT(ADDRESS(1364,12))</f>
        <v>0</v>
      </c>
      <c r="M1365">
        <f>INDIRECT(ADDRESS(1365,12))+INDIRECT(ADDRESS(1363,13))-INDIRECT(ADDRESS(1364,13))</f>
        <v>0</v>
      </c>
      <c r="N1365">
        <f>INDIRECT(ADDRESS(1365,13))+INDIRECT(ADDRESS(1363,14))-INDIRECT(ADDRESS(1364,14))</f>
        <v>0</v>
      </c>
      <c r="O1365">
        <f>INDIRECT(ADDRESS(1365,14))+INDIRECT(ADDRESS(1363,15))-INDIRECT(ADDRESS(1364,15))</f>
        <v>0</v>
      </c>
      <c r="P1365">
        <f>INDIRECT(ADDRESS(1365,15))+INDIRECT(ADDRESS(1363,16))-INDIRECT(ADDRESS(1364,16))</f>
        <v>0</v>
      </c>
      <c r="Q1365">
        <f>INDIRECT(ADDRESS(1365,16))+INDIRECT(ADDRESS(1363,17))-INDIRECT(ADDRESS(1364,17))</f>
        <v>0</v>
      </c>
      <c r="R1365">
        <f>INDIRECT(ADDRESS(1365,17))+INDIRECT(ADDRESS(1363,18))-INDIRECT(ADDRESS(1364,18))</f>
        <v>0</v>
      </c>
      <c r="S1365">
        <f>INDIRECT(ADDRESS(1365,18))+INDIRECT(ADDRESS(1363,19))-INDIRECT(ADDRESS(1364,19))</f>
        <v>0</v>
      </c>
      <c r="T1365">
        <f>INDIRECT(ADDRESS(1365,19))+INDIRECT(ADDRESS(1363,20))-INDIRECT(ADDRESS(1364,20))</f>
        <v>0</v>
      </c>
      <c r="U1365">
        <f>INDIRECT(ADDRESS(1365,20))+INDIRECT(ADDRESS(1363,21))-INDIRECT(ADDRESS(1364,21))</f>
        <v>0</v>
      </c>
      <c r="V1365">
        <f>INDIRECT(ADDRESS(1365,21))+INDIRECT(ADDRESS(1363,22))-INDIRECT(ADDRESS(1364,22))</f>
        <v>0</v>
      </c>
      <c r="W1365">
        <f>INDIRECT(ADDRESS(1365,22))+INDIRECT(ADDRESS(1363,23))-INDIRECT(ADDRESS(1364,23))</f>
        <v>0</v>
      </c>
      <c r="X1365">
        <f>INDIRECT(ADDRESS(1365,23))+INDIRECT(ADDRESS(1363,24))-INDIRECT(ADDRESS(1364,24))</f>
        <v>0</v>
      </c>
      <c r="Y1365">
        <f>INDIRECT(ADDRESS(1365,24))+INDIRECT(ADDRESS(1363,25))-INDIRECT(ADDRESS(1364,25))</f>
        <v>0</v>
      </c>
      <c r="Z1365">
        <f>INDIRECT(ADDRESS(1365,25))+INDIRECT(ADDRESS(1363,26))-INDIRECT(ADDRESS(1364,26))</f>
        <v>0</v>
      </c>
      <c r="AA1365">
        <f>INDIRECT(ADDRESS(1365,26))+INDIRECT(ADDRESS(1363,27))-INDIRECT(ADDRESS(1364,27))</f>
        <v>0</v>
      </c>
      <c r="AB1365">
        <f>INDIRECT(ADDRESS(1365,27))+INDIRECT(ADDRESS(1363,28))-INDIRECT(ADDRESS(1364,28))</f>
        <v>0</v>
      </c>
      <c r="AC1365">
        <f>INDIRECT(ADDRESS(1365,28))+INDIRECT(ADDRESS(1363,29))-INDIRECT(ADDRESS(1364,29))</f>
        <v>0</v>
      </c>
      <c r="AD1365">
        <f>INDIRECT(ADDRESS(1365,29))+INDIRECT(ADDRESS(1363,30))-INDIRECT(ADDRESS(1364,30))</f>
        <v>0</v>
      </c>
      <c r="AE1365">
        <f>INDIRECT(ADDRESS(1365,30))+INDIRECT(ADDRESS(1363,31))-INDIRECT(ADDRESS(1364,31))</f>
        <v>0</v>
      </c>
      <c r="AF1365">
        <f>INDIRECT(ADDRESS(1365,31))+INDIRECT(ADDRESS(1363,32))-INDIRECT(ADDRESS(1364,32))</f>
        <v>0</v>
      </c>
      <c r="AG1365">
        <f>INDIRECT(ADDRESS(1365,32))+INDIRECT(ADDRESS(1363,33))-INDIRECT(ADDRESS(1364,33))</f>
        <v>0</v>
      </c>
      <c r="AH1365">
        <f>INDIRECT(ADDRESS(1365,33))+INDIRECT(ADDRESS(1363,34))-INDIRECT(ADDRESS(1364,34))</f>
        <v>0</v>
      </c>
      <c r="AI1365">
        <f>INDIRECT(ADDRESS(1365,34))+INDIRECT(ADDRESS(1363,35))-INDIRECT(ADDRESS(1364,35))</f>
        <v>0</v>
      </c>
      <c r="AJ1365">
        <f>INDIRECT(ADDRESS(1365,35))+INDIRECT(ADDRESS(1363,36))-INDIRECT(ADDRESS(1364,36))</f>
        <v>0</v>
      </c>
      <c r="AK1365">
        <f>INDIRECT(ADDRESS(1365,36))+INDIRECT(ADDRESS(1363,37))-INDIRECT(ADDRESS(1364,37))</f>
        <v>0</v>
      </c>
      <c r="AL1365">
        <f>INDIRECT(ADDRESS(1365,37))+INDIRECT(ADDRESS(1363,38))-INDIRECT(ADDRESS(1364,38))</f>
        <v>0</v>
      </c>
      <c r="AM1365">
        <f>INDIRECT(ADDRESS(1365,38))+INDIRECT(ADDRESS(1363,39))-INDIRECT(ADDRESS(1364,39))</f>
        <v>0</v>
      </c>
      <c r="AN1365">
        <f>INDIRECT(ADDRESS(1365,39))+INDIRECT(ADDRESS(1363,40))-INDIRECT(ADDRESS(1364,40))</f>
        <v>0</v>
      </c>
      <c r="AO1365">
        <f>SUM(INDIRECT(ADDRESS(1364,8)):INDIRECT(ADDRESS(1364,39)))</f>
        <v>0</v>
      </c>
    </row>
    <row r="1366" spans="1:41">
      <c r="A1366" t="s">
        <v>185</v>
      </c>
      <c r="B1366" t="s">
        <v>676</v>
      </c>
      <c r="C1366" t="s">
        <v>677</v>
      </c>
      <c r="E1366">
        <v>1</v>
      </c>
      <c r="I1366" t="s">
        <v>177</v>
      </c>
    </row>
    <row r="1367" spans="1:41">
      <c r="I1367" t="s">
        <v>178</v>
      </c>
      <c r="J1367">
        <f>IFERROR(VLOOKUP("906-424348-110",B:AB,1+8,0),0)</f>
        <v>0</v>
      </c>
      <c r="K1367">
        <f>IFERROR(VLOOKUP("906-424348-110",B:AB,2+8,0),0)</f>
        <v>0</v>
      </c>
      <c r="L1367">
        <f>IFERROR(VLOOKUP("906-424348-110",B:AB,3+8,0),0)</f>
        <v>0</v>
      </c>
      <c r="M1367">
        <f>IFERROR(VLOOKUP("906-424348-110",B:AB,4+8,0),0)</f>
        <v>0</v>
      </c>
      <c r="N1367">
        <f>IFERROR(VLOOKUP("906-424348-110",B:AB,5+8,0),0)</f>
        <v>0</v>
      </c>
      <c r="O1367">
        <f>IFERROR(VLOOKUP("906-424348-110",B:AB,6+8,0),0)</f>
        <v>0</v>
      </c>
      <c r="P1367">
        <f>IFERROR(VLOOKUP("906-424348-110",B:AB,7+8,0),0)</f>
        <v>0</v>
      </c>
      <c r="Q1367">
        <f>IFERROR(VLOOKUP("906-424348-110",B:AB,8+8,0),0)</f>
        <v>0</v>
      </c>
      <c r="R1367">
        <f>IFERROR(VLOOKUP("906-424348-110",B:AB,9+8,0),0)</f>
        <v>0</v>
      </c>
      <c r="S1367">
        <f>IFERROR(VLOOKUP("906-424348-110",B:AB,10+8,0),0)</f>
        <v>0</v>
      </c>
      <c r="T1367">
        <f>IFERROR(VLOOKUP("906-424348-110",B:AB,11+8,0),0)</f>
        <v>0</v>
      </c>
      <c r="U1367">
        <f>IFERROR(VLOOKUP("906-424348-110",B:AB,12+8,0),0)</f>
        <v>0</v>
      </c>
      <c r="V1367">
        <f>IFERROR(VLOOKUP("906-424348-110",B:AB,13+8,0),0)</f>
        <v>0</v>
      </c>
      <c r="W1367">
        <f>IFERROR(VLOOKUP("906-424348-110",B:AB,14+8,0),0)</f>
        <v>0</v>
      </c>
      <c r="X1367">
        <f>IFERROR(VLOOKUP("906-424348-110",B:AB,15+8,0),0)</f>
        <v>0</v>
      </c>
      <c r="Y1367">
        <f>IFERROR(VLOOKUP("906-424348-110",B:AB,16+8,0),0)</f>
        <v>0</v>
      </c>
      <c r="Z1367">
        <f>IFERROR(VLOOKUP("906-424348-110",B:AB,17+8,0),0)</f>
        <v>0</v>
      </c>
      <c r="AA1367">
        <f>IFERROR(VLOOKUP("906-424348-110",B:AB,18+8,0),0)</f>
        <v>0</v>
      </c>
      <c r="AB1367">
        <f>IFERROR(VLOOKUP("906-424348-110",B:AB,19+8,0),0)</f>
        <v>0</v>
      </c>
      <c r="AC1367">
        <f>IFERROR(VLOOKUP("906-424348-110",B:AB,20+8,0),0)</f>
        <v>0</v>
      </c>
      <c r="AD1367">
        <f>IFERROR(VLOOKUP("906-424348-110",B:AB,21+8,0),0)</f>
        <v>0</v>
      </c>
      <c r="AE1367">
        <f>IFERROR(VLOOKUP("906-424348-110",B:AB,22+8,0),0)</f>
        <v>0</v>
      </c>
      <c r="AF1367">
        <f>IFERROR(VLOOKUP("906-424348-110",B:AB,23+8,0),0)</f>
        <v>0</v>
      </c>
      <c r="AG1367">
        <f>IFERROR(VLOOKUP("906-424348-110",B:AB,24+8,0),0)</f>
        <v>0</v>
      </c>
      <c r="AH1367">
        <f>IFERROR(VLOOKUP("906-424348-110",B:AB,25+8,0),0)</f>
        <v>0</v>
      </c>
      <c r="AI1367">
        <f>IFERROR(VLOOKUP("906-424348-110",B:AB,26+8,0),0)</f>
        <v>0</v>
      </c>
      <c r="AJ1367">
        <f>IFERROR(VLOOKUP("906-424348-110",B:AB,27+8,0),0)</f>
        <v>0</v>
      </c>
      <c r="AK1367">
        <f>IFERROR(VLOOKUP("906-424348-110",B:AB,28+8,0),0)</f>
        <v>0</v>
      </c>
      <c r="AL1367">
        <f>IFERROR(VLOOKUP("906-424348-110",B:AB,29+8,0),0)</f>
        <v>0</v>
      </c>
      <c r="AM1367">
        <f>IFERROR(VLOOKUP("906-424348-110",B:AB,30+8,0),0)</f>
        <v>0</v>
      </c>
      <c r="AN1367">
        <f>IFERROR(VLOOKUP("906-424348-110",B:AB,31+8,0),0)</f>
        <v>0</v>
      </c>
      <c r="AO1367">
        <f>SUN(INDIRECT(ADDRESS(1366,8)):INDIRECT(ADDRESS(1366,39)))</f>
        <v>0</v>
      </c>
    </row>
    <row r="1368" spans="1:41">
      <c r="H1368" t="s">
        <v>179</v>
      </c>
      <c r="J1368">
        <f>INDIRECT(ADDRESS(1368,9))+INDIRECT(ADDRESS(1366,10))-INDIRECT(ADDRESS(1367,10))</f>
        <v>0</v>
      </c>
      <c r="K1368">
        <f>INDIRECT(ADDRESS(1368,10))+INDIRECT(ADDRESS(1366,11))-INDIRECT(ADDRESS(1367,11))</f>
        <v>0</v>
      </c>
      <c r="L1368">
        <f>INDIRECT(ADDRESS(1368,11))+INDIRECT(ADDRESS(1366,12))-INDIRECT(ADDRESS(1367,12))</f>
        <v>0</v>
      </c>
      <c r="M1368">
        <f>INDIRECT(ADDRESS(1368,12))+INDIRECT(ADDRESS(1366,13))-INDIRECT(ADDRESS(1367,13))</f>
        <v>0</v>
      </c>
      <c r="N1368">
        <f>INDIRECT(ADDRESS(1368,13))+INDIRECT(ADDRESS(1366,14))-INDIRECT(ADDRESS(1367,14))</f>
        <v>0</v>
      </c>
      <c r="O1368">
        <f>INDIRECT(ADDRESS(1368,14))+INDIRECT(ADDRESS(1366,15))-INDIRECT(ADDRESS(1367,15))</f>
        <v>0</v>
      </c>
      <c r="P1368">
        <f>INDIRECT(ADDRESS(1368,15))+INDIRECT(ADDRESS(1366,16))-INDIRECT(ADDRESS(1367,16))</f>
        <v>0</v>
      </c>
      <c r="Q1368">
        <f>INDIRECT(ADDRESS(1368,16))+INDIRECT(ADDRESS(1366,17))-INDIRECT(ADDRESS(1367,17))</f>
        <v>0</v>
      </c>
      <c r="R1368">
        <f>INDIRECT(ADDRESS(1368,17))+INDIRECT(ADDRESS(1366,18))-INDIRECT(ADDRESS(1367,18))</f>
        <v>0</v>
      </c>
      <c r="S1368">
        <f>INDIRECT(ADDRESS(1368,18))+INDIRECT(ADDRESS(1366,19))-INDIRECT(ADDRESS(1367,19))</f>
        <v>0</v>
      </c>
      <c r="T1368">
        <f>INDIRECT(ADDRESS(1368,19))+INDIRECT(ADDRESS(1366,20))-INDIRECT(ADDRESS(1367,20))</f>
        <v>0</v>
      </c>
      <c r="U1368">
        <f>INDIRECT(ADDRESS(1368,20))+INDIRECT(ADDRESS(1366,21))-INDIRECT(ADDRESS(1367,21))</f>
        <v>0</v>
      </c>
      <c r="V1368">
        <f>INDIRECT(ADDRESS(1368,21))+INDIRECT(ADDRESS(1366,22))-INDIRECT(ADDRESS(1367,22))</f>
        <v>0</v>
      </c>
      <c r="W1368">
        <f>INDIRECT(ADDRESS(1368,22))+INDIRECT(ADDRESS(1366,23))-INDIRECT(ADDRESS(1367,23))</f>
        <v>0</v>
      </c>
      <c r="X1368">
        <f>INDIRECT(ADDRESS(1368,23))+INDIRECT(ADDRESS(1366,24))-INDIRECT(ADDRESS(1367,24))</f>
        <v>0</v>
      </c>
      <c r="Y1368">
        <f>INDIRECT(ADDRESS(1368,24))+INDIRECT(ADDRESS(1366,25))-INDIRECT(ADDRESS(1367,25))</f>
        <v>0</v>
      </c>
      <c r="Z1368">
        <f>INDIRECT(ADDRESS(1368,25))+INDIRECT(ADDRESS(1366,26))-INDIRECT(ADDRESS(1367,26))</f>
        <v>0</v>
      </c>
      <c r="AA1368">
        <f>INDIRECT(ADDRESS(1368,26))+INDIRECT(ADDRESS(1366,27))-INDIRECT(ADDRESS(1367,27))</f>
        <v>0</v>
      </c>
      <c r="AB1368">
        <f>INDIRECT(ADDRESS(1368,27))+INDIRECT(ADDRESS(1366,28))-INDIRECT(ADDRESS(1367,28))</f>
        <v>0</v>
      </c>
      <c r="AC1368">
        <f>INDIRECT(ADDRESS(1368,28))+INDIRECT(ADDRESS(1366,29))-INDIRECT(ADDRESS(1367,29))</f>
        <v>0</v>
      </c>
      <c r="AD1368">
        <f>INDIRECT(ADDRESS(1368,29))+INDIRECT(ADDRESS(1366,30))-INDIRECT(ADDRESS(1367,30))</f>
        <v>0</v>
      </c>
      <c r="AE1368">
        <f>INDIRECT(ADDRESS(1368,30))+INDIRECT(ADDRESS(1366,31))-INDIRECT(ADDRESS(1367,31))</f>
        <v>0</v>
      </c>
      <c r="AF1368">
        <f>INDIRECT(ADDRESS(1368,31))+INDIRECT(ADDRESS(1366,32))-INDIRECT(ADDRESS(1367,32))</f>
        <v>0</v>
      </c>
      <c r="AG1368">
        <f>INDIRECT(ADDRESS(1368,32))+INDIRECT(ADDRESS(1366,33))-INDIRECT(ADDRESS(1367,33))</f>
        <v>0</v>
      </c>
      <c r="AH1368">
        <f>INDIRECT(ADDRESS(1368,33))+INDIRECT(ADDRESS(1366,34))-INDIRECT(ADDRESS(1367,34))</f>
        <v>0</v>
      </c>
      <c r="AI1368">
        <f>INDIRECT(ADDRESS(1368,34))+INDIRECT(ADDRESS(1366,35))-INDIRECT(ADDRESS(1367,35))</f>
        <v>0</v>
      </c>
      <c r="AJ1368">
        <f>INDIRECT(ADDRESS(1368,35))+INDIRECT(ADDRESS(1366,36))-INDIRECT(ADDRESS(1367,36))</f>
        <v>0</v>
      </c>
      <c r="AK1368">
        <f>INDIRECT(ADDRESS(1368,36))+INDIRECT(ADDRESS(1366,37))-INDIRECT(ADDRESS(1367,37))</f>
        <v>0</v>
      </c>
      <c r="AL1368">
        <f>INDIRECT(ADDRESS(1368,37))+INDIRECT(ADDRESS(1366,38))-INDIRECT(ADDRESS(1367,38))</f>
        <v>0</v>
      </c>
      <c r="AM1368">
        <f>INDIRECT(ADDRESS(1368,38))+INDIRECT(ADDRESS(1366,39))-INDIRECT(ADDRESS(1367,39))</f>
        <v>0</v>
      </c>
      <c r="AN1368">
        <f>INDIRECT(ADDRESS(1368,39))+INDIRECT(ADDRESS(1366,40))-INDIRECT(ADDRESS(1367,40))</f>
        <v>0</v>
      </c>
      <c r="AO1368">
        <f>SUM(INDIRECT(ADDRESS(1367,8)):INDIRECT(ADDRESS(1367,39)))</f>
        <v>0</v>
      </c>
    </row>
    <row r="1369" spans="1:41">
      <c r="A1369" t="s">
        <v>185</v>
      </c>
      <c r="B1369" t="s">
        <v>678</v>
      </c>
      <c r="C1369" t="s">
        <v>679</v>
      </c>
      <c r="E1369">
        <v>1</v>
      </c>
      <c r="I1369" t="s">
        <v>177</v>
      </c>
    </row>
    <row r="1370" spans="1:41">
      <c r="I1370" t="s">
        <v>178</v>
      </c>
      <c r="J1370">
        <f>IFERROR(VLOOKUP("906-424348-110",B:AB,1+8,0),0)</f>
        <v>0</v>
      </c>
      <c r="K1370">
        <f>IFERROR(VLOOKUP("906-424348-110",B:AB,2+8,0),0)</f>
        <v>0</v>
      </c>
      <c r="L1370">
        <f>IFERROR(VLOOKUP("906-424348-110",B:AB,3+8,0),0)</f>
        <v>0</v>
      </c>
      <c r="M1370">
        <f>IFERROR(VLOOKUP("906-424348-110",B:AB,4+8,0),0)</f>
        <v>0</v>
      </c>
      <c r="N1370">
        <f>IFERROR(VLOOKUP("906-424348-110",B:AB,5+8,0),0)</f>
        <v>0</v>
      </c>
      <c r="O1370">
        <f>IFERROR(VLOOKUP("906-424348-110",B:AB,6+8,0),0)</f>
        <v>0</v>
      </c>
      <c r="P1370">
        <f>IFERROR(VLOOKUP("906-424348-110",B:AB,7+8,0),0)</f>
        <v>0</v>
      </c>
      <c r="Q1370">
        <f>IFERROR(VLOOKUP("906-424348-110",B:AB,8+8,0),0)</f>
        <v>0</v>
      </c>
      <c r="R1370">
        <f>IFERROR(VLOOKUP("906-424348-110",B:AB,9+8,0),0)</f>
        <v>0</v>
      </c>
      <c r="S1370">
        <f>IFERROR(VLOOKUP("906-424348-110",B:AB,10+8,0),0)</f>
        <v>0</v>
      </c>
      <c r="T1370">
        <f>IFERROR(VLOOKUP("906-424348-110",B:AB,11+8,0),0)</f>
        <v>0</v>
      </c>
      <c r="U1370">
        <f>IFERROR(VLOOKUP("906-424348-110",B:AB,12+8,0),0)</f>
        <v>0</v>
      </c>
      <c r="V1370">
        <f>IFERROR(VLOOKUP("906-424348-110",B:AB,13+8,0),0)</f>
        <v>0</v>
      </c>
      <c r="W1370">
        <f>IFERROR(VLOOKUP("906-424348-110",B:AB,14+8,0),0)</f>
        <v>0</v>
      </c>
      <c r="X1370">
        <f>IFERROR(VLOOKUP("906-424348-110",B:AB,15+8,0),0)</f>
        <v>0</v>
      </c>
      <c r="Y1370">
        <f>IFERROR(VLOOKUP("906-424348-110",B:AB,16+8,0),0)</f>
        <v>0</v>
      </c>
      <c r="Z1370">
        <f>IFERROR(VLOOKUP("906-424348-110",B:AB,17+8,0),0)</f>
        <v>0</v>
      </c>
      <c r="AA1370">
        <f>IFERROR(VLOOKUP("906-424348-110",B:AB,18+8,0),0)</f>
        <v>0</v>
      </c>
      <c r="AB1370">
        <f>IFERROR(VLOOKUP("906-424348-110",B:AB,19+8,0),0)</f>
        <v>0</v>
      </c>
      <c r="AC1370">
        <f>IFERROR(VLOOKUP("906-424348-110",B:AB,20+8,0),0)</f>
        <v>0</v>
      </c>
      <c r="AD1370">
        <f>IFERROR(VLOOKUP("906-424348-110",B:AB,21+8,0),0)</f>
        <v>0</v>
      </c>
      <c r="AE1370">
        <f>IFERROR(VLOOKUP("906-424348-110",B:AB,22+8,0),0)</f>
        <v>0</v>
      </c>
      <c r="AF1370">
        <f>IFERROR(VLOOKUP("906-424348-110",B:AB,23+8,0),0)</f>
        <v>0</v>
      </c>
      <c r="AG1370">
        <f>IFERROR(VLOOKUP("906-424348-110",B:AB,24+8,0),0)</f>
        <v>0</v>
      </c>
      <c r="AH1370">
        <f>IFERROR(VLOOKUP("906-424348-110",B:AB,25+8,0),0)</f>
        <v>0</v>
      </c>
      <c r="AI1370">
        <f>IFERROR(VLOOKUP("906-424348-110",B:AB,26+8,0),0)</f>
        <v>0</v>
      </c>
      <c r="AJ1370">
        <f>IFERROR(VLOOKUP("906-424348-110",B:AB,27+8,0),0)</f>
        <v>0</v>
      </c>
      <c r="AK1370">
        <f>IFERROR(VLOOKUP("906-424348-110",B:AB,28+8,0),0)</f>
        <v>0</v>
      </c>
      <c r="AL1370">
        <f>IFERROR(VLOOKUP("906-424348-110",B:AB,29+8,0),0)</f>
        <v>0</v>
      </c>
      <c r="AM1370">
        <f>IFERROR(VLOOKUP("906-424348-110",B:AB,30+8,0),0)</f>
        <v>0</v>
      </c>
      <c r="AN1370">
        <f>IFERROR(VLOOKUP("906-424348-110",B:AB,31+8,0),0)</f>
        <v>0</v>
      </c>
      <c r="AO1370">
        <f>SUN(INDIRECT(ADDRESS(1369,8)):INDIRECT(ADDRESS(1369,39)))</f>
        <v>0</v>
      </c>
    </row>
    <row r="1371" spans="1:41">
      <c r="H1371" t="s">
        <v>179</v>
      </c>
      <c r="J1371">
        <f>INDIRECT(ADDRESS(1371,9))+INDIRECT(ADDRESS(1369,10))-INDIRECT(ADDRESS(1370,10))</f>
        <v>0</v>
      </c>
      <c r="K1371">
        <f>INDIRECT(ADDRESS(1371,10))+INDIRECT(ADDRESS(1369,11))-INDIRECT(ADDRESS(1370,11))</f>
        <v>0</v>
      </c>
      <c r="L1371">
        <f>INDIRECT(ADDRESS(1371,11))+INDIRECT(ADDRESS(1369,12))-INDIRECT(ADDRESS(1370,12))</f>
        <v>0</v>
      </c>
      <c r="M1371">
        <f>INDIRECT(ADDRESS(1371,12))+INDIRECT(ADDRESS(1369,13))-INDIRECT(ADDRESS(1370,13))</f>
        <v>0</v>
      </c>
      <c r="N1371">
        <f>INDIRECT(ADDRESS(1371,13))+INDIRECT(ADDRESS(1369,14))-INDIRECT(ADDRESS(1370,14))</f>
        <v>0</v>
      </c>
      <c r="O1371">
        <f>INDIRECT(ADDRESS(1371,14))+INDIRECT(ADDRESS(1369,15))-INDIRECT(ADDRESS(1370,15))</f>
        <v>0</v>
      </c>
      <c r="P1371">
        <f>INDIRECT(ADDRESS(1371,15))+INDIRECT(ADDRESS(1369,16))-INDIRECT(ADDRESS(1370,16))</f>
        <v>0</v>
      </c>
      <c r="Q1371">
        <f>INDIRECT(ADDRESS(1371,16))+INDIRECT(ADDRESS(1369,17))-INDIRECT(ADDRESS(1370,17))</f>
        <v>0</v>
      </c>
      <c r="R1371">
        <f>INDIRECT(ADDRESS(1371,17))+INDIRECT(ADDRESS(1369,18))-INDIRECT(ADDRESS(1370,18))</f>
        <v>0</v>
      </c>
      <c r="S1371">
        <f>INDIRECT(ADDRESS(1371,18))+INDIRECT(ADDRESS(1369,19))-INDIRECT(ADDRESS(1370,19))</f>
        <v>0</v>
      </c>
      <c r="T1371">
        <f>INDIRECT(ADDRESS(1371,19))+INDIRECT(ADDRESS(1369,20))-INDIRECT(ADDRESS(1370,20))</f>
        <v>0</v>
      </c>
      <c r="U1371">
        <f>INDIRECT(ADDRESS(1371,20))+INDIRECT(ADDRESS(1369,21))-INDIRECT(ADDRESS(1370,21))</f>
        <v>0</v>
      </c>
      <c r="V1371">
        <f>INDIRECT(ADDRESS(1371,21))+INDIRECT(ADDRESS(1369,22))-INDIRECT(ADDRESS(1370,22))</f>
        <v>0</v>
      </c>
      <c r="W1371">
        <f>INDIRECT(ADDRESS(1371,22))+INDIRECT(ADDRESS(1369,23))-INDIRECT(ADDRESS(1370,23))</f>
        <v>0</v>
      </c>
      <c r="X1371">
        <f>INDIRECT(ADDRESS(1371,23))+INDIRECT(ADDRESS(1369,24))-INDIRECT(ADDRESS(1370,24))</f>
        <v>0</v>
      </c>
      <c r="Y1371">
        <f>INDIRECT(ADDRESS(1371,24))+INDIRECT(ADDRESS(1369,25))-INDIRECT(ADDRESS(1370,25))</f>
        <v>0</v>
      </c>
      <c r="Z1371">
        <f>INDIRECT(ADDRESS(1371,25))+INDIRECT(ADDRESS(1369,26))-INDIRECT(ADDRESS(1370,26))</f>
        <v>0</v>
      </c>
      <c r="AA1371">
        <f>INDIRECT(ADDRESS(1371,26))+INDIRECT(ADDRESS(1369,27))-INDIRECT(ADDRESS(1370,27))</f>
        <v>0</v>
      </c>
      <c r="AB1371">
        <f>INDIRECT(ADDRESS(1371,27))+INDIRECT(ADDRESS(1369,28))-INDIRECT(ADDRESS(1370,28))</f>
        <v>0</v>
      </c>
      <c r="AC1371">
        <f>INDIRECT(ADDRESS(1371,28))+INDIRECT(ADDRESS(1369,29))-INDIRECT(ADDRESS(1370,29))</f>
        <v>0</v>
      </c>
      <c r="AD1371">
        <f>INDIRECT(ADDRESS(1371,29))+INDIRECT(ADDRESS(1369,30))-INDIRECT(ADDRESS(1370,30))</f>
        <v>0</v>
      </c>
      <c r="AE1371">
        <f>INDIRECT(ADDRESS(1371,30))+INDIRECT(ADDRESS(1369,31))-INDIRECT(ADDRESS(1370,31))</f>
        <v>0</v>
      </c>
      <c r="AF1371">
        <f>INDIRECT(ADDRESS(1371,31))+INDIRECT(ADDRESS(1369,32))-INDIRECT(ADDRESS(1370,32))</f>
        <v>0</v>
      </c>
      <c r="AG1371">
        <f>INDIRECT(ADDRESS(1371,32))+INDIRECT(ADDRESS(1369,33))-INDIRECT(ADDRESS(1370,33))</f>
        <v>0</v>
      </c>
      <c r="AH1371">
        <f>INDIRECT(ADDRESS(1371,33))+INDIRECT(ADDRESS(1369,34))-INDIRECT(ADDRESS(1370,34))</f>
        <v>0</v>
      </c>
      <c r="AI1371">
        <f>INDIRECT(ADDRESS(1371,34))+INDIRECT(ADDRESS(1369,35))-INDIRECT(ADDRESS(1370,35))</f>
        <v>0</v>
      </c>
      <c r="AJ1371">
        <f>INDIRECT(ADDRESS(1371,35))+INDIRECT(ADDRESS(1369,36))-INDIRECT(ADDRESS(1370,36))</f>
        <v>0</v>
      </c>
      <c r="AK1371">
        <f>INDIRECT(ADDRESS(1371,36))+INDIRECT(ADDRESS(1369,37))-INDIRECT(ADDRESS(1370,37))</f>
        <v>0</v>
      </c>
      <c r="AL1371">
        <f>INDIRECT(ADDRESS(1371,37))+INDIRECT(ADDRESS(1369,38))-INDIRECT(ADDRESS(1370,38))</f>
        <v>0</v>
      </c>
      <c r="AM1371">
        <f>INDIRECT(ADDRESS(1371,38))+INDIRECT(ADDRESS(1369,39))-INDIRECT(ADDRESS(1370,39))</f>
        <v>0</v>
      </c>
      <c r="AN1371">
        <f>INDIRECT(ADDRESS(1371,39))+INDIRECT(ADDRESS(1369,40))-INDIRECT(ADDRESS(1370,40))</f>
        <v>0</v>
      </c>
      <c r="AO1371">
        <f>SUM(INDIRECT(ADDRESS(1370,8)):INDIRECT(ADDRESS(1370,39)))</f>
        <v>0</v>
      </c>
    </row>
    <row r="1372" spans="1:41">
      <c r="A1372" t="s">
        <v>185</v>
      </c>
      <c r="B1372" t="s">
        <v>680</v>
      </c>
      <c r="C1372" t="s">
        <v>681</v>
      </c>
      <c r="E1372">
        <v>1</v>
      </c>
      <c r="I1372" t="s">
        <v>177</v>
      </c>
    </row>
    <row r="1373" spans="1:41">
      <c r="I1373" t="s">
        <v>178</v>
      </c>
      <c r="J1373">
        <f>IFERROR(VLOOKUP("906-424348-110",B:AB,1+8,0),0)</f>
        <v>0</v>
      </c>
      <c r="K1373">
        <f>IFERROR(VLOOKUP("906-424348-110",B:AB,2+8,0),0)</f>
        <v>0</v>
      </c>
      <c r="L1373">
        <f>IFERROR(VLOOKUP("906-424348-110",B:AB,3+8,0),0)</f>
        <v>0</v>
      </c>
      <c r="M1373">
        <f>IFERROR(VLOOKUP("906-424348-110",B:AB,4+8,0),0)</f>
        <v>0</v>
      </c>
      <c r="N1373">
        <f>IFERROR(VLOOKUP("906-424348-110",B:AB,5+8,0),0)</f>
        <v>0</v>
      </c>
      <c r="O1373">
        <f>IFERROR(VLOOKUP("906-424348-110",B:AB,6+8,0),0)</f>
        <v>0</v>
      </c>
      <c r="P1373">
        <f>IFERROR(VLOOKUP("906-424348-110",B:AB,7+8,0),0)</f>
        <v>0</v>
      </c>
      <c r="Q1373">
        <f>IFERROR(VLOOKUP("906-424348-110",B:AB,8+8,0),0)</f>
        <v>0</v>
      </c>
      <c r="R1373">
        <f>IFERROR(VLOOKUP("906-424348-110",B:AB,9+8,0),0)</f>
        <v>0</v>
      </c>
      <c r="S1373">
        <f>IFERROR(VLOOKUP("906-424348-110",B:AB,10+8,0),0)</f>
        <v>0</v>
      </c>
      <c r="T1373">
        <f>IFERROR(VLOOKUP("906-424348-110",B:AB,11+8,0),0)</f>
        <v>0</v>
      </c>
      <c r="U1373">
        <f>IFERROR(VLOOKUP("906-424348-110",B:AB,12+8,0),0)</f>
        <v>0</v>
      </c>
      <c r="V1373">
        <f>IFERROR(VLOOKUP("906-424348-110",B:AB,13+8,0),0)</f>
        <v>0</v>
      </c>
      <c r="W1373">
        <f>IFERROR(VLOOKUP("906-424348-110",B:AB,14+8,0),0)</f>
        <v>0</v>
      </c>
      <c r="X1373">
        <f>IFERROR(VLOOKUP("906-424348-110",B:AB,15+8,0),0)</f>
        <v>0</v>
      </c>
      <c r="Y1373">
        <f>IFERROR(VLOOKUP("906-424348-110",B:AB,16+8,0),0)</f>
        <v>0</v>
      </c>
      <c r="Z1373">
        <f>IFERROR(VLOOKUP("906-424348-110",B:AB,17+8,0),0)</f>
        <v>0</v>
      </c>
      <c r="AA1373">
        <f>IFERROR(VLOOKUP("906-424348-110",B:AB,18+8,0),0)</f>
        <v>0</v>
      </c>
      <c r="AB1373">
        <f>IFERROR(VLOOKUP("906-424348-110",B:AB,19+8,0),0)</f>
        <v>0</v>
      </c>
      <c r="AC1373">
        <f>IFERROR(VLOOKUP("906-424348-110",B:AB,20+8,0),0)</f>
        <v>0</v>
      </c>
      <c r="AD1373">
        <f>IFERROR(VLOOKUP("906-424348-110",B:AB,21+8,0),0)</f>
        <v>0</v>
      </c>
      <c r="AE1373">
        <f>IFERROR(VLOOKUP("906-424348-110",B:AB,22+8,0),0)</f>
        <v>0</v>
      </c>
      <c r="AF1373">
        <f>IFERROR(VLOOKUP("906-424348-110",B:AB,23+8,0),0)</f>
        <v>0</v>
      </c>
      <c r="AG1373">
        <f>IFERROR(VLOOKUP("906-424348-110",B:AB,24+8,0),0)</f>
        <v>0</v>
      </c>
      <c r="AH1373">
        <f>IFERROR(VLOOKUP("906-424348-110",B:AB,25+8,0),0)</f>
        <v>0</v>
      </c>
      <c r="AI1373">
        <f>IFERROR(VLOOKUP("906-424348-110",B:AB,26+8,0),0)</f>
        <v>0</v>
      </c>
      <c r="AJ1373">
        <f>IFERROR(VLOOKUP("906-424348-110",B:AB,27+8,0),0)</f>
        <v>0</v>
      </c>
      <c r="AK1373">
        <f>IFERROR(VLOOKUP("906-424348-110",B:AB,28+8,0),0)</f>
        <v>0</v>
      </c>
      <c r="AL1373">
        <f>IFERROR(VLOOKUP("906-424348-110",B:AB,29+8,0),0)</f>
        <v>0</v>
      </c>
      <c r="AM1373">
        <f>IFERROR(VLOOKUP("906-424348-110",B:AB,30+8,0),0)</f>
        <v>0</v>
      </c>
      <c r="AN1373">
        <f>IFERROR(VLOOKUP("906-424348-110",B:AB,31+8,0),0)</f>
        <v>0</v>
      </c>
      <c r="AO1373">
        <f>SUN(INDIRECT(ADDRESS(1372,8)):INDIRECT(ADDRESS(1372,39)))</f>
        <v>0</v>
      </c>
    </row>
    <row r="1374" spans="1:41">
      <c r="H1374" t="s">
        <v>179</v>
      </c>
      <c r="J1374">
        <f>INDIRECT(ADDRESS(1374,9))+INDIRECT(ADDRESS(1372,10))-INDIRECT(ADDRESS(1373,10))</f>
        <v>0</v>
      </c>
      <c r="K1374">
        <f>INDIRECT(ADDRESS(1374,10))+INDIRECT(ADDRESS(1372,11))-INDIRECT(ADDRESS(1373,11))</f>
        <v>0</v>
      </c>
      <c r="L1374">
        <f>INDIRECT(ADDRESS(1374,11))+INDIRECT(ADDRESS(1372,12))-INDIRECT(ADDRESS(1373,12))</f>
        <v>0</v>
      </c>
      <c r="M1374">
        <f>INDIRECT(ADDRESS(1374,12))+INDIRECT(ADDRESS(1372,13))-INDIRECT(ADDRESS(1373,13))</f>
        <v>0</v>
      </c>
      <c r="N1374">
        <f>INDIRECT(ADDRESS(1374,13))+INDIRECT(ADDRESS(1372,14))-INDIRECT(ADDRESS(1373,14))</f>
        <v>0</v>
      </c>
      <c r="O1374">
        <f>INDIRECT(ADDRESS(1374,14))+INDIRECT(ADDRESS(1372,15))-INDIRECT(ADDRESS(1373,15))</f>
        <v>0</v>
      </c>
      <c r="P1374">
        <f>INDIRECT(ADDRESS(1374,15))+INDIRECT(ADDRESS(1372,16))-INDIRECT(ADDRESS(1373,16))</f>
        <v>0</v>
      </c>
      <c r="Q1374">
        <f>INDIRECT(ADDRESS(1374,16))+INDIRECT(ADDRESS(1372,17))-INDIRECT(ADDRESS(1373,17))</f>
        <v>0</v>
      </c>
      <c r="R1374">
        <f>INDIRECT(ADDRESS(1374,17))+INDIRECT(ADDRESS(1372,18))-INDIRECT(ADDRESS(1373,18))</f>
        <v>0</v>
      </c>
      <c r="S1374">
        <f>INDIRECT(ADDRESS(1374,18))+INDIRECT(ADDRESS(1372,19))-INDIRECT(ADDRESS(1373,19))</f>
        <v>0</v>
      </c>
      <c r="T1374">
        <f>INDIRECT(ADDRESS(1374,19))+INDIRECT(ADDRESS(1372,20))-INDIRECT(ADDRESS(1373,20))</f>
        <v>0</v>
      </c>
      <c r="U1374">
        <f>INDIRECT(ADDRESS(1374,20))+INDIRECT(ADDRESS(1372,21))-INDIRECT(ADDRESS(1373,21))</f>
        <v>0</v>
      </c>
      <c r="V1374">
        <f>INDIRECT(ADDRESS(1374,21))+INDIRECT(ADDRESS(1372,22))-INDIRECT(ADDRESS(1373,22))</f>
        <v>0</v>
      </c>
      <c r="W1374">
        <f>INDIRECT(ADDRESS(1374,22))+INDIRECT(ADDRESS(1372,23))-INDIRECT(ADDRESS(1373,23))</f>
        <v>0</v>
      </c>
      <c r="X1374">
        <f>INDIRECT(ADDRESS(1374,23))+INDIRECT(ADDRESS(1372,24))-INDIRECT(ADDRESS(1373,24))</f>
        <v>0</v>
      </c>
      <c r="Y1374">
        <f>INDIRECT(ADDRESS(1374,24))+INDIRECT(ADDRESS(1372,25))-INDIRECT(ADDRESS(1373,25))</f>
        <v>0</v>
      </c>
      <c r="Z1374">
        <f>INDIRECT(ADDRESS(1374,25))+INDIRECT(ADDRESS(1372,26))-INDIRECT(ADDRESS(1373,26))</f>
        <v>0</v>
      </c>
      <c r="AA1374">
        <f>INDIRECT(ADDRESS(1374,26))+INDIRECT(ADDRESS(1372,27))-INDIRECT(ADDRESS(1373,27))</f>
        <v>0</v>
      </c>
      <c r="AB1374">
        <f>INDIRECT(ADDRESS(1374,27))+INDIRECT(ADDRESS(1372,28))-INDIRECT(ADDRESS(1373,28))</f>
        <v>0</v>
      </c>
      <c r="AC1374">
        <f>INDIRECT(ADDRESS(1374,28))+INDIRECT(ADDRESS(1372,29))-INDIRECT(ADDRESS(1373,29))</f>
        <v>0</v>
      </c>
      <c r="AD1374">
        <f>INDIRECT(ADDRESS(1374,29))+INDIRECT(ADDRESS(1372,30))-INDIRECT(ADDRESS(1373,30))</f>
        <v>0</v>
      </c>
      <c r="AE1374">
        <f>INDIRECT(ADDRESS(1374,30))+INDIRECT(ADDRESS(1372,31))-INDIRECT(ADDRESS(1373,31))</f>
        <v>0</v>
      </c>
      <c r="AF1374">
        <f>INDIRECT(ADDRESS(1374,31))+INDIRECT(ADDRESS(1372,32))-INDIRECT(ADDRESS(1373,32))</f>
        <v>0</v>
      </c>
      <c r="AG1374">
        <f>INDIRECT(ADDRESS(1374,32))+INDIRECT(ADDRESS(1372,33))-INDIRECT(ADDRESS(1373,33))</f>
        <v>0</v>
      </c>
      <c r="AH1374">
        <f>INDIRECT(ADDRESS(1374,33))+INDIRECT(ADDRESS(1372,34))-INDIRECT(ADDRESS(1373,34))</f>
        <v>0</v>
      </c>
      <c r="AI1374">
        <f>INDIRECT(ADDRESS(1374,34))+INDIRECT(ADDRESS(1372,35))-INDIRECT(ADDRESS(1373,35))</f>
        <v>0</v>
      </c>
      <c r="AJ1374">
        <f>INDIRECT(ADDRESS(1374,35))+INDIRECT(ADDRESS(1372,36))-INDIRECT(ADDRESS(1373,36))</f>
        <v>0</v>
      </c>
      <c r="AK1374">
        <f>INDIRECT(ADDRESS(1374,36))+INDIRECT(ADDRESS(1372,37))-INDIRECT(ADDRESS(1373,37))</f>
        <v>0</v>
      </c>
      <c r="AL1374">
        <f>INDIRECT(ADDRESS(1374,37))+INDIRECT(ADDRESS(1372,38))-INDIRECT(ADDRESS(1373,38))</f>
        <v>0</v>
      </c>
      <c r="AM1374">
        <f>INDIRECT(ADDRESS(1374,38))+INDIRECT(ADDRESS(1372,39))-INDIRECT(ADDRESS(1373,39))</f>
        <v>0</v>
      </c>
      <c r="AN1374">
        <f>INDIRECT(ADDRESS(1374,39))+INDIRECT(ADDRESS(1372,40))-INDIRECT(ADDRESS(1373,40))</f>
        <v>0</v>
      </c>
      <c r="AO1374">
        <f>SUM(INDIRECT(ADDRESS(1373,8)):INDIRECT(ADDRESS(1373,39)))</f>
        <v>0</v>
      </c>
    </row>
    <row r="1375" spans="1:41">
      <c r="A1375" t="s">
        <v>8</v>
      </c>
      <c r="B1375" t="s">
        <v>112</v>
      </c>
      <c r="C1375" t="s">
        <v>111</v>
      </c>
      <c r="E1375">
        <v>1</v>
      </c>
      <c r="I1375" t="s">
        <v>177</v>
      </c>
    </row>
    <row r="1376" spans="1:41">
      <c r="I1376" t="s">
        <v>178</v>
      </c>
      <c r="J1376">
        <f>IFERROR(VLOOKUP("906-423348-110",Out!B:AB,1+8,0),0)</f>
        <v>0</v>
      </c>
      <c r="K1376">
        <f>IFERROR(VLOOKUP("906-423348-110",Out!B:AB,2+8,0),0)</f>
        <v>0</v>
      </c>
      <c r="L1376">
        <f>IFERROR(VLOOKUP("906-423348-110",Out!B:AB,3+8,0),0)</f>
        <v>0</v>
      </c>
      <c r="M1376">
        <f>IFERROR(VLOOKUP("906-423348-110",Out!B:AB,4+8,0),0)</f>
        <v>0</v>
      </c>
      <c r="N1376">
        <f>IFERROR(VLOOKUP("906-423348-110",Out!B:AB,5+8,0),0)</f>
        <v>0</v>
      </c>
      <c r="O1376">
        <f>IFERROR(VLOOKUP("906-423348-110",Out!B:AB,6+8,0),0)</f>
        <v>0</v>
      </c>
      <c r="P1376">
        <f>IFERROR(VLOOKUP("906-423348-110",Out!B:AB,7+8,0),0)</f>
        <v>0</v>
      </c>
      <c r="Q1376">
        <f>IFERROR(VLOOKUP("906-423348-110",Out!B:AB,8+8,0),0)</f>
        <v>0</v>
      </c>
      <c r="R1376">
        <f>IFERROR(VLOOKUP("906-423348-110",Out!B:AB,9+8,0),0)</f>
        <v>0</v>
      </c>
      <c r="S1376">
        <f>IFERROR(VLOOKUP("906-423348-110",Out!B:AB,10+8,0),0)</f>
        <v>0</v>
      </c>
      <c r="T1376">
        <f>IFERROR(VLOOKUP("906-423348-110",Out!B:AB,11+8,0),0)</f>
        <v>0</v>
      </c>
      <c r="U1376">
        <f>IFERROR(VLOOKUP("906-423348-110",Out!B:AB,12+8,0),0)</f>
        <v>0</v>
      </c>
      <c r="V1376">
        <f>IFERROR(VLOOKUP("906-423348-110",Out!B:AB,13+8,0),0)</f>
        <v>0</v>
      </c>
      <c r="W1376">
        <f>IFERROR(VLOOKUP("906-423348-110",Out!B:AB,14+8,0),0)</f>
        <v>0</v>
      </c>
      <c r="X1376">
        <f>IFERROR(VLOOKUP("906-423348-110",Out!B:AB,15+8,0),0)</f>
        <v>0</v>
      </c>
      <c r="Y1376">
        <f>IFERROR(VLOOKUP("906-423348-110",Out!B:AB,16+8,0),0)</f>
        <v>0</v>
      </c>
      <c r="Z1376">
        <f>IFERROR(VLOOKUP("906-423348-110",Out!B:AB,17+8,0),0)</f>
        <v>0</v>
      </c>
      <c r="AA1376">
        <f>IFERROR(VLOOKUP("906-423348-110",Out!B:AB,18+8,0),0)</f>
        <v>0</v>
      </c>
      <c r="AB1376">
        <f>IFERROR(VLOOKUP("906-423348-110",Out!B:AB,19+8,0),0)</f>
        <v>0</v>
      </c>
      <c r="AC1376">
        <f>IFERROR(VLOOKUP("906-423348-110",Out!B:AB,20+8,0),0)</f>
        <v>0</v>
      </c>
      <c r="AD1376">
        <f>IFERROR(VLOOKUP("906-423348-110",Out!B:AB,21+8,0),0)</f>
        <v>0</v>
      </c>
      <c r="AE1376">
        <f>IFERROR(VLOOKUP("906-423348-110",Out!B:AB,22+8,0),0)</f>
        <v>0</v>
      </c>
      <c r="AF1376">
        <f>IFERROR(VLOOKUP("906-423348-110",Out!B:AB,23+8,0),0)</f>
        <v>0</v>
      </c>
      <c r="AG1376">
        <f>IFERROR(VLOOKUP("906-423348-110",Out!B:AB,24+8,0),0)</f>
        <v>0</v>
      </c>
      <c r="AH1376">
        <f>IFERROR(VLOOKUP("906-423348-110",Out!B:AB,25+8,0),0)</f>
        <v>0</v>
      </c>
      <c r="AI1376">
        <f>IFERROR(VLOOKUP("906-423348-110",Out!B:AB,26+8,0),0)</f>
        <v>0</v>
      </c>
      <c r="AJ1376">
        <f>IFERROR(VLOOKUP("906-423348-110",Out!B:AB,27+8,0),0)</f>
        <v>0</v>
      </c>
      <c r="AK1376">
        <f>IFERROR(VLOOKUP("906-423348-110",Out!B:AB,28+8,0),0)</f>
        <v>0</v>
      </c>
      <c r="AL1376">
        <f>IFERROR(VLOOKUP("906-423348-110",Out!B:AB,29+8,0),0)</f>
        <v>0</v>
      </c>
      <c r="AM1376">
        <f>IFERROR(VLOOKUP("906-423348-110",Out!B:AB,30+8,0),0)</f>
        <v>0</v>
      </c>
      <c r="AN1376">
        <f>IFERROR(VLOOKUP("906-423348-110",Out!B:AB,31+8,0),0)</f>
        <v>0</v>
      </c>
      <c r="AO1376">
        <f>SUN(INDIRECT(ADDRESS(1375,8)):INDIRECT(ADDRESS(1375,39)))</f>
        <v>0</v>
      </c>
    </row>
    <row r="1377" spans="1:41">
      <c r="H1377" t="s">
        <v>179</v>
      </c>
      <c r="J1377">
        <f>INDIRECT(ADDRESS(1377,9))+INDIRECT(ADDRESS(1375,10))-INDIRECT(ADDRESS(1376,10))</f>
        <v>0</v>
      </c>
      <c r="K1377">
        <f>INDIRECT(ADDRESS(1377,10))+INDIRECT(ADDRESS(1375,11))-INDIRECT(ADDRESS(1376,11))</f>
        <v>0</v>
      </c>
      <c r="L1377">
        <f>INDIRECT(ADDRESS(1377,11))+INDIRECT(ADDRESS(1375,12))-INDIRECT(ADDRESS(1376,12))</f>
        <v>0</v>
      </c>
      <c r="M1377">
        <f>INDIRECT(ADDRESS(1377,12))+INDIRECT(ADDRESS(1375,13))-INDIRECT(ADDRESS(1376,13))</f>
        <v>0</v>
      </c>
      <c r="N1377">
        <f>INDIRECT(ADDRESS(1377,13))+INDIRECT(ADDRESS(1375,14))-INDIRECT(ADDRESS(1376,14))</f>
        <v>0</v>
      </c>
      <c r="O1377">
        <f>INDIRECT(ADDRESS(1377,14))+INDIRECT(ADDRESS(1375,15))-INDIRECT(ADDRESS(1376,15))</f>
        <v>0</v>
      </c>
      <c r="P1377">
        <f>INDIRECT(ADDRESS(1377,15))+INDIRECT(ADDRESS(1375,16))-INDIRECT(ADDRESS(1376,16))</f>
        <v>0</v>
      </c>
      <c r="Q1377">
        <f>INDIRECT(ADDRESS(1377,16))+INDIRECT(ADDRESS(1375,17))-INDIRECT(ADDRESS(1376,17))</f>
        <v>0</v>
      </c>
      <c r="R1377">
        <f>INDIRECT(ADDRESS(1377,17))+INDIRECT(ADDRESS(1375,18))-INDIRECT(ADDRESS(1376,18))</f>
        <v>0</v>
      </c>
      <c r="S1377">
        <f>INDIRECT(ADDRESS(1377,18))+INDIRECT(ADDRESS(1375,19))-INDIRECT(ADDRESS(1376,19))</f>
        <v>0</v>
      </c>
      <c r="T1377">
        <f>INDIRECT(ADDRESS(1377,19))+INDIRECT(ADDRESS(1375,20))-INDIRECT(ADDRESS(1376,20))</f>
        <v>0</v>
      </c>
      <c r="U1377">
        <f>INDIRECT(ADDRESS(1377,20))+INDIRECT(ADDRESS(1375,21))-INDIRECT(ADDRESS(1376,21))</f>
        <v>0</v>
      </c>
      <c r="V1377">
        <f>INDIRECT(ADDRESS(1377,21))+INDIRECT(ADDRESS(1375,22))-INDIRECT(ADDRESS(1376,22))</f>
        <v>0</v>
      </c>
      <c r="W1377">
        <f>INDIRECT(ADDRESS(1377,22))+INDIRECT(ADDRESS(1375,23))-INDIRECT(ADDRESS(1376,23))</f>
        <v>0</v>
      </c>
      <c r="X1377">
        <f>INDIRECT(ADDRESS(1377,23))+INDIRECT(ADDRESS(1375,24))-INDIRECT(ADDRESS(1376,24))</f>
        <v>0</v>
      </c>
      <c r="Y1377">
        <f>INDIRECT(ADDRESS(1377,24))+INDIRECT(ADDRESS(1375,25))-INDIRECT(ADDRESS(1376,25))</f>
        <v>0</v>
      </c>
      <c r="Z1377">
        <f>INDIRECT(ADDRESS(1377,25))+INDIRECT(ADDRESS(1375,26))-INDIRECT(ADDRESS(1376,26))</f>
        <v>0</v>
      </c>
      <c r="AA1377">
        <f>INDIRECT(ADDRESS(1377,26))+INDIRECT(ADDRESS(1375,27))-INDIRECT(ADDRESS(1376,27))</f>
        <v>0</v>
      </c>
      <c r="AB1377">
        <f>INDIRECT(ADDRESS(1377,27))+INDIRECT(ADDRESS(1375,28))-INDIRECT(ADDRESS(1376,28))</f>
        <v>0</v>
      </c>
      <c r="AC1377">
        <f>INDIRECT(ADDRESS(1377,28))+INDIRECT(ADDRESS(1375,29))-INDIRECT(ADDRESS(1376,29))</f>
        <v>0</v>
      </c>
      <c r="AD1377">
        <f>INDIRECT(ADDRESS(1377,29))+INDIRECT(ADDRESS(1375,30))-INDIRECT(ADDRESS(1376,30))</f>
        <v>0</v>
      </c>
      <c r="AE1377">
        <f>INDIRECT(ADDRESS(1377,30))+INDIRECT(ADDRESS(1375,31))-INDIRECT(ADDRESS(1376,31))</f>
        <v>0</v>
      </c>
      <c r="AF1377">
        <f>INDIRECT(ADDRESS(1377,31))+INDIRECT(ADDRESS(1375,32))-INDIRECT(ADDRESS(1376,32))</f>
        <v>0</v>
      </c>
      <c r="AG1377">
        <f>INDIRECT(ADDRESS(1377,32))+INDIRECT(ADDRESS(1375,33))-INDIRECT(ADDRESS(1376,33))</f>
        <v>0</v>
      </c>
      <c r="AH1377">
        <f>INDIRECT(ADDRESS(1377,33))+INDIRECT(ADDRESS(1375,34))-INDIRECT(ADDRESS(1376,34))</f>
        <v>0</v>
      </c>
      <c r="AI1377">
        <f>INDIRECT(ADDRESS(1377,34))+INDIRECT(ADDRESS(1375,35))-INDIRECT(ADDRESS(1376,35))</f>
        <v>0</v>
      </c>
      <c r="AJ1377">
        <f>INDIRECT(ADDRESS(1377,35))+INDIRECT(ADDRESS(1375,36))-INDIRECT(ADDRESS(1376,36))</f>
        <v>0</v>
      </c>
      <c r="AK1377">
        <f>INDIRECT(ADDRESS(1377,36))+INDIRECT(ADDRESS(1375,37))-INDIRECT(ADDRESS(1376,37))</f>
        <v>0</v>
      </c>
      <c r="AL1377">
        <f>INDIRECT(ADDRESS(1377,37))+INDIRECT(ADDRESS(1375,38))-INDIRECT(ADDRESS(1376,38))</f>
        <v>0</v>
      </c>
      <c r="AM1377">
        <f>INDIRECT(ADDRESS(1377,38))+INDIRECT(ADDRESS(1375,39))-INDIRECT(ADDRESS(1376,39))</f>
        <v>0</v>
      </c>
      <c r="AN1377">
        <f>INDIRECT(ADDRESS(1377,39))+INDIRECT(ADDRESS(1375,40))-INDIRECT(ADDRESS(1376,40))</f>
        <v>0</v>
      </c>
      <c r="AO1377">
        <f>SUM(INDIRECT(ADDRESS(1376,8)):INDIRECT(ADDRESS(1376,39)))</f>
        <v>0</v>
      </c>
    </row>
    <row r="1378" spans="1:41">
      <c r="A1378" t="s">
        <v>180</v>
      </c>
      <c r="B1378" t="s">
        <v>682</v>
      </c>
      <c r="C1378" t="s">
        <v>585</v>
      </c>
      <c r="E1378">
        <v>1</v>
      </c>
      <c r="I1378" t="s">
        <v>177</v>
      </c>
    </row>
    <row r="1379" spans="1:41">
      <c r="I1379" t="s">
        <v>178</v>
      </c>
      <c r="J1379">
        <f>IFERROR(VLOOKUP("906-423348-110",B:AB,1+8,0),0)</f>
        <v>0</v>
      </c>
      <c r="K1379">
        <f>IFERROR(VLOOKUP("906-423348-110",B:AB,2+8,0),0)</f>
        <v>0</v>
      </c>
      <c r="L1379">
        <f>IFERROR(VLOOKUP("906-423348-110",B:AB,3+8,0),0)</f>
        <v>0</v>
      </c>
      <c r="M1379">
        <f>IFERROR(VLOOKUP("906-423348-110",B:AB,4+8,0),0)</f>
        <v>0</v>
      </c>
      <c r="N1379">
        <f>IFERROR(VLOOKUP("906-423348-110",B:AB,5+8,0),0)</f>
        <v>0</v>
      </c>
      <c r="O1379">
        <f>IFERROR(VLOOKUP("906-423348-110",B:AB,6+8,0),0)</f>
        <v>0</v>
      </c>
      <c r="P1379">
        <f>IFERROR(VLOOKUP("906-423348-110",B:AB,7+8,0),0)</f>
        <v>0</v>
      </c>
      <c r="Q1379">
        <f>IFERROR(VLOOKUP("906-423348-110",B:AB,8+8,0),0)</f>
        <v>0</v>
      </c>
      <c r="R1379">
        <f>IFERROR(VLOOKUP("906-423348-110",B:AB,9+8,0),0)</f>
        <v>0</v>
      </c>
      <c r="S1379">
        <f>IFERROR(VLOOKUP("906-423348-110",B:AB,10+8,0),0)</f>
        <v>0</v>
      </c>
      <c r="T1379">
        <f>IFERROR(VLOOKUP("906-423348-110",B:AB,11+8,0),0)</f>
        <v>0</v>
      </c>
      <c r="U1379">
        <f>IFERROR(VLOOKUP("906-423348-110",B:AB,12+8,0),0)</f>
        <v>0</v>
      </c>
      <c r="V1379">
        <f>IFERROR(VLOOKUP("906-423348-110",B:AB,13+8,0),0)</f>
        <v>0</v>
      </c>
      <c r="W1379">
        <f>IFERROR(VLOOKUP("906-423348-110",B:AB,14+8,0),0)</f>
        <v>0</v>
      </c>
      <c r="X1379">
        <f>IFERROR(VLOOKUP("906-423348-110",B:AB,15+8,0),0)</f>
        <v>0</v>
      </c>
      <c r="Y1379">
        <f>IFERROR(VLOOKUP("906-423348-110",B:AB,16+8,0),0)</f>
        <v>0</v>
      </c>
      <c r="Z1379">
        <f>IFERROR(VLOOKUP("906-423348-110",B:AB,17+8,0),0)</f>
        <v>0</v>
      </c>
      <c r="AA1379">
        <f>IFERROR(VLOOKUP("906-423348-110",B:AB,18+8,0),0)</f>
        <v>0</v>
      </c>
      <c r="AB1379">
        <f>IFERROR(VLOOKUP("906-423348-110",B:AB,19+8,0),0)</f>
        <v>0</v>
      </c>
      <c r="AC1379">
        <f>IFERROR(VLOOKUP("906-423348-110",B:AB,20+8,0),0)</f>
        <v>0</v>
      </c>
      <c r="AD1379">
        <f>IFERROR(VLOOKUP("906-423348-110",B:AB,21+8,0),0)</f>
        <v>0</v>
      </c>
      <c r="AE1379">
        <f>IFERROR(VLOOKUP("906-423348-110",B:AB,22+8,0),0)</f>
        <v>0</v>
      </c>
      <c r="AF1379">
        <f>IFERROR(VLOOKUP("906-423348-110",B:AB,23+8,0),0)</f>
        <v>0</v>
      </c>
      <c r="AG1379">
        <f>IFERROR(VLOOKUP("906-423348-110",B:AB,24+8,0),0)</f>
        <v>0</v>
      </c>
      <c r="AH1379">
        <f>IFERROR(VLOOKUP("906-423348-110",B:AB,25+8,0),0)</f>
        <v>0</v>
      </c>
      <c r="AI1379">
        <f>IFERROR(VLOOKUP("906-423348-110",B:AB,26+8,0),0)</f>
        <v>0</v>
      </c>
      <c r="AJ1379">
        <f>IFERROR(VLOOKUP("906-423348-110",B:AB,27+8,0),0)</f>
        <v>0</v>
      </c>
      <c r="AK1379">
        <f>IFERROR(VLOOKUP("906-423348-110",B:AB,28+8,0),0)</f>
        <v>0</v>
      </c>
      <c r="AL1379">
        <f>IFERROR(VLOOKUP("906-423348-110",B:AB,29+8,0),0)</f>
        <v>0</v>
      </c>
      <c r="AM1379">
        <f>IFERROR(VLOOKUP("906-423348-110",B:AB,30+8,0),0)</f>
        <v>0</v>
      </c>
      <c r="AN1379">
        <f>IFERROR(VLOOKUP("906-423348-110",B:AB,31+8,0),0)</f>
        <v>0</v>
      </c>
      <c r="AO1379">
        <f>SUN(INDIRECT(ADDRESS(1378,8)):INDIRECT(ADDRESS(1378,39)))</f>
        <v>0</v>
      </c>
    </row>
    <row r="1380" spans="1:41">
      <c r="H1380" t="s">
        <v>179</v>
      </c>
      <c r="J1380">
        <f>INDIRECT(ADDRESS(1380,9))+INDIRECT(ADDRESS(1378,10))-INDIRECT(ADDRESS(1379,10))</f>
        <v>0</v>
      </c>
      <c r="K1380">
        <f>INDIRECT(ADDRESS(1380,10))+INDIRECT(ADDRESS(1378,11))-INDIRECT(ADDRESS(1379,11))</f>
        <v>0</v>
      </c>
      <c r="L1380">
        <f>INDIRECT(ADDRESS(1380,11))+INDIRECT(ADDRESS(1378,12))-INDIRECT(ADDRESS(1379,12))</f>
        <v>0</v>
      </c>
      <c r="M1380">
        <f>INDIRECT(ADDRESS(1380,12))+INDIRECT(ADDRESS(1378,13))-INDIRECT(ADDRESS(1379,13))</f>
        <v>0</v>
      </c>
      <c r="N1380">
        <f>INDIRECT(ADDRESS(1380,13))+INDIRECT(ADDRESS(1378,14))-INDIRECT(ADDRESS(1379,14))</f>
        <v>0</v>
      </c>
      <c r="O1380">
        <f>INDIRECT(ADDRESS(1380,14))+INDIRECT(ADDRESS(1378,15))-INDIRECT(ADDRESS(1379,15))</f>
        <v>0</v>
      </c>
      <c r="P1380">
        <f>INDIRECT(ADDRESS(1380,15))+INDIRECT(ADDRESS(1378,16))-INDIRECT(ADDRESS(1379,16))</f>
        <v>0</v>
      </c>
      <c r="Q1380">
        <f>INDIRECT(ADDRESS(1380,16))+INDIRECT(ADDRESS(1378,17))-INDIRECT(ADDRESS(1379,17))</f>
        <v>0</v>
      </c>
      <c r="R1380">
        <f>INDIRECT(ADDRESS(1380,17))+INDIRECT(ADDRESS(1378,18))-INDIRECT(ADDRESS(1379,18))</f>
        <v>0</v>
      </c>
      <c r="S1380">
        <f>INDIRECT(ADDRESS(1380,18))+INDIRECT(ADDRESS(1378,19))-INDIRECT(ADDRESS(1379,19))</f>
        <v>0</v>
      </c>
      <c r="T1380">
        <f>INDIRECT(ADDRESS(1380,19))+INDIRECT(ADDRESS(1378,20))-INDIRECT(ADDRESS(1379,20))</f>
        <v>0</v>
      </c>
      <c r="U1380">
        <f>INDIRECT(ADDRESS(1380,20))+INDIRECT(ADDRESS(1378,21))-INDIRECT(ADDRESS(1379,21))</f>
        <v>0</v>
      </c>
      <c r="V1380">
        <f>INDIRECT(ADDRESS(1380,21))+INDIRECT(ADDRESS(1378,22))-INDIRECT(ADDRESS(1379,22))</f>
        <v>0</v>
      </c>
      <c r="W1380">
        <f>INDIRECT(ADDRESS(1380,22))+INDIRECT(ADDRESS(1378,23))-INDIRECT(ADDRESS(1379,23))</f>
        <v>0</v>
      </c>
      <c r="X1380">
        <f>INDIRECT(ADDRESS(1380,23))+INDIRECT(ADDRESS(1378,24))-INDIRECT(ADDRESS(1379,24))</f>
        <v>0</v>
      </c>
      <c r="Y1380">
        <f>INDIRECT(ADDRESS(1380,24))+INDIRECT(ADDRESS(1378,25))-INDIRECT(ADDRESS(1379,25))</f>
        <v>0</v>
      </c>
      <c r="Z1380">
        <f>INDIRECT(ADDRESS(1380,25))+INDIRECT(ADDRESS(1378,26))-INDIRECT(ADDRESS(1379,26))</f>
        <v>0</v>
      </c>
      <c r="AA1380">
        <f>INDIRECT(ADDRESS(1380,26))+INDIRECT(ADDRESS(1378,27))-INDIRECT(ADDRESS(1379,27))</f>
        <v>0</v>
      </c>
      <c r="AB1380">
        <f>INDIRECT(ADDRESS(1380,27))+INDIRECT(ADDRESS(1378,28))-INDIRECT(ADDRESS(1379,28))</f>
        <v>0</v>
      </c>
      <c r="AC1380">
        <f>INDIRECT(ADDRESS(1380,28))+INDIRECT(ADDRESS(1378,29))-INDIRECT(ADDRESS(1379,29))</f>
        <v>0</v>
      </c>
      <c r="AD1380">
        <f>INDIRECT(ADDRESS(1380,29))+INDIRECT(ADDRESS(1378,30))-INDIRECT(ADDRESS(1379,30))</f>
        <v>0</v>
      </c>
      <c r="AE1380">
        <f>INDIRECT(ADDRESS(1380,30))+INDIRECT(ADDRESS(1378,31))-INDIRECT(ADDRESS(1379,31))</f>
        <v>0</v>
      </c>
      <c r="AF1380">
        <f>INDIRECT(ADDRESS(1380,31))+INDIRECT(ADDRESS(1378,32))-INDIRECT(ADDRESS(1379,32))</f>
        <v>0</v>
      </c>
      <c r="AG1380">
        <f>INDIRECT(ADDRESS(1380,32))+INDIRECT(ADDRESS(1378,33))-INDIRECT(ADDRESS(1379,33))</f>
        <v>0</v>
      </c>
      <c r="AH1380">
        <f>INDIRECT(ADDRESS(1380,33))+INDIRECT(ADDRESS(1378,34))-INDIRECT(ADDRESS(1379,34))</f>
        <v>0</v>
      </c>
      <c r="AI1380">
        <f>INDIRECT(ADDRESS(1380,34))+INDIRECT(ADDRESS(1378,35))-INDIRECT(ADDRESS(1379,35))</f>
        <v>0</v>
      </c>
      <c r="AJ1380">
        <f>INDIRECT(ADDRESS(1380,35))+INDIRECT(ADDRESS(1378,36))-INDIRECT(ADDRESS(1379,36))</f>
        <v>0</v>
      </c>
      <c r="AK1380">
        <f>INDIRECT(ADDRESS(1380,36))+INDIRECT(ADDRESS(1378,37))-INDIRECT(ADDRESS(1379,37))</f>
        <v>0</v>
      </c>
      <c r="AL1380">
        <f>INDIRECT(ADDRESS(1380,37))+INDIRECT(ADDRESS(1378,38))-INDIRECT(ADDRESS(1379,38))</f>
        <v>0</v>
      </c>
      <c r="AM1380">
        <f>INDIRECT(ADDRESS(1380,38))+INDIRECT(ADDRESS(1378,39))-INDIRECT(ADDRESS(1379,39))</f>
        <v>0</v>
      </c>
      <c r="AN1380">
        <f>INDIRECT(ADDRESS(1380,39))+INDIRECT(ADDRESS(1378,40))-INDIRECT(ADDRESS(1379,40))</f>
        <v>0</v>
      </c>
      <c r="AO1380">
        <f>SUM(INDIRECT(ADDRESS(1379,8)):INDIRECT(ADDRESS(1379,39)))</f>
        <v>0</v>
      </c>
    </row>
    <row r="1381" spans="1:41">
      <c r="A1381" t="s">
        <v>180</v>
      </c>
      <c r="B1381" t="s">
        <v>683</v>
      </c>
      <c r="C1381" t="s">
        <v>669</v>
      </c>
      <c r="E1381">
        <v>1</v>
      </c>
      <c r="I1381" t="s">
        <v>177</v>
      </c>
    </row>
    <row r="1382" spans="1:41">
      <c r="I1382" t="s">
        <v>178</v>
      </c>
      <c r="J1382">
        <f>IFERROR(VLOOKUP("906-423348-110",B:AB,1+8,0),0)</f>
        <v>0</v>
      </c>
      <c r="K1382">
        <f>IFERROR(VLOOKUP("906-423348-110",B:AB,2+8,0),0)</f>
        <v>0</v>
      </c>
      <c r="L1382">
        <f>IFERROR(VLOOKUP("906-423348-110",B:AB,3+8,0),0)</f>
        <v>0</v>
      </c>
      <c r="M1382">
        <f>IFERROR(VLOOKUP("906-423348-110",B:AB,4+8,0),0)</f>
        <v>0</v>
      </c>
      <c r="N1382">
        <f>IFERROR(VLOOKUP("906-423348-110",B:AB,5+8,0),0)</f>
        <v>0</v>
      </c>
      <c r="O1382">
        <f>IFERROR(VLOOKUP("906-423348-110",B:AB,6+8,0),0)</f>
        <v>0</v>
      </c>
      <c r="P1382">
        <f>IFERROR(VLOOKUP("906-423348-110",B:AB,7+8,0),0)</f>
        <v>0</v>
      </c>
      <c r="Q1382">
        <f>IFERROR(VLOOKUP("906-423348-110",B:AB,8+8,0),0)</f>
        <v>0</v>
      </c>
      <c r="R1382">
        <f>IFERROR(VLOOKUP("906-423348-110",B:AB,9+8,0),0)</f>
        <v>0</v>
      </c>
      <c r="S1382">
        <f>IFERROR(VLOOKUP("906-423348-110",B:AB,10+8,0),0)</f>
        <v>0</v>
      </c>
      <c r="T1382">
        <f>IFERROR(VLOOKUP("906-423348-110",B:AB,11+8,0),0)</f>
        <v>0</v>
      </c>
      <c r="U1382">
        <f>IFERROR(VLOOKUP("906-423348-110",B:AB,12+8,0),0)</f>
        <v>0</v>
      </c>
      <c r="V1382">
        <f>IFERROR(VLOOKUP("906-423348-110",B:AB,13+8,0),0)</f>
        <v>0</v>
      </c>
      <c r="W1382">
        <f>IFERROR(VLOOKUP("906-423348-110",B:AB,14+8,0),0)</f>
        <v>0</v>
      </c>
      <c r="X1382">
        <f>IFERROR(VLOOKUP("906-423348-110",B:AB,15+8,0),0)</f>
        <v>0</v>
      </c>
      <c r="Y1382">
        <f>IFERROR(VLOOKUP("906-423348-110",B:AB,16+8,0),0)</f>
        <v>0</v>
      </c>
      <c r="Z1382">
        <f>IFERROR(VLOOKUP("906-423348-110",B:AB,17+8,0),0)</f>
        <v>0</v>
      </c>
      <c r="AA1382">
        <f>IFERROR(VLOOKUP("906-423348-110",B:AB,18+8,0),0)</f>
        <v>0</v>
      </c>
      <c r="AB1382">
        <f>IFERROR(VLOOKUP("906-423348-110",B:AB,19+8,0),0)</f>
        <v>0</v>
      </c>
      <c r="AC1382">
        <f>IFERROR(VLOOKUP("906-423348-110",B:AB,20+8,0),0)</f>
        <v>0</v>
      </c>
      <c r="AD1382">
        <f>IFERROR(VLOOKUP("906-423348-110",B:AB,21+8,0),0)</f>
        <v>0</v>
      </c>
      <c r="AE1382">
        <f>IFERROR(VLOOKUP("906-423348-110",B:AB,22+8,0),0)</f>
        <v>0</v>
      </c>
      <c r="AF1382">
        <f>IFERROR(VLOOKUP("906-423348-110",B:AB,23+8,0),0)</f>
        <v>0</v>
      </c>
      <c r="AG1382">
        <f>IFERROR(VLOOKUP("906-423348-110",B:AB,24+8,0),0)</f>
        <v>0</v>
      </c>
      <c r="AH1382">
        <f>IFERROR(VLOOKUP("906-423348-110",B:AB,25+8,0),0)</f>
        <v>0</v>
      </c>
      <c r="AI1382">
        <f>IFERROR(VLOOKUP("906-423348-110",B:AB,26+8,0),0)</f>
        <v>0</v>
      </c>
      <c r="AJ1382">
        <f>IFERROR(VLOOKUP("906-423348-110",B:AB,27+8,0),0)</f>
        <v>0</v>
      </c>
      <c r="AK1382">
        <f>IFERROR(VLOOKUP("906-423348-110",B:AB,28+8,0),0)</f>
        <v>0</v>
      </c>
      <c r="AL1382">
        <f>IFERROR(VLOOKUP("906-423348-110",B:AB,29+8,0),0)</f>
        <v>0</v>
      </c>
      <c r="AM1382">
        <f>IFERROR(VLOOKUP("906-423348-110",B:AB,30+8,0),0)</f>
        <v>0</v>
      </c>
      <c r="AN1382">
        <f>IFERROR(VLOOKUP("906-423348-110",B:AB,31+8,0),0)</f>
        <v>0</v>
      </c>
      <c r="AO1382">
        <f>SUN(INDIRECT(ADDRESS(1381,8)):INDIRECT(ADDRESS(1381,39)))</f>
        <v>0</v>
      </c>
    </row>
    <row r="1383" spans="1:41">
      <c r="H1383" t="s">
        <v>179</v>
      </c>
      <c r="J1383">
        <f>INDIRECT(ADDRESS(1383,9))+INDIRECT(ADDRESS(1381,10))-INDIRECT(ADDRESS(1382,10))</f>
        <v>0</v>
      </c>
      <c r="K1383">
        <f>INDIRECT(ADDRESS(1383,10))+INDIRECT(ADDRESS(1381,11))-INDIRECT(ADDRESS(1382,11))</f>
        <v>0</v>
      </c>
      <c r="L1383">
        <f>INDIRECT(ADDRESS(1383,11))+INDIRECT(ADDRESS(1381,12))-INDIRECT(ADDRESS(1382,12))</f>
        <v>0</v>
      </c>
      <c r="M1383">
        <f>INDIRECT(ADDRESS(1383,12))+INDIRECT(ADDRESS(1381,13))-INDIRECT(ADDRESS(1382,13))</f>
        <v>0</v>
      </c>
      <c r="N1383">
        <f>INDIRECT(ADDRESS(1383,13))+INDIRECT(ADDRESS(1381,14))-INDIRECT(ADDRESS(1382,14))</f>
        <v>0</v>
      </c>
      <c r="O1383">
        <f>INDIRECT(ADDRESS(1383,14))+INDIRECT(ADDRESS(1381,15))-INDIRECT(ADDRESS(1382,15))</f>
        <v>0</v>
      </c>
      <c r="P1383">
        <f>INDIRECT(ADDRESS(1383,15))+INDIRECT(ADDRESS(1381,16))-INDIRECT(ADDRESS(1382,16))</f>
        <v>0</v>
      </c>
      <c r="Q1383">
        <f>INDIRECT(ADDRESS(1383,16))+INDIRECT(ADDRESS(1381,17))-INDIRECT(ADDRESS(1382,17))</f>
        <v>0</v>
      </c>
      <c r="R1383">
        <f>INDIRECT(ADDRESS(1383,17))+INDIRECT(ADDRESS(1381,18))-INDIRECT(ADDRESS(1382,18))</f>
        <v>0</v>
      </c>
      <c r="S1383">
        <f>INDIRECT(ADDRESS(1383,18))+INDIRECT(ADDRESS(1381,19))-INDIRECT(ADDRESS(1382,19))</f>
        <v>0</v>
      </c>
      <c r="T1383">
        <f>INDIRECT(ADDRESS(1383,19))+INDIRECT(ADDRESS(1381,20))-INDIRECT(ADDRESS(1382,20))</f>
        <v>0</v>
      </c>
      <c r="U1383">
        <f>INDIRECT(ADDRESS(1383,20))+INDIRECT(ADDRESS(1381,21))-INDIRECT(ADDRESS(1382,21))</f>
        <v>0</v>
      </c>
      <c r="V1383">
        <f>INDIRECT(ADDRESS(1383,21))+INDIRECT(ADDRESS(1381,22))-INDIRECT(ADDRESS(1382,22))</f>
        <v>0</v>
      </c>
      <c r="W1383">
        <f>INDIRECT(ADDRESS(1383,22))+INDIRECT(ADDRESS(1381,23))-INDIRECT(ADDRESS(1382,23))</f>
        <v>0</v>
      </c>
      <c r="X1383">
        <f>INDIRECT(ADDRESS(1383,23))+INDIRECT(ADDRESS(1381,24))-INDIRECT(ADDRESS(1382,24))</f>
        <v>0</v>
      </c>
      <c r="Y1383">
        <f>INDIRECT(ADDRESS(1383,24))+INDIRECT(ADDRESS(1381,25))-INDIRECT(ADDRESS(1382,25))</f>
        <v>0</v>
      </c>
      <c r="Z1383">
        <f>INDIRECT(ADDRESS(1383,25))+INDIRECT(ADDRESS(1381,26))-INDIRECT(ADDRESS(1382,26))</f>
        <v>0</v>
      </c>
      <c r="AA1383">
        <f>INDIRECT(ADDRESS(1383,26))+INDIRECT(ADDRESS(1381,27))-INDIRECT(ADDRESS(1382,27))</f>
        <v>0</v>
      </c>
      <c r="AB1383">
        <f>INDIRECT(ADDRESS(1383,27))+INDIRECT(ADDRESS(1381,28))-INDIRECT(ADDRESS(1382,28))</f>
        <v>0</v>
      </c>
      <c r="AC1383">
        <f>INDIRECT(ADDRESS(1383,28))+INDIRECT(ADDRESS(1381,29))-INDIRECT(ADDRESS(1382,29))</f>
        <v>0</v>
      </c>
      <c r="AD1383">
        <f>INDIRECT(ADDRESS(1383,29))+INDIRECT(ADDRESS(1381,30))-INDIRECT(ADDRESS(1382,30))</f>
        <v>0</v>
      </c>
      <c r="AE1383">
        <f>INDIRECT(ADDRESS(1383,30))+INDIRECT(ADDRESS(1381,31))-INDIRECT(ADDRESS(1382,31))</f>
        <v>0</v>
      </c>
      <c r="AF1383">
        <f>INDIRECT(ADDRESS(1383,31))+INDIRECT(ADDRESS(1381,32))-INDIRECT(ADDRESS(1382,32))</f>
        <v>0</v>
      </c>
      <c r="AG1383">
        <f>INDIRECT(ADDRESS(1383,32))+INDIRECT(ADDRESS(1381,33))-INDIRECT(ADDRESS(1382,33))</f>
        <v>0</v>
      </c>
      <c r="AH1383">
        <f>INDIRECT(ADDRESS(1383,33))+INDIRECT(ADDRESS(1381,34))-INDIRECT(ADDRESS(1382,34))</f>
        <v>0</v>
      </c>
      <c r="AI1383">
        <f>INDIRECT(ADDRESS(1383,34))+INDIRECT(ADDRESS(1381,35))-INDIRECT(ADDRESS(1382,35))</f>
        <v>0</v>
      </c>
      <c r="AJ1383">
        <f>INDIRECT(ADDRESS(1383,35))+INDIRECT(ADDRESS(1381,36))-INDIRECT(ADDRESS(1382,36))</f>
        <v>0</v>
      </c>
      <c r="AK1383">
        <f>INDIRECT(ADDRESS(1383,36))+INDIRECT(ADDRESS(1381,37))-INDIRECT(ADDRESS(1382,37))</f>
        <v>0</v>
      </c>
      <c r="AL1383">
        <f>INDIRECT(ADDRESS(1383,37))+INDIRECT(ADDRESS(1381,38))-INDIRECT(ADDRESS(1382,38))</f>
        <v>0</v>
      </c>
      <c r="AM1383">
        <f>INDIRECT(ADDRESS(1383,38))+INDIRECT(ADDRESS(1381,39))-INDIRECT(ADDRESS(1382,39))</f>
        <v>0</v>
      </c>
      <c r="AN1383">
        <f>INDIRECT(ADDRESS(1383,39))+INDIRECT(ADDRESS(1381,40))-INDIRECT(ADDRESS(1382,40))</f>
        <v>0</v>
      </c>
      <c r="AO1383">
        <f>SUM(INDIRECT(ADDRESS(1382,8)):INDIRECT(ADDRESS(1382,39)))</f>
        <v>0</v>
      </c>
    </row>
    <row r="1384" spans="1:41">
      <c r="A1384" t="s">
        <v>185</v>
      </c>
      <c r="B1384" t="s">
        <v>592</v>
      </c>
      <c r="C1384" t="s">
        <v>593</v>
      </c>
      <c r="E1384">
        <v>1</v>
      </c>
      <c r="I1384" t="s">
        <v>177</v>
      </c>
    </row>
    <row r="1385" spans="1:41">
      <c r="I1385" t="s">
        <v>178</v>
      </c>
      <c r="J1385">
        <f>IFERROR(VLOOKUP("906-423348-110",B:AB,1+8,0),0)</f>
        <v>0</v>
      </c>
      <c r="K1385">
        <f>IFERROR(VLOOKUP("906-423348-110",B:AB,2+8,0),0)</f>
        <v>0</v>
      </c>
      <c r="L1385">
        <f>IFERROR(VLOOKUP("906-423348-110",B:AB,3+8,0),0)</f>
        <v>0</v>
      </c>
      <c r="M1385">
        <f>IFERROR(VLOOKUP("906-423348-110",B:AB,4+8,0),0)</f>
        <v>0</v>
      </c>
      <c r="N1385">
        <f>IFERROR(VLOOKUP("906-423348-110",B:AB,5+8,0),0)</f>
        <v>0</v>
      </c>
      <c r="O1385">
        <f>IFERROR(VLOOKUP("906-423348-110",B:AB,6+8,0),0)</f>
        <v>0</v>
      </c>
      <c r="P1385">
        <f>IFERROR(VLOOKUP("906-423348-110",B:AB,7+8,0),0)</f>
        <v>0</v>
      </c>
      <c r="Q1385">
        <f>IFERROR(VLOOKUP("906-423348-110",B:AB,8+8,0),0)</f>
        <v>0</v>
      </c>
      <c r="R1385">
        <f>IFERROR(VLOOKUP("906-423348-110",B:AB,9+8,0),0)</f>
        <v>0</v>
      </c>
      <c r="S1385">
        <f>IFERROR(VLOOKUP("906-423348-110",B:AB,10+8,0),0)</f>
        <v>0</v>
      </c>
      <c r="T1385">
        <f>IFERROR(VLOOKUP("906-423348-110",B:AB,11+8,0),0)</f>
        <v>0</v>
      </c>
      <c r="U1385">
        <f>IFERROR(VLOOKUP("906-423348-110",B:AB,12+8,0),0)</f>
        <v>0</v>
      </c>
      <c r="V1385">
        <f>IFERROR(VLOOKUP("906-423348-110",B:AB,13+8,0),0)</f>
        <v>0</v>
      </c>
      <c r="W1385">
        <f>IFERROR(VLOOKUP("906-423348-110",B:AB,14+8,0),0)</f>
        <v>0</v>
      </c>
      <c r="X1385">
        <f>IFERROR(VLOOKUP("906-423348-110",B:AB,15+8,0),0)</f>
        <v>0</v>
      </c>
      <c r="Y1385">
        <f>IFERROR(VLOOKUP("906-423348-110",B:AB,16+8,0),0)</f>
        <v>0</v>
      </c>
      <c r="Z1385">
        <f>IFERROR(VLOOKUP("906-423348-110",B:AB,17+8,0),0)</f>
        <v>0</v>
      </c>
      <c r="AA1385">
        <f>IFERROR(VLOOKUP("906-423348-110",B:AB,18+8,0),0)</f>
        <v>0</v>
      </c>
      <c r="AB1385">
        <f>IFERROR(VLOOKUP("906-423348-110",B:AB,19+8,0),0)</f>
        <v>0</v>
      </c>
      <c r="AC1385">
        <f>IFERROR(VLOOKUP("906-423348-110",B:AB,20+8,0),0)</f>
        <v>0</v>
      </c>
      <c r="AD1385">
        <f>IFERROR(VLOOKUP("906-423348-110",B:AB,21+8,0),0)</f>
        <v>0</v>
      </c>
      <c r="AE1385">
        <f>IFERROR(VLOOKUP("906-423348-110",B:AB,22+8,0),0)</f>
        <v>0</v>
      </c>
      <c r="AF1385">
        <f>IFERROR(VLOOKUP("906-423348-110",B:AB,23+8,0),0)</f>
        <v>0</v>
      </c>
      <c r="AG1385">
        <f>IFERROR(VLOOKUP("906-423348-110",B:AB,24+8,0),0)</f>
        <v>0</v>
      </c>
      <c r="AH1385">
        <f>IFERROR(VLOOKUP("906-423348-110",B:AB,25+8,0),0)</f>
        <v>0</v>
      </c>
      <c r="AI1385">
        <f>IFERROR(VLOOKUP("906-423348-110",B:AB,26+8,0),0)</f>
        <v>0</v>
      </c>
      <c r="AJ1385">
        <f>IFERROR(VLOOKUP("906-423348-110",B:AB,27+8,0),0)</f>
        <v>0</v>
      </c>
      <c r="AK1385">
        <f>IFERROR(VLOOKUP("906-423348-110",B:AB,28+8,0),0)</f>
        <v>0</v>
      </c>
      <c r="AL1385">
        <f>IFERROR(VLOOKUP("906-423348-110",B:AB,29+8,0),0)</f>
        <v>0</v>
      </c>
      <c r="AM1385">
        <f>IFERROR(VLOOKUP("906-423348-110",B:AB,30+8,0),0)</f>
        <v>0</v>
      </c>
      <c r="AN1385">
        <f>IFERROR(VLOOKUP("906-423348-110",B:AB,31+8,0),0)</f>
        <v>0</v>
      </c>
      <c r="AO1385">
        <f>SUN(INDIRECT(ADDRESS(1384,8)):INDIRECT(ADDRESS(1384,39)))</f>
        <v>0</v>
      </c>
    </row>
    <row r="1386" spans="1:41">
      <c r="H1386" t="s">
        <v>179</v>
      </c>
      <c r="J1386">
        <f>INDIRECT(ADDRESS(1386,9))+INDIRECT(ADDRESS(1384,10))-INDIRECT(ADDRESS(1385,10))</f>
        <v>0</v>
      </c>
      <c r="K1386">
        <f>INDIRECT(ADDRESS(1386,10))+INDIRECT(ADDRESS(1384,11))-INDIRECT(ADDRESS(1385,11))</f>
        <v>0</v>
      </c>
      <c r="L1386">
        <f>INDIRECT(ADDRESS(1386,11))+INDIRECT(ADDRESS(1384,12))-INDIRECT(ADDRESS(1385,12))</f>
        <v>0</v>
      </c>
      <c r="M1386">
        <f>INDIRECT(ADDRESS(1386,12))+INDIRECT(ADDRESS(1384,13))-INDIRECT(ADDRESS(1385,13))</f>
        <v>0</v>
      </c>
      <c r="N1386">
        <f>INDIRECT(ADDRESS(1386,13))+INDIRECT(ADDRESS(1384,14))-INDIRECT(ADDRESS(1385,14))</f>
        <v>0</v>
      </c>
      <c r="O1386">
        <f>INDIRECT(ADDRESS(1386,14))+INDIRECT(ADDRESS(1384,15))-INDIRECT(ADDRESS(1385,15))</f>
        <v>0</v>
      </c>
      <c r="P1386">
        <f>INDIRECT(ADDRESS(1386,15))+INDIRECT(ADDRESS(1384,16))-INDIRECT(ADDRESS(1385,16))</f>
        <v>0</v>
      </c>
      <c r="Q1386">
        <f>INDIRECT(ADDRESS(1386,16))+INDIRECT(ADDRESS(1384,17))-INDIRECT(ADDRESS(1385,17))</f>
        <v>0</v>
      </c>
      <c r="R1386">
        <f>INDIRECT(ADDRESS(1386,17))+INDIRECT(ADDRESS(1384,18))-INDIRECT(ADDRESS(1385,18))</f>
        <v>0</v>
      </c>
      <c r="S1386">
        <f>INDIRECT(ADDRESS(1386,18))+INDIRECT(ADDRESS(1384,19))-INDIRECT(ADDRESS(1385,19))</f>
        <v>0</v>
      </c>
      <c r="T1386">
        <f>INDIRECT(ADDRESS(1386,19))+INDIRECT(ADDRESS(1384,20))-INDIRECT(ADDRESS(1385,20))</f>
        <v>0</v>
      </c>
      <c r="U1386">
        <f>INDIRECT(ADDRESS(1386,20))+INDIRECT(ADDRESS(1384,21))-INDIRECT(ADDRESS(1385,21))</f>
        <v>0</v>
      </c>
      <c r="V1386">
        <f>INDIRECT(ADDRESS(1386,21))+INDIRECT(ADDRESS(1384,22))-INDIRECT(ADDRESS(1385,22))</f>
        <v>0</v>
      </c>
      <c r="W1386">
        <f>INDIRECT(ADDRESS(1386,22))+INDIRECT(ADDRESS(1384,23))-INDIRECT(ADDRESS(1385,23))</f>
        <v>0</v>
      </c>
      <c r="X1386">
        <f>INDIRECT(ADDRESS(1386,23))+INDIRECT(ADDRESS(1384,24))-INDIRECT(ADDRESS(1385,24))</f>
        <v>0</v>
      </c>
      <c r="Y1386">
        <f>INDIRECT(ADDRESS(1386,24))+INDIRECT(ADDRESS(1384,25))-INDIRECT(ADDRESS(1385,25))</f>
        <v>0</v>
      </c>
      <c r="Z1386">
        <f>INDIRECT(ADDRESS(1386,25))+INDIRECT(ADDRESS(1384,26))-INDIRECT(ADDRESS(1385,26))</f>
        <v>0</v>
      </c>
      <c r="AA1386">
        <f>INDIRECT(ADDRESS(1386,26))+INDIRECT(ADDRESS(1384,27))-INDIRECT(ADDRESS(1385,27))</f>
        <v>0</v>
      </c>
      <c r="AB1386">
        <f>INDIRECT(ADDRESS(1386,27))+INDIRECT(ADDRESS(1384,28))-INDIRECT(ADDRESS(1385,28))</f>
        <v>0</v>
      </c>
      <c r="AC1386">
        <f>INDIRECT(ADDRESS(1386,28))+INDIRECT(ADDRESS(1384,29))-INDIRECT(ADDRESS(1385,29))</f>
        <v>0</v>
      </c>
      <c r="AD1386">
        <f>INDIRECT(ADDRESS(1386,29))+INDIRECT(ADDRESS(1384,30))-INDIRECT(ADDRESS(1385,30))</f>
        <v>0</v>
      </c>
      <c r="AE1386">
        <f>INDIRECT(ADDRESS(1386,30))+INDIRECT(ADDRESS(1384,31))-INDIRECT(ADDRESS(1385,31))</f>
        <v>0</v>
      </c>
      <c r="AF1386">
        <f>INDIRECT(ADDRESS(1386,31))+INDIRECT(ADDRESS(1384,32))-INDIRECT(ADDRESS(1385,32))</f>
        <v>0</v>
      </c>
      <c r="AG1386">
        <f>INDIRECT(ADDRESS(1386,32))+INDIRECT(ADDRESS(1384,33))-INDIRECT(ADDRESS(1385,33))</f>
        <v>0</v>
      </c>
      <c r="AH1386">
        <f>INDIRECT(ADDRESS(1386,33))+INDIRECT(ADDRESS(1384,34))-INDIRECT(ADDRESS(1385,34))</f>
        <v>0</v>
      </c>
      <c r="AI1386">
        <f>INDIRECT(ADDRESS(1386,34))+INDIRECT(ADDRESS(1384,35))-INDIRECT(ADDRESS(1385,35))</f>
        <v>0</v>
      </c>
      <c r="AJ1386">
        <f>INDIRECT(ADDRESS(1386,35))+INDIRECT(ADDRESS(1384,36))-INDIRECT(ADDRESS(1385,36))</f>
        <v>0</v>
      </c>
      <c r="AK1386">
        <f>INDIRECT(ADDRESS(1386,36))+INDIRECT(ADDRESS(1384,37))-INDIRECT(ADDRESS(1385,37))</f>
        <v>0</v>
      </c>
      <c r="AL1386">
        <f>INDIRECT(ADDRESS(1386,37))+INDIRECT(ADDRESS(1384,38))-INDIRECT(ADDRESS(1385,38))</f>
        <v>0</v>
      </c>
      <c r="AM1386">
        <f>INDIRECT(ADDRESS(1386,38))+INDIRECT(ADDRESS(1384,39))-INDIRECT(ADDRESS(1385,39))</f>
        <v>0</v>
      </c>
      <c r="AN1386">
        <f>INDIRECT(ADDRESS(1386,39))+INDIRECT(ADDRESS(1384,40))-INDIRECT(ADDRESS(1385,40))</f>
        <v>0</v>
      </c>
      <c r="AO1386">
        <f>SUM(INDIRECT(ADDRESS(1385,8)):INDIRECT(ADDRESS(1385,39)))</f>
        <v>0</v>
      </c>
    </row>
    <row r="1387" spans="1:41">
      <c r="A1387" t="s">
        <v>185</v>
      </c>
      <c r="B1387" t="s">
        <v>684</v>
      </c>
      <c r="C1387" t="s">
        <v>685</v>
      </c>
      <c r="E1387">
        <v>1</v>
      </c>
      <c r="I1387" t="s">
        <v>177</v>
      </c>
    </row>
    <row r="1388" spans="1:41">
      <c r="I1388" t="s">
        <v>178</v>
      </c>
      <c r="J1388">
        <f>IFERROR(VLOOKUP("906-423348-110",B:AB,1+8,0),0)</f>
        <v>0</v>
      </c>
      <c r="K1388">
        <f>IFERROR(VLOOKUP("906-423348-110",B:AB,2+8,0),0)</f>
        <v>0</v>
      </c>
      <c r="L1388">
        <f>IFERROR(VLOOKUP("906-423348-110",B:AB,3+8,0),0)</f>
        <v>0</v>
      </c>
      <c r="M1388">
        <f>IFERROR(VLOOKUP("906-423348-110",B:AB,4+8,0),0)</f>
        <v>0</v>
      </c>
      <c r="N1388">
        <f>IFERROR(VLOOKUP("906-423348-110",B:AB,5+8,0),0)</f>
        <v>0</v>
      </c>
      <c r="O1388">
        <f>IFERROR(VLOOKUP("906-423348-110",B:AB,6+8,0),0)</f>
        <v>0</v>
      </c>
      <c r="P1388">
        <f>IFERROR(VLOOKUP("906-423348-110",B:AB,7+8,0),0)</f>
        <v>0</v>
      </c>
      <c r="Q1388">
        <f>IFERROR(VLOOKUP("906-423348-110",B:AB,8+8,0),0)</f>
        <v>0</v>
      </c>
      <c r="R1388">
        <f>IFERROR(VLOOKUP("906-423348-110",B:AB,9+8,0),0)</f>
        <v>0</v>
      </c>
      <c r="S1388">
        <f>IFERROR(VLOOKUP("906-423348-110",B:AB,10+8,0),0)</f>
        <v>0</v>
      </c>
      <c r="T1388">
        <f>IFERROR(VLOOKUP("906-423348-110",B:AB,11+8,0),0)</f>
        <v>0</v>
      </c>
      <c r="U1388">
        <f>IFERROR(VLOOKUP("906-423348-110",B:AB,12+8,0),0)</f>
        <v>0</v>
      </c>
      <c r="V1388">
        <f>IFERROR(VLOOKUP("906-423348-110",B:AB,13+8,0),0)</f>
        <v>0</v>
      </c>
      <c r="W1388">
        <f>IFERROR(VLOOKUP("906-423348-110",B:AB,14+8,0),0)</f>
        <v>0</v>
      </c>
      <c r="X1388">
        <f>IFERROR(VLOOKUP("906-423348-110",B:AB,15+8,0),0)</f>
        <v>0</v>
      </c>
      <c r="Y1388">
        <f>IFERROR(VLOOKUP("906-423348-110",B:AB,16+8,0),0)</f>
        <v>0</v>
      </c>
      <c r="Z1388">
        <f>IFERROR(VLOOKUP("906-423348-110",B:AB,17+8,0),0)</f>
        <v>0</v>
      </c>
      <c r="AA1388">
        <f>IFERROR(VLOOKUP("906-423348-110",B:AB,18+8,0),0)</f>
        <v>0</v>
      </c>
      <c r="AB1388">
        <f>IFERROR(VLOOKUP("906-423348-110",B:AB,19+8,0),0)</f>
        <v>0</v>
      </c>
      <c r="AC1388">
        <f>IFERROR(VLOOKUP("906-423348-110",B:AB,20+8,0),0)</f>
        <v>0</v>
      </c>
      <c r="AD1388">
        <f>IFERROR(VLOOKUP("906-423348-110",B:AB,21+8,0),0)</f>
        <v>0</v>
      </c>
      <c r="AE1388">
        <f>IFERROR(VLOOKUP("906-423348-110",B:AB,22+8,0),0)</f>
        <v>0</v>
      </c>
      <c r="AF1388">
        <f>IFERROR(VLOOKUP("906-423348-110",B:AB,23+8,0),0)</f>
        <v>0</v>
      </c>
      <c r="AG1388">
        <f>IFERROR(VLOOKUP("906-423348-110",B:AB,24+8,0),0)</f>
        <v>0</v>
      </c>
      <c r="AH1388">
        <f>IFERROR(VLOOKUP("906-423348-110",B:AB,25+8,0),0)</f>
        <v>0</v>
      </c>
      <c r="AI1388">
        <f>IFERROR(VLOOKUP("906-423348-110",B:AB,26+8,0),0)</f>
        <v>0</v>
      </c>
      <c r="AJ1388">
        <f>IFERROR(VLOOKUP("906-423348-110",B:AB,27+8,0),0)</f>
        <v>0</v>
      </c>
      <c r="AK1388">
        <f>IFERROR(VLOOKUP("906-423348-110",B:AB,28+8,0),0)</f>
        <v>0</v>
      </c>
      <c r="AL1388">
        <f>IFERROR(VLOOKUP("906-423348-110",B:AB,29+8,0),0)</f>
        <v>0</v>
      </c>
      <c r="AM1388">
        <f>IFERROR(VLOOKUP("906-423348-110",B:AB,30+8,0),0)</f>
        <v>0</v>
      </c>
      <c r="AN1388">
        <f>IFERROR(VLOOKUP("906-423348-110",B:AB,31+8,0),0)</f>
        <v>0</v>
      </c>
      <c r="AO1388">
        <f>SUN(INDIRECT(ADDRESS(1387,8)):INDIRECT(ADDRESS(1387,39)))</f>
        <v>0</v>
      </c>
    </row>
    <row r="1389" spans="1:41">
      <c r="H1389" t="s">
        <v>179</v>
      </c>
      <c r="J1389">
        <f>INDIRECT(ADDRESS(1389,9))+INDIRECT(ADDRESS(1387,10))-INDIRECT(ADDRESS(1388,10))</f>
        <v>0</v>
      </c>
      <c r="K1389">
        <f>INDIRECT(ADDRESS(1389,10))+INDIRECT(ADDRESS(1387,11))-INDIRECT(ADDRESS(1388,11))</f>
        <v>0</v>
      </c>
      <c r="L1389">
        <f>INDIRECT(ADDRESS(1389,11))+INDIRECT(ADDRESS(1387,12))-INDIRECT(ADDRESS(1388,12))</f>
        <v>0</v>
      </c>
      <c r="M1389">
        <f>INDIRECT(ADDRESS(1389,12))+INDIRECT(ADDRESS(1387,13))-INDIRECT(ADDRESS(1388,13))</f>
        <v>0</v>
      </c>
      <c r="N1389">
        <f>INDIRECT(ADDRESS(1389,13))+INDIRECT(ADDRESS(1387,14))-INDIRECT(ADDRESS(1388,14))</f>
        <v>0</v>
      </c>
      <c r="O1389">
        <f>INDIRECT(ADDRESS(1389,14))+INDIRECT(ADDRESS(1387,15))-INDIRECT(ADDRESS(1388,15))</f>
        <v>0</v>
      </c>
      <c r="P1389">
        <f>INDIRECT(ADDRESS(1389,15))+INDIRECT(ADDRESS(1387,16))-INDIRECT(ADDRESS(1388,16))</f>
        <v>0</v>
      </c>
      <c r="Q1389">
        <f>INDIRECT(ADDRESS(1389,16))+INDIRECT(ADDRESS(1387,17))-INDIRECT(ADDRESS(1388,17))</f>
        <v>0</v>
      </c>
      <c r="R1389">
        <f>INDIRECT(ADDRESS(1389,17))+INDIRECT(ADDRESS(1387,18))-INDIRECT(ADDRESS(1388,18))</f>
        <v>0</v>
      </c>
      <c r="S1389">
        <f>INDIRECT(ADDRESS(1389,18))+INDIRECT(ADDRESS(1387,19))-INDIRECT(ADDRESS(1388,19))</f>
        <v>0</v>
      </c>
      <c r="T1389">
        <f>INDIRECT(ADDRESS(1389,19))+INDIRECT(ADDRESS(1387,20))-INDIRECT(ADDRESS(1388,20))</f>
        <v>0</v>
      </c>
      <c r="U1389">
        <f>INDIRECT(ADDRESS(1389,20))+INDIRECT(ADDRESS(1387,21))-INDIRECT(ADDRESS(1388,21))</f>
        <v>0</v>
      </c>
      <c r="V1389">
        <f>INDIRECT(ADDRESS(1389,21))+INDIRECT(ADDRESS(1387,22))-INDIRECT(ADDRESS(1388,22))</f>
        <v>0</v>
      </c>
      <c r="W1389">
        <f>INDIRECT(ADDRESS(1389,22))+INDIRECT(ADDRESS(1387,23))-INDIRECT(ADDRESS(1388,23))</f>
        <v>0</v>
      </c>
      <c r="X1389">
        <f>INDIRECT(ADDRESS(1389,23))+INDIRECT(ADDRESS(1387,24))-INDIRECT(ADDRESS(1388,24))</f>
        <v>0</v>
      </c>
      <c r="Y1389">
        <f>INDIRECT(ADDRESS(1389,24))+INDIRECT(ADDRESS(1387,25))-INDIRECT(ADDRESS(1388,25))</f>
        <v>0</v>
      </c>
      <c r="Z1389">
        <f>INDIRECT(ADDRESS(1389,25))+INDIRECT(ADDRESS(1387,26))-INDIRECT(ADDRESS(1388,26))</f>
        <v>0</v>
      </c>
      <c r="AA1389">
        <f>INDIRECT(ADDRESS(1389,26))+INDIRECT(ADDRESS(1387,27))-INDIRECT(ADDRESS(1388,27))</f>
        <v>0</v>
      </c>
      <c r="AB1389">
        <f>INDIRECT(ADDRESS(1389,27))+INDIRECT(ADDRESS(1387,28))-INDIRECT(ADDRESS(1388,28))</f>
        <v>0</v>
      </c>
      <c r="AC1389">
        <f>INDIRECT(ADDRESS(1389,28))+INDIRECT(ADDRESS(1387,29))-INDIRECT(ADDRESS(1388,29))</f>
        <v>0</v>
      </c>
      <c r="AD1389">
        <f>INDIRECT(ADDRESS(1389,29))+INDIRECT(ADDRESS(1387,30))-INDIRECT(ADDRESS(1388,30))</f>
        <v>0</v>
      </c>
      <c r="AE1389">
        <f>INDIRECT(ADDRESS(1389,30))+INDIRECT(ADDRESS(1387,31))-INDIRECT(ADDRESS(1388,31))</f>
        <v>0</v>
      </c>
      <c r="AF1389">
        <f>INDIRECT(ADDRESS(1389,31))+INDIRECT(ADDRESS(1387,32))-INDIRECT(ADDRESS(1388,32))</f>
        <v>0</v>
      </c>
      <c r="AG1389">
        <f>INDIRECT(ADDRESS(1389,32))+INDIRECT(ADDRESS(1387,33))-INDIRECT(ADDRESS(1388,33))</f>
        <v>0</v>
      </c>
      <c r="AH1389">
        <f>INDIRECT(ADDRESS(1389,33))+INDIRECT(ADDRESS(1387,34))-INDIRECT(ADDRESS(1388,34))</f>
        <v>0</v>
      </c>
      <c r="AI1389">
        <f>INDIRECT(ADDRESS(1389,34))+INDIRECT(ADDRESS(1387,35))-INDIRECT(ADDRESS(1388,35))</f>
        <v>0</v>
      </c>
      <c r="AJ1389">
        <f>INDIRECT(ADDRESS(1389,35))+INDIRECT(ADDRESS(1387,36))-INDIRECT(ADDRESS(1388,36))</f>
        <v>0</v>
      </c>
      <c r="AK1389">
        <f>INDIRECT(ADDRESS(1389,36))+INDIRECT(ADDRESS(1387,37))-INDIRECT(ADDRESS(1388,37))</f>
        <v>0</v>
      </c>
      <c r="AL1389">
        <f>INDIRECT(ADDRESS(1389,37))+INDIRECT(ADDRESS(1387,38))-INDIRECT(ADDRESS(1388,38))</f>
        <v>0</v>
      </c>
      <c r="AM1389">
        <f>INDIRECT(ADDRESS(1389,38))+INDIRECT(ADDRESS(1387,39))-INDIRECT(ADDRESS(1388,39))</f>
        <v>0</v>
      </c>
      <c r="AN1389">
        <f>INDIRECT(ADDRESS(1389,39))+INDIRECT(ADDRESS(1387,40))-INDIRECT(ADDRESS(1388,40))</f>
        <v>0</v>
      </c>
      <c r="AO1389">
        <f>SUM(INDIRECT(ADDRESS(1388,8)):INDIRECT(ADDRESS(1388,39)))</f>
        <v>0</v>
      </c>
    </row>
    <row r="1390" spans="1:41">
      <c r="A1390" t="s">
        <v>185</v>
      </c>
      <c r="B1390" t="s">
        <v>672</v>
      </c>
      <c r="C1390" t="s">
        <v>686</v>
      </c>
      <c r="E1390">
        <v>2</v>
      </c>
      <c r="I1390" t="s">
        <v>177</v>
      </c>
    </row>
    <row r="1391" spans="1:41">
      <c r="I1391" t="s">
        <v>178</v>
      </c>
      <c r="J1391">
        <f>IFERROR(VLOOKUP("906-423348-110",B:AB,1+8,0),0)</f>
        <v>0</v>
      </c>
      <c r="K1391">
        <f>IFERROR(VLOOKUP("906-423348-110",B:AB,2+8,0),0)</f>
        <v>0</v>
      </c>
      <c r="L1391">
        <f>IFERROR(VLOOKUP("906-423348-110",B:AB,3+8,0),0)</f>
        <v>0</v>
      </c>
      <c r="M1391">
        <f>IFERROR(VLOOKUP("906-423348-110",B:AB,4+8,0),0)</f>
        <v>0</v>
      </c>
      <c r="N1391">
        <f>IFERROR(VLOOKUP("906-423348-110",B:AB,5+8,0),0)</f>
        <v>0</v>
      </c>
      <c r="O1391">
        <f>IFERROR(VLOOKUP("906-423348-110",B:AB,6+8,0),0)</f>
        <v>0</v>
      </c>
      <c r="P1391">
        <f>IFERROR(VLOOKUP("906-423348-110",B:AB,7+8,0),0)</f>
        <v>0</v>
      </c>
      <c r="Q1391">
        <f>IFERROR(VLOOKUP("906-423348-110",B:AB,8+8,0),0)</f>
        <v>0</v>
      </c>
      <c r="R1391">
        <f>IFERROR(VLOOKUP("906-423348-110",B:AB,9+8,0),0)</f>
        <v>0</v>
      </c>
      <c r="S1391">
        <f>IFERROR(VLOOKUP("906-423348-110",B:AB,10+8,0),0)</f>
        <v>0</v>
      </c>
      <c r="T1391">
        <f>IFERROR(VLOOKUP("906-423348-110",B:AB,11+8,0),0)</f>
        <v>0</v>
      </c>
      <c r="U1391">
        <f>IFERROR(VLOOKUP("906-423348-110",B:AB,12+8,0),0)</f>
        <v>0</v>
      </c>
      <c r="V1391">
        <f>IFERROR(VLOOKUP("906-423348-110",B:AB,13+8,0),0)</f>
        <v>0</v>
      </c>
      <c r="W1391">
        <f>IFERROR(VLOOKUP("906-423348-110",B:AB,14+8,0),0)</f>
        <v>0</v>
      </c>
      <c r="X1391">
        <f>IFERROR(VLOOKUP("906-423348-110",B:AB,15+8,0),0)</f>
        <v>0</v>
      </c>
      <c r="Y1391">
        <f>IFERROR(VLOOKUP("906-423348-110",B:AB,16+8,0),0)</f>
        <v>0</v>
      </c>
      <c r="Z1391">
        <f>IFERROR(VLOOKUP("906-423348-110",B:AB,17+8,0),0)</f>
        <v>0</v>
      </c>
      <c r="AA1391">
        <f>IFERROR(VLOOKUP("906-423348-110",B:AB,18+8,0),0)</f>
        <v>0</v>
      </c>
      <c r="AB1391">
        <f>IFERROR(VLOOKUP("906-423348-110",B:AB,19+8,0),0)</f>
        <v>0</v>
      </c>
      <c r="AC1391">
        <f>IFERROR(VLOOKUP("906-423348-110",B:AB,20+8,0),0)</f>
        <v>0</v>
      </c>
      <c r="AD1391">
        <f>IFERROR(VLOOKUP("906-423348-110",B:AB,21+8,0),0)</f>
        <v>0</v>
      </c>
      <c r="AE1391">
        <f>IFERROR(VLOOKUP("906-423348-110",B:AB,22+8,0),0)</f>
        <v>0</v>
      </c>
      <c r="AF1391">
        <f>IFERROR(VLOOKUP("906-423348-110",B:AB,23+8,0),0)</f>
        <v>0</v>
      </c>
      <c r="AG1391">
        <f>IFERROR(VLOOKUP("906-423348-110",B:AB,24+8,0),0)</f>
        <v>0</v>
      </c>
      <c r="AH1391">
        <f>IFERROR(VLOOKUP("906-423348-110",B:AB,25+8,0),0)</f>
        <v>0</v>
      </c>
      <c r="AI1391">
        <f>IFERROR(VLOOKUP("906-423348-110",B:AB,26+8,0),0)</f>
        <v>0</v>
      </c>
      <c r="AJ1391">
        <f>IFERROR(VLOOKUP("906-423348-110",B:AB,27+8,0),0)</f>
        <v>0</v>
      </c>
      <c r="AK1391">
        <f>IFERROR(VLOOKUP("906-423348-110",B:AB,28+8,0),0)</f>
        <v>0</v>
      </c>
      <c r="AL1391">
        <f>IFERROR(VLOOKUP("906-423348-110",B:AB,29+8,0),0)</f>
        <v>0</v>
      </c>
      <c r="AM1391">
        <f>IFERROR(VLOOKUP("906-423348-110",B:AB,30+8,0),0)</f>
        <v>0</v>
      </c>
      <c r="AN1391">
        <f>IFERROR(VLOOKUP("906-423348-110",B:AB,31+8,0),0)</f>
        <v>0</v>
      </c>
      <c r="AO1391">
        <f>SUN(INDIRECT(ADDRESS(1390,8)):INDIRECT(ADDRESS(1390,39)))</f>
        <v>0</v>
      </c>
    </row>
    <row r="1392" spans="1:41">
      <c r="H1392" t="s">
        <v>179</v>
      </c>
      <c r="J1392">
        <f>INDIRECT(ADDRESS(1392,9))+INDIRECT(ADDRESS(1390,10))-INDIRECT(ADDRESS(1391,10))</f>
        <v>0</v>
      </c>
      <c r="K1392">
        <f>INDIRECT(ADDRESS(1392,10))+INDIRECT(ADDRESS(1390,11))-INDIRECT(ADDRESS(1391,11))</f>
        <v>0</v>
      </c>
      <c r="L1392">
        <f>INDIRECT(ADDRESS(1392,11))+INDIRECT(ADDRESS(1390,12))-INDIRECT(ADDRESS(1391,12))</f>
        <v>0</v>
      </c>
      <c r="M1392">
        <f>INDIRECT(ADDRESS(1392,12))+INDIRECT(ADDRESS(1390,13))-INDIRECT(ADDRESS(1391,13))</f>
        <v>0</v>
      </c>
      <c r="N1392">
        <f>INDIRECT(ADDRESS(1392,13))+INDIRECT(ADDRESS(1390,14))-INDIRECT(ADDRESS(1391,14))</f>
        <v>0</v>
      </c>
      <c r="O1392">
        <f>INDIRECT(ADDRESS(1392,14))+INDIRECT(ADDRESS(1390,15))-INDIRECT(ADDRESS(1391,15))</f>
        <v>0</v>
      </c>
      <c r="P1392">
        <f>INDIRECT(ADDRESS(1392,15))+INDIRECT(ADDRESS(1390,16))-INDIRECT(ADDRESS(1391,16))</f>
        <v>0</v>
      </c>
      <c r="Q1392">
        <f>INDIRECT(ADDRESS(1392,16))+INDIRECT(ADDRESS(1390,17))-INDIRECT(ADDRESS(1391,17))</f>
        <v>0</v>
      </c>
      <c r="R1392">
        <f>INDIRECT(ADDRESS(1392,17))+INDIRECT(ADDRESS(1390,18))-INDIRECT(ADDRESS(1391,18))</f>
        <v>0</v>
      </c>
      <c r="S1392">
        <f>INDIRECT(ADDRESS(1392,18))+INDIRECT(ADDRESS(1390,19))-INDIRECT(ADDRESS(1391,19))</f>
        <v>0</v>
      </c>
      <c r="T1392">
        <f>INDIRECT(ADDRESS(1392,19))+INDIRECT(ADDRESS(1390,20))-INDIRECT(ADDRESS(1391,20))</f>
        <v>0</v>
      </c>
      <c r="U1392">
        <f>INDIRECT(ADDRESS(1392,20))+INDIRECT(ADDRESS(1390,21))-INDIRECT(ADDRESS(1391,21))</f>
        <v>0</v>
      </c>
      <c r="V1392">
        <f>INDIRECT(ADDRESS(1392,21))+INDIRECT(ADDRESS(1390,22))-INDIRECT(ADDRESS(1391,22))</f>
        <v>0</v>
      </c>
      <c r="W1392">
        <f>INDIRECT(ADDRESS(1392,22))+INDIRECT(ADDRESS(1390,23))-INDIRECT(ADDRESS(1391,23))</f>
        <v>0</v>
      </c>
      <c r="X1392">
        <f>INDIRECT(ADDRESS(1392,23))+INDIRECT(ADDRESS(1390,24))-INDIRECT(ADDRESS(1391,24))</f>
        <v>0</v>
      </c>
      <c r="Y1392">
        <f>INDIRECT(ADDRESS(1392,24))+INDIRECT(ADDRESS(1390,25))-INDIRECT(ADDRESS(1391,25))</f>
        <v>0</v>
      </c>
      <c r="Z1392">
        <f>INDIRECT(ADDRESS(1392,25))+INDIRECT(ADDRESS(1390,26))-INDIRECT(ADDRESS(1391,26))</f>
        <v>0</v>
      </c>
      <c r="AA1392">
        <f>INDIRECT(ADDRESS(1392,26))+INDIRECT(ADDRESS(1390,27))-INDIRECT(ADDRESS(1391,27))</f>
        <v>0</v>
      </c>
      <c r="AB1392">
        <f>INDIRECT(ADDRESS(1392,27))+INDIRECT(ADDRESS(1390,28))-INDIRECT(ADDRESS(1391,28))</f>
        <v>0</v>
      </c>
      <c r="AC1392">
        <f>INDIRECT(ADDRESS(1392,28))+INDIRECT(ADDRESS(1390,29))-INDIRECT(ADDRESS(1391,29))</f>
        <v>0</v>
      </c>
      <c r="AD1392">
        <f>INDIRECT(ADDRESS(1392,29))+INDIRECT(ADDRESS(1390,30))-INDIRECT(ADDRESS(1391,30))</f>
        <v>0</v>
      </c>
      <c r="AE1392">
        <f>INDIRECT(ADDRESS(1392,30))+INDIRECT(ADDRESS(1390,31))-INDIRECT(ADDRESS(1391,31))</f>
        <v>0</v>
      </c>
      <c r="AF1392">
        <f>INDIRECT(ADDRESS(1392,31))+INDIRECT(ADDRESS(1390,32))-INDIRECT(ADDRESS(1391,32))</f>
        <v>0</v>
      </c>
      <c r="AG1392">
        <f>INDIRECT(ADDRESS(1392,32))+INDIRECT(ADDRESS(1390,33))-INDIRECT(ADDRESS(1391,33))</f>
        <v>0</v>
      </c>
      <c r="AH1392">
        <f>INDIRECT(ADDRESS(1392,33))+INDIRECT(ADDRESS(1390,34))-INDIRECT(ADDRESS(1391,34))</f>
        <v>0</v>
      </c>
      <c r="AI1392">
        <f>INDIRECT(ADDRESS(1392,34))+INDIRECT(ADDRESS(1390,35))-INDIRECT(ADDRESS(1391,35))</f>
        <v>0</v>
      </c>
      <c r="AJ1392">
        <f>INDIRECT(ADDRESS(1392,35))+INDIRECT(ADDRESS(1390,36))-INDIRECT(ADDRESS(1391,36))</f>
        <v>0</v>
      </c>
      <c r="AK1392">
        <f>INDIRECT(ADDRESS(1392,36))+INDIRECT(ADDRESS(1390,37))-INDIRECT(ADDRESS(1391,37))</f>
        <v>0</v>
      </c>
      <c r="AL1392">
        <f>INDIRECT(ADDRESS(1392,37))+INDIRECT(ADDRESS(1390,38))-INDIRECT(ADDRESS(1391,38))</f>
        <v>0</v>
      </c>
      <c r="AM1392">
        <f>INDIRECT(ADDRESS(1392,38))+INDIRECT(ADDRESS(1390,39))-INDIRECT(ADDRESS(1391,39))</f>
        <v>0</v>
      </c>
      <c r="AN1392">
        <f>INDIRECT(ADDRESS(1392,39))+INDIRECT(ADDRESS(1390,40))-INDIRECT(ADDRESS(1391,40))</f>
        <v>0</v>
      </c>
      <c r="AO1392">
        <f>SUM(INDIRECT(ADDRESS(1391,8)):INDIRECT(ADDRESS(1391,39)))</f>
        <v>0</v>
      </c>
    </row>
    <row r="1393" spans="1:41">
      <c r="A1393" t="s">
        <v>185</v>
      </c>
      <c r="B1393" t="s">
        <v>674</v>
      </c>
      <c r="C1393" t="s">
        <v>687</v>
      </c>
      <c r="E1393">
        <v>1</v>
      </c>
      <c r="I1393" t="s">
        <v>177</v>
      </c>
    </row>
    <row r="1394" spans="1:41">
      <c r="I1394" t="s">
        <v>178</v>
      </c>
      <c r="J1394">
        <f>IFERROR(VLOOKUP("906-423348-110",B:AB,1+8,0),0)</f>
        <v>0</v>
      </c>
      <c r="K1394">
        <f>IFERROR(VLOOKUP("906-423348-110",B:AB,2+8,0),0)</f>
        <v>0</v>
      </c>
      <c r="L1394">
        <f>IFERROR(VLOOKUP("906-423348-110",B:AB,3+8,0),0)</f>
        <v>0</v>
      </c>
      <c r="M1394">
        <f>IFERROR(VLOOKUP("906-423348-110",B:AB,4+8,0),0)</f>
        <v>0</v>
      </c>
      <c r="N1394">
        <f>IFERROR(VLOOKUP("906-423348-110",B:AB,5+8,0),0)</f>
        <v>0</v>
      </c>
      <c r="O1394">
        <f>IFERROR(VLOOKUP("906-423348-110",B:AB,6+8,0),0)</f>
        <v>0</v>
      </c>
      <c r="P1394">
        <f>IFERROR(VLOOKUP("906-423348-110",B:AB,7+8,0),0)</f>
        <v>0</v>
      </c>
      <c r="Q1394">
        <f>IFERROR(VLOOKUP("906-423348-110",B:AB,8+8,0),0)</f>
        <v>0</v>
      </c>
      <c r="R1394">
        <f>IFERROR(VLOOKUP("906-423348-110",B:AB,9+8,0),0)</f>
        <v>0</v>
      </c>
      <c r="S1394">
        <f>IFERROR(VLOOKUP("906-423348-110",B:AB,10+8,0),0)</f>
        <v>0</v>
      </c>
      <c r="T1394">
        <f>IFERROR(VLOOKUP("906-423348-110",B:AB,11+8,0),0)</f>
        <v>0</v>
      </c>
      <c r="U1394">
        <f>IFERROR(VLOOKUP("906-423348-110",B:AB,12+8,0),0)</f>
        <v>0</v>
      </c>
      <c r="V1394">
        <f>IFERROR(VLOOKUP("906-423348-110",B:AB,13+8,0),0)</f>
        <v>0</v>
      </c>
      <c r="W1394">
        <f>IFERROR(VLOOKUP("906-423348-110",B:AB,14+8,0),0)</f>
        <v>0</v>
      </c>
      <c r="X1394">
        <f>IFERROR(VLOOKUP("906-423348-110",B:AB,15+8,0),0)</f>
        <v>0</v>
      </c>
      <c r="Y1394">
        <f>IFERROR(VLOOKUP("906-423348-110",B:AB,16+8,0),0)</f>
        <v>0</v>
      </c>
      <c r="Z1394">
        <f>IFERROR(VLOOKUP("906-423348-110",B:AB,17+8,0),0)</f>
        <v>0</v>
      </c>
      <c r="AA1394">
        <f>IFERROR(VLOOKUP("906-423348-110",B:AB,18+8,0),0)</f>
        <v>0</v>
      </c>
      <c r="AB1394">
        <f>IFERROR(VLOOKUP("906-423348-110",B:AB,19+8,0),0)</f>
        <v>0</v>
      </c>
      <c r="AC1394">
        <f>IFERROR(VLOOKUP("906-423348-110",B:AB,20+8,0),0)</f>
        <v>0</v>
      </c>
      <c r="AD1394">
        <f>IFERROR(VLOOKUP("906-423348-110",B:AB,21+8,0),0)</f>
        <v>0</v>
      </c>
      <c r="AE1394">
        <f>IFERROR(VLOOKUP("906-423348-110",B:AB,22+8,0),0)</f>
        <v>0</v>
      </c>
      <c r="AF1394">
        <f>IFERROR(VLOOKUP("906-423348-110",B:AB,23+8,0),0)</f>
        <v>0</v>
      </c>
      <c r="AG1394">
        <f>IFERROR(VLOOKUP("906-423348-110",B:AB,24+8,0),0)</f>
        <v>0</v>
      </c>
      <c r="AH1394">
        <f>IFERROR(VLOOKUP("906-423348-110",B:AB,25+8,0),0)</f>
        <v>0</v>
      </c>
      <c r="AI1394">
        <f>IFERROR(VLOOKUP("906-423348-110",B:AB,26+8,0),0)</f>
        <v>0</v>
      </c>
      <c r="AJ1394">
        <f>IFERROR(VLOOKUP("906-423348-110",B:AB,27+8,0),0)</f>
        <v>0</v>
      </c>
      <c r="AK1394">
        <f>IFERROR(VLOOKUP("906-423348-110",B:AB,28+8,0),0)</f>
        <v>0</v>
      </c>
      <c r="AL1394">
        <f>IFERROR(VLOOKUP("906-423348-110",B:AB,29+8,0),0)</f>
        <v>0</v>
      </c>
      <c r="AM1394">
        <f>IFERROR(VLOOKUP("906-423348-110",B:AB,30+8,0),0)</f>
        <v>0</v>
      </c>
      <c r="AN1394">
        <f>IFERROR(VLOOKUP("906-423348-110",B:AB,31+8,0),0)</f>
        <v>0</v>
      </c>
      <c r="AO1394">
        <f>SUN(INDIRECT(ADDRESS(1393,8)):INDIRECT(ADDRESS(1393,39)))</f>
        <v>0</v>
      </c>
    </row>
    <row r="1395" spans="1:41">
      <c r="H1395" t="s">
        <v>179</v>
      </c>
      <c r="J1395">
        <f>INDIRECT(ADDRESS(1395,9))+INDIRECT(ADDRESS(1393,10))-INDIRECT(ADDRESS(1394,10))</f>
        <v>0</v>
      </c>
      <c r="K1395">
        <f>INDIRECT(ADDRESS(1395,10))+INDIRECT(ADDRESS(1393,11))-INDIRECT(ADDRESS(1394,11))</f>
        <v>0</v>
      </c>
      <c r="L1395">
        <f>INDIRECT(ADDRESS(1395,11))+INDIRECT(ADDRESS(1393,12))-INDIRECT(ADDRESS(1394,12))</f>
        <v>0</v>
      </c>
      <c r="M1395">
        <f>INDIRECT(ADDRESS(1395,12))+INDIRECT(ADDRESS(1393,13))-INDIRECT(ADDRESS(1394,13))</f>
        <v>0</v>
      </c>
      <c r="N1395">
        <f>INDIRECT(ADDRESS(1395,13))+INDIRECT(ADDRESS(1393,14))-INDIRECT(ADDRESS(1394,14))</f>
        <v>0</v>
      </c>
      <c r="O1395">
        <f>INDIRECT(ADDRESS(1395,14))+INDIRECT(ADDRESS(1393,15))-INDIRECT(ADDRESS(1394,15))</f>
        <v>0</v>
      </c>
      <c r="P1395">
        <f>INDIRECT(ADDRESS(1395,15))+INDIRECT(ADDRESS(1393,16))-INDIRECT(ADDRESS(1394,16))</f>
        <v>0</v>
      </c>
      <c r="Q1395">
        <f>INDIRECT(ADDRESS(1395,16))+INDIRECT(ADDRESS(1393,17))-INDIRECT(ADDRESS(1394,17))</f>
        <v>0</v>
      </c>
      <c r="R1395">
        <f>INDIRECT(ADDRESS(1395,17))+INDIRECT(ADDRESS(1393,18))-INDIRECT(ADDRESS(1394,18))</f>
        <v>0</v>
      </c>
      <c r="S1395">
        <f>INDIRECT(ADDRESS(1395,18))+INDIRECT(ADDRESS(1393,19))-INDIRECT(ADDRESS(1394,19))</f>
        <v>0</v>
      </c>
      <c r="T1395">
        <f>INDIRECT(ADDRESS(1395,19))+INDIRECT(ADDRESS(1393,20))-INDIRECT(ADDRESS(1394,20))</f>
        <v>0</v>
      </c>
      <c r="U1395">
        <f>INDIRECT(ADDRESS(1395,20))+INDIRECT(ADDRESS(1393,21))-INDIRECT(ADDRESS(1394,21))</f>
        <v>0</v>
      </c>
      <c r="V1395">
        <f>INDIRECT(ADDRESS(1395,21))+INDIRECT(ADDRESS(1393,22))-INDIRECT(ADDRESS(1394,22))</f>
        <v>0</v>
      </c>
      <c r="W1395">
        <f>INDIRECT(ADDRESS(1395,22))+INDIRECT(ADDRESS(1393,23))-INDIRECT(ADDRESS(1394,23))</f>
        <v>0</v>
      </c>
      <c r="X1395">
        <f>INDIRECT(ADDRESS(1395,23))+INDIRECT(ADDRESS(1393,24))-INDIRECT(ADDRESS(1394,24))</f>
        <v>0</v>
      </c>
      <c r="Y1395">
        <f>INDIRECT(ADDRESS(1395,24))+INDIRECT(ADDRESS(1393,25))-INDIRECT(ADDRESS(1394,25))</f>
        <v>0</v>
      </c>
      <c r="Z1395">
        <f>INDIRECT(ADDRESS(1395,25))+INDIRECT(ADDRESS(1393,26))-INDIRECT(ADDRESS(1394,26))</f>
        <v>0</v>
      </c>
      <c r="AA1395">
        <f>INDIRECT(ADDRESS(1395,26))+INDIRECT(ADDRESS(1393,27))-INDIRECT(ADDRESS(1394,27))</f>
        <v>0</v>
      </c>
      <c r="AB1395">
        <f>INDIRECT(ADDRESS(1395,27))+INDIRECT(ADDRESS(1393,28))-INDIRECT(ADDRESS(1394,28))</f>
        <v>0</v>
      </c>
      <c r="AC1395">
        <f>INDIRECT(ADDRESS(1395,28))+INDIRECT(ADDRESS(1393,29))-INDIRECT(ADDRESS(1394,29))</f>
        <v>0</v>
      </c>
      <c r="AD1395">
        <f>INDIRECT(ADDRESS(1395,29))+INDIRECT(ADDRESS(1393,30))-INDIRECT(ADDRESS(1394,30))</f>
        <v>0</v>
      </c>
      <c r="AE1395">
        <f>INDIRECT(ADDRESS(1395,30))+INDIRECT(ADDRESS(1393,31))-INDIRECT(ADDRESS(1394,31))</f>
        <v>0</v>
      </c>
      <c r="AF1395">
        <f>INDIRECT(ADDRESS(1395,31))+INDIRECT(ADDRESS(1393,32))-INDIRECT(ADDRESS(1394,32))</f>
        <v>0</v>
      </c>
      <c r="AG1395">
        <f>INDIRECT(ADDRESS(1395,32))+INDIRECT(ADDRESS(1393,33))-INDIRECT(ADDRESS(1394,33))</f>
        <v>0</v>
      </c>
      <c r="AH1395">
        <f>INDIRECT(ADDRESS(1395,33))+INDIRECT(ADDRESS(1393,34))-INDIRECT(ADDRESS(1394,34))</f>
        <v>0</v>
      </c>
      <c r="AI1395">
        <f>INDIRECT(ADDRESS(1395,34))+INDIRECT(ADDRESS(1393,35))-INDIRECT(ADDRESS(1394,35))</f>
        <v>0</v>
      </c>
      <c r="AJ1395">
        <f>INDIRECT(ADDRESS(1395,35))+INDIRECT(ADDRESS(1393,36))-INDIRECT(ADDRESS(1394,36))</f>
        <v>0</v>
      </c>
      <c r="AK1395">
        <f>INDIRECT(ADDRESS(1395,36))+INDIRECT(ADDRESS(1393,37))-INDIRECT(ADDRESS(1394,37))</f>
        <v>0</v>
      </c>
      <c r="AL1395">
        <f>INDIRECT(ADDRESS(1395,37))+INDIRECT(ADDRESS(1393,38))-INDIRECT(ADDRESS(1394,38))</f>
        <v>0</v>
      </c>
      <c r="AM1395">
        <f>INDIRECT(ADDRESS(1395,38))+INDIRECT(ADDRESS(1393,39))-INDIRECT(ADDRESS(1394,39))</f>
        <v>0</v>
      </c>
      <c r="AN1395">
        <f>INDIRECT(ADDRESS(1395,39))+INDIRECT(ADDRESS(1393,40))-INDIRECT(ADDRESS(1394,40))</f>
        <v>0</v>
      </c>
      <c r="AO1395">
        <f>SUM(INDIRECT(ADDRESS(1394,8)):INDIRECT(ADDRESS(1394,39)))</f>
        <v>0</v>
      </c>
    </row>
    <row r="1396" spans="1:41">
      <c r="A1396" t="s">
        <v>185</v>
      </c>
      <c r="B1396" t="s">
        <v>676</v>
      </c>
      <c r="C1396" t="s">
        <v>688</v>
      </c>
      <c r="E1396">
        <v>1</v>
      </c>
      <c r="I1396" t="s">
        <v>177</v>
      </c>
    </row>
    <row r="1397" spans="1:41">
      <c r="I1397" t="s">
        <v>178</v>
      </c>
      <c r="J1397">
        <f>IFERROR(VLOOKUP("906-423348-110",B:AB,1+8,0),0)</f>
        <v>0</v>
      </c>
      <c r="K1397">
        <f>IFERROR(VLOOKUP("906-423348-110",B:AB,2+8,0),0)</f>
        <v>0</v>
      </c>
      <c r="L1397">
        <f>IFERROR(VLOOKUP("906-423348-110",B:AB,3+8,0),0)</f>
        <v>0</v>
      </c>
      <c r="M1397">
        <f>IFERROR(VLOOKUP("906-423348-110",B:AB,4+8,0),0)</f>
        <v>0</v>
      </c>
      <c r="N1397">
        <f>IFERROR(VLOOKUP("906-423348-110",B:AB,5+8,0),0)</f>
        <v>0</v>
      </c>
      <c r="O1397">
        <f>IFERROR(VLOOKUP("906-423348-110",B:AB,6+8,0),0)</f>
        <v>0</v>
      </c>
      <c r="P1397">
        <f>IFERROR(VLOOKUP("906-423348-110",B:AB,7+8,0),0)</f>
        <v>0</v>
      </c>
      <c r="Q1397">
        <f>IFERROR(VLOOKUP("906-423348-110",B:AB,8+8,0),0)</f>
        <v>0</v>
      </c>
      <c r="R1397">
        <f>IFERROR(VLOOKUP("906-423348-110",B:AB,9+8,0),0)</f>
        <v>0</v>
      </c>
      <c r="S1397">
        <f>IFERROR(VLOOKUP("906-423348-110",B:AB,10+8,0),0)</f>
        <v>0</v>
      </c>
      <c r="T1397">
        <f>IFERROR(VLOOKUP("906-423348-110",B:AB,11+8,0),0)</f>
        <v>0</v>
      </c>
      <c r="U1397">
        <f>IFERROR(VLOOKUP("906-423348-110",B:AB,12+8,0),0)</f>
        <v>0</v>
      </c>
      <c r="V1397">
        <f>IFERROR(VLOOKUP("906-423348-110",B:AB,13+8,0),0)</f>
        <v>0</v>
      </c>
      <c r="W1397">
        <f>IFERROR(VLOOKUP("906-423348-110",B:AB,14+8,0),0)</f>
        <v>0</v>
      </c>
      <c r="X1397">
        <f>IFERROR(VLOOKUP("906-423348-110",B:AB,15+8,0),0)</f>
        <v>0</v>
      </c>
      <c r="Y1397">
        <f>IFERROR(VLOOKUP("906-423348-110",B:AB,16+8,0),0)</f>
        <v>0</v>
      </c>
      <c r="Z1397">
        <f>IFERROR(VLOOKUP("906-423348-110",B:AB,17+8,0),0)</f>
        <v>0</v>
      </c>
      <c r="AA1397">
        <f>IFERROR(VLOOKUP("906-423348-110",B:AB,18+8,0),0)</f>
        <v>0</v>
      </c>
      <c r="AB1397">
        <f>IFERROR(VLOOKUP("906-423348-110",B:AB,19+8,0),0)</f>
        <v>0</v>
      </c>
      <c r="AC1397">
        <f>IFERROR(VLOOKUP("906-423348-110",B:AB,20+8,0),0)</f>
        <v>0</v>
      </c>
      <c r="AD1397">
        <f>IFERROR(VLOOKUP("906-423348-110",B:AB,21+8,0),0)</f>
        <v>0</v>
      </c>
      <c r="AE1397">
        <f>IFERROR(VLOOKUP("906-423348-110",B:AB,22+8,0),0)</f>
        <v>0</v>
      </c>
      <c r="AF1397">
        <f>IFERROR(VLOOKUP("906-423348-110",B:AB,23+8,0),0)</f>
        <v>0</v>
      </c>
      <c r="AG1397">
        <f>IFERROR(VLOOKUP("906-423348-110",B:AB,24+8,0),0)</f>
        <v>0</v>
      </c>
      <c r="AH1397">
        <f>IFERROR(VLOOKUP("906-423348-110",B:AB,25+8,0),0)</f>
        <v>0</v>
      </c>
      <c r="AI1397">
        <f>IFERROR(VLOOKUP("906-423348-110",B:AB,26+8,0),0)</f>
        <v>0</v>
      </c>
      <c r="AJ1397">
        <f>IFERROR(VLOOKUP("906-423348-110",B:AB,27+8,0),0)</f>
        <v>0</v>
      </c>
      <c r="AK1397">
        <f>IFERROR(VLOOKUP("906-423348-110",B:AB,28+8,0),0)</f>
        <v>0</v>
      </c>
      <c r="AL1397">
        <f>IFERROR(VLOOKUP("906-423348-110",B:AB,29+8,0),0)</f>
        <v>0</v>
      </c>
      <c r="AM1397">
        <f>IFERROR(VLOOKUP("906-423348-110",B:AB,30+8,0),0)</f>
        <v>0</v>
      </c>
      <c r="AN1397">
        <f>IFERROR(VLOOKUP("906-423348-110",B:AB,31+8,0),0)</f>
        <v>0</v>
      </c>
      <c r="AO1397">
        <f>SUN(INDIRECT(ADDRESS(1396,8)):INDIRECT(ADDRESS(1396,39)))</f>
        <v>0</v>
      </c>
    </row>
    <row r="1398" spans="1:41">
      <c r="H1398" t="s">
        <v>179</v>
      </c>
      <c r="J1398">
        <f>INDIRECT(ADDRESS(1398,9))+INDIRECT(ADDRESS(1396,10))-INDIRECT(ADDRESS(1397,10))</f>
        <v>0</v>
      </c>
      <c r="K1398">
        <f>INDIRECT(ADDRESS(1398,10))+INDIRECT(ADDRESS(1396,11))-INDIRECT(ADDRESS(1397,11))</f>
        <v>0</v>
      </c>
      <c r="L1398">
        <f>INDIRECT(ADDRESS(1398,11))+INDIRECT(ADDRESS(1396,12))-INDIRECT(ADDRESS(1397,12))</f>
        <v>0</v>
      </c>
      <c r="M1398">
        <f>INDIRECT(ADDRESS(1398,12))+INDIRECT(ADDRESS(1396,13))-INDIRECT(ADDRESS(1397,13))</f>
        <v>0</v>
      </c>
      <c r="N1398">
        <f>INDIRECT(ADDRESS(1398,13))+INDIRECT(ADDRESS(1396,14))-INDIRECT(ADDRESS(1397,14))</f>
        <v>0</v>
      </c>
      <c r="O1398">
        <f>INDIRECT(ADDRESS(1398,14))+INDIRECT(ADDRESS(1396,15))-INDIRECT(ADDRESS(1397,15))</f>
        <v>0</v>
      </c>
      <c r="P1398">
        <f>INDIRECT(ADDRESS(1398,15))+INDIRECT(ADDRESS(1396,16))-INDIRECT(ADDRESS(1397,16))</f>
        <v>0</v>
      </c>
      <c r="Q1398">
        <f>INDIRECT(ADDRESS(1398,16))+INDIRECT(ADDRESS(1396,17))-INDIRECT(ADDRESS(1397,17))</f>
        <v>0</v>
      </c>
      <c r="R1398">
        <f>INDIRECT(ADDRESS(1398,17))+INDIRECT(ADDRESS(1396,18))-INDIRECT(ADDRESS(1397,18))</f>
        <v>0</v>
      </c>
      <c r="S1398">
        <f>INDIRECT(ADDRESS(1398,18))+INDIRECT(ADDRESS(1396,19))-INDIRECT(ADDRESS(1397,19))</f>
        <v>0</v>
      </c>
      <c r="T1398">
        <f>INDIRECT(ADDRESS(1398,19))+INDIRECT(ADDRESS(1396,20))-INDIRECT(ADDRESS(1397,20))</f>
        <v>0</v>
      </c>
      <c r="U1398">
        <f>INDIRECT(ADDRESS(1398,20))+INDIRECT(ADDRESS(1396,21))-INDIRECT(ADDRESS(1397,21))</f>
        <v>0</v>
      </c>
      <c r="V1398">
        <f>INDIRECT(ADDRESS(1398,21))+INDIRECT(ADDRESS(1396,22))-INDIRECT(ADDRESS(1397,22))</f>
        <v>0</v>
      </c>
      <c r="W1398">
        <f>INDIRECT(ADDRESS(1398,22))+INDIRECT(ADDRESS(1396,23))-INDIRECT(ADDRESS(1397,23))</f>
        <v>0</v>
      </c>
      <c r="X1398">
        <f>INDIRECT(ADDRESS(1398,23))+INDIRECT(ADDRESS(1396,24))-INDIRECT(ADDRESS(1397,24))</f>
        <v>0</v>
      </c>
      <c r="Y1398">
        <f>INDIRECT(ADDRESS(1398,24))+INDIRECT(ADDRESS(1396,25))-INDIRECT(ADDRESS(1397,25))</f>
        <v>0</v>
      </c>
      <c r="Z1398">
        <f>INDIRECT(ADDRESS(1398,25))+INDIRECT(ADDRESS(1396,26))-INDIRECT(ADDRESS(1397,26))</f>
        <v>0</v>
      </c>
      <c r="AA1398">
        <f>INDIRECT(ADDRESS(1398,26))+INDIRECT(ADDRESS(1396,27))-INDIRECT(ADDRESS(1397,27))</f>
        <v>0</v>
      </c>
      <c r="AB1398">
        <f>INDIRECT(ADDRESS(1398,27))+INDIRECT(ADDRESS(1396,28))-INDIRECT(ADDRESS(1397,28))</f>
        <v>0</v>
      </c>
      <c r="AC1398">
        <f>INDIRECT(ADDRESS(1398,28))+INDIRECT(ADDRESS(1396,29))-INDIRECT(ADDRESS(1397,29))</f>
        <v>0</v>
      </c>
      <c r="AD1398">
        <f>INDIRECT(ADDRESS(1398,29))+INDIRECT(ADDRESS(1396,30))-INDIRECT(ADDRESS(1397,30))</f>
        <v>0</v>
      </c>
      <c r="AE1398">
        <f>INDIRECT(ADDRESS(1398,30))+INDIRECT(ADDRESS(1396,31))-INDIRECT(ADDRESS(1397,31))</f>
        <v>0</v>
      </c>
      <c r="AF1398">
        <f>INDIRECT(ADDRESS(1398,31))+INDIRECT(ADDRESS(1396,32))-INDIRECT(ADDRESS(1397,32))</f>
        <v>0</v>
      </c>
      <c r="AG1398">
        <f>INDIRECT(ADDRESS(1398,32))+INDIRECT(ADDRESS(1396,33))-INDIRECT(ADDRESS(1397,33))</f>
        <v>0</v>
      </c>
      <c r="AH1398">
        <f>INDIRECT(ADDRESS(1398,33))+INDIRECT(ADDRESS(1396,34))-INDIRECT(ADDRESS(1397,34))</f>
        <v>0</v>
      </c>
      <c r="AI1398">
        <f>INDIRECT(ADDRESS(1398,34))+INDIRECT(ADDRESS(1396,35))-INDIRECT(ADDRESS(1397,35))</f>
        <v>0</v>
      </c>
      <c r="AJ1398">
        <f>INDIRECT(ADDRESS(1398,35))+INDIRECT(ADDRESS(1396,36))-INDIRECT(ADDRESS(1397,36))</f>
        <v>0</v>
      </c>
      <c r="AK1398">
        <f>INDIRECT(ADDRESS(1398,36))+INDIRECT(ADDRESS(1396,37))-INDIRECT(ADDRESS(1397,37))</f>
        <v>0</v>
      </c>
      <c r="AL1398">
        <f>INDIRECT(ADDRESS(1398,37))+INDIRECT(ADDRESS(1396,38))-INDIRECT(ADDRESS(1397,38))</f>
        <v>0</v>
      </c>
      <c r="AM1398">
        <f>INDIRECT(ADDRESS(1398,38))+INDIRECT(ADDRESS(1396,39))-INDIRECT(ADDRESS(1397,39))</f>
        <v>0</v>
      </c>
      <c r="AN1398">
        <f>INDIRECT(ADDRESS(1398,39))+INDIRECT(ADDRESS(1396,40))-INDIRECT(ADDRESS(1397,40))</f>
        <v>0</v>
      </c>
      <c r="AO1398">
        <f>SUM(INDIRECT(ADDRESS(1397,8)):INDIRECT(ADDRESS(1397,39)))</f>
        <v>0</v>
      </c>
    </row>
    <row r="1399" spans="1:41">
      <c r="A1399" t="s">
        <v>185</v>
      </c>
      <c r="B1399" t="s">
        <v>689</v>
      </c>
      <c r="C1399" t="s">
        <v>690</v>
      </c>
      <c r="E1399">
        <v>1</v>
      </c>
      <c r="I1399" t="s">
        <v>177</v>
      </c>
    </row>
    <row r="1400" spans="1:41">
      <c r="I1400" t="s">
        <v>178</v>
      </c>
      <c r="J1400">
        <f>IFERROR(VLOOKUP("906-423348-110",B:AB,1+8,0),0)</f>
        <v>0</v>
      </c>
      <c r="K1400">
        <f>IFERROR(VLOOKUP("906-423348-110",B:AB,2+8,0),0)</f>
        <v>0</v>
      </c>
      <c r="L1400">
        <f>IFERROR(VLOOKUP("906-423348-110",B:AB,3+8,0),0)</f>
        <v>0</v>
      </c>
      <c r="M1400">
        <f>IFERROR(VLOOKUP("906-423348-110",B:AB,4+8,0),0)</f>
        <v>0</v>
      </c>
      <c r="N1400">
        <f>IFERROR(VLOOKUP("906-423348-110",B:AB,5+8,0),0)</f>
        <v>0</v>
      </c>
      <c r="O1400">
        <f>IFERROR(VLOOKUP("906-423348-110",B:AB,6+8,0),0)</f>
        <v>0</v>
      </c>
      <c r="P1400">
        <f>IFERROR(VLOOKUP("906-423348-110",B:AB,7+8,0),0)</f>
        <v>0</v>
      </c>
      <c r="Q1400">
        <f>IFERROR(VLOOKUP("906-423348-110",B:AB,8+8,0),0)</f>
        <v>0</v>
      </c>
      <c r="R1400">
        <f>IFERROR(VLOOKUP("906-423348-110",B:AB,9+8,0),0)</f>
        <v>0</v>
      </c>
      <c r="S1400">
        <f>IFERROR(VLOOKUP("906-423348-110",B:AB,10+8,0),0)</f>
        <v>0</v>
      </c>
      <c r="T1400">
        <f>IFERROR(VLOOKUP("906-423348-110",B:AB,11+8,0),0)</f>
        <v>0</v>
      </c>
      <c r="U1400">
        <f>IFERROR(VLOOKUP("906-423348-110",B:AB,12+8,0),0)</f>
        <v>0</v>
      </c>
      <c r="V1400">
        <f>IFERROR(VLOOKUP("906-423348-110",B:AB,13+8,0),0)</f>
        <v>0</v>
      </c>
      <c r="W1400">
        <f>IFERROR(VLOOKUP("906-423348-110",B:AB,14+8,0),0)</f>
        <v>0</v>
      </c>
      <c r="X1400">
        <f>IFERROR(VLOOKUP("906-423348-110",B:AB,15+8,0),0)</f>
        <v>0</v>
      </c>
      <c r="Y1400">
        <f>IFERROR(VLOOKUP("906-423348-110",B:AB,16+8,0),0)</f>
        <v>0</v>
      </c>
      <c r="Z1400">
        <f>IFERROR(VLOOKUP("906-423348-110",B:AB,17+8,0),0)</f>
        <v>0</v>
      </c>
      <c r="AA1400">
        <f>IFERROR(VLOOKUP("906-423348-110",B:AB,18+8,0),0)</f>
        <v>0</v>
      </c>
      <c r="AB1400">
        <f>IFERROR(VLOOKUP("906-423348-110",B:AB,19+8,0),0)</f>
        <v>0</v>
      </c>
      <c r="AC1400">
        <f>IFERROR(VLOOKUP("906-423348-110",B:AB,20+8,0),0)</f>
        <v>0</v>
      </c>
      <c r="AD1400">
        <f>IFERROR(VLOOKUP("906-423348-110",B:AB,21+8,0),0)</f>
        <v>0</v>
      </c>
      <c r="AE1400">
        <f>IFERROR(VLOOKUP("906-423348-110",B:AB,22+8,0),0)</f>
        <v>0</v>
      </c>
      <c r="AF1400">
        <f>IFERROR(VLOOKUP("906-423348-110",B:AB,23+8,0),0)</f>
        <v>0</v>
      </c>
      <c r="AG1400">
        <f>IFERROR(VLOOKUP("906-423348-110",B:AB,24+8,0),0)</f>
        <v>0</v>
      </c>
      <c r="AH1400">
        <f>IFERROR(VLOOKUP("906-423348-110",B:AB,25+8,0),0)</f>
        <v>0</v>
      </c>
      <c r="AI1400">
        <f>IFERROR(VLOOKUP("906-423348-110",B:AB,26+8,0),0)</f>
        <v>0</v>
      </c>
      <c r="AJ1400">
        <f>IFERROR(VLOOKUP("906-423348-110",B:AB,27+8,0),0)</f>
        <v>0</v>
      </c>
      <c r="AK1400">
        <f>IFERROR(VLOOKUP("906-423348-110",B:AB,28+8,0),0)</f>
        <v>0</v>
      </c>
      <c r="AL1400">
        <f>IFERROR(VLOOKUP("906-423348-110",B:AB,29+8,0),0)</f>
        <v>0</v>
      </c>
      <c r="AM1400">
        <f>IFERROR(VLOOKUP("906-423348-110",B:AB,30+8,0),0)</f>
        <v>0</v>
      </c>
      <c r="AN1400">
        <f>IFERROR(VLOOKUP("906-423348-110",B:AB,31+8,0),0)</f>
        <v>0</v>
      </c>
      <c r="AO1400">
        <f>SUN(INDIRECT(ADDRESS(1399,8)):INDIRECT(ADDRESS(1399,39)))</f>
        <v>0</v>
      </c>
    </row>
    <row r="1401" spans="1:41">
      <c r="H1401" t="s">
        <v>179</v>
      </c>
      <c r="J1401">
        <f>INDIRECT(ADDRESS(1401,9))+INDIRECT(ADDRESS(1399,10))-INDIRECT(ADDRESS(1400,10))</f>
        <v>0</v>
      </c>
      <c r="K1401">
        <f>INDIRECT(ADDRESS(1401,10))+INDIRECT(ADDRESS(1399,11))-INDIRECT(ADDRESS(1400,11))</f>
        <v>0</v>
      </c>
      <c r="L1401">
        <f>INDIRECT(ADDRESS(1401,11))+INDIRECT(ADDRESS(1399,12))-INDIRECT(ADDRESS(1400,12))</f>
        <v>0</v>
      </c>
      <c r="M1401">
        <f>INDIRECT(ADDRESS(1401,12))+INDIRECT(ADDRESS(1399,13))-INDIRECT(ADDRESS(1400,13))</f>
        <v>0</v>
      </c>
      <c r="N1401">
        <f>INDIRECT(ADDRESS(1401,13))+INDIRECT(ADDRESS(1399,14))-INDIRECT(ADDRESS(1400,14))</f>
        <v>0</v>
      </c>
      <c r="O1401">
        <f>INDIRECT(ADDRESS(1401,14))+INDIRECT(ADDRESS(1399,15))-INDIRECT(ADDRESS(1400,15))</f>
        <v>0</v>
      </c>
      <c r="P1401">
        <f>INDIRECT(ADDRESS(1401,15))+INDIRECT(ADDRESS(1399,16))-INDIRECT(ADDRESS(1400,16))</f>
        <v>0</v>
      </c>
      <c r="Q1401">
        <f>INDIRECT(ADDRESS(1401,16))+INDIRECT(ADDRESS(1399,17))-INDIRECT(ADDRESS(1400,17))</f>
        <v>0</v>
      </c>
      <c r="R1401">
        <f>INDIRECT(ADDRESS(1401,17))+INDIRECT(ADDRESS(1399,18))-INDIRECT(ADDRESS(1400,18))</f>
        <v>0</v>
      </c>
      <c r="S1401">
        <f>INDIRECT(ADDRESS(1401,18))+INDIRECT(ADDRESS(1399,19))-INDIRECT(ADDRESS(1400,19))</f>
        <v>0</v>
      </c>
      <c r="T1401">
        <f>INDIRECT(ADDRESS(1401,19))+INDIRECT(ADDRESS(1399,20))-INDIRECT(ADDRESS(1400,20))</f>
        <v>0</v>
      </c>
      <c r="U1401">
        <f>INDIRECT(ADDRESS(1401,20))+INDIRECT(ADDRESS(1399,21))-INDIRECT(ADDRESS(1400,21))</f>
        <v>0</v>
      </c>
      <c r="V1401">
        <f>INDIRECT(ADDRESS(1401,21))+INDIRECT(ADDRESS(1399,22))-INDIRECT(ADDRESS(1400,22))</f>
        <v>0</v>
      </c>
      <c r="W1401">
        <f>INDIRECT(ADDRESS(1401,22))+INDIRECT(ADDRESS(1399,23))-INDIRECT(ADDRESS(1400,23))</f>
        <v>0</v>
      </c>
      <c r="X1401">
        <f>INDIRECT(ADDRESS(1401,23))+INDIRECT(ADDRESS(1399,24))-INDIRECT(ADDRESS(1400,24))</f>
        <v>0</v>
      </c>
      <c r="Y1401">
        <f>INDIRECT(ADDRESS(1401,24))+INDIRECT(ADDRESS(1399,25))-INDIRECT(ADDRESS(1400,25))</f>
        <v>0</v>
      </c>
      <c r="Z1401">
        <f>INDIRECT(ADDRESS(1401,25))+INDIRECT(ADDRESS(1399,26))-INDIRECT(ADDRESS(1400,26))</f>
        <v>0</v>
      </c>
      <c r="AA1401">
        <f>INDIRECT(ADDRESS(1401,26))+INDIRECT(ADDRESS(1399,27))-INDIRECT(ADDRESS(1400,27))</f>
        <v>0</v>
      </c>
      <c r="AB1401">
        <f>INDIRECT(ADDRESS(1401,27))+INDIRECT(ADDRESS(1399,28))-INDIRECT(ADDRESS(1400,28))</f>
        <v>0</v>
      </c>
      <c r="AC1401">
        <f>INDIRECT(ADDRESS(1401,28))+INDIRECT(ADDRESS(1399,29))-INDIRECT(ADDRESS(1400,29))</f>
        <v>0</v>
      </c>
      <c r="AD1401">
        <f>INDIRECT(ADDRESS(1401,29))+INDIRECT(ADDRESS(1399,30))-INDIRECT(ADDRESS(1400,30))</f>
        <v>0</v>
      </c>
      <c r="AE1401">
        <f>INDIRECT(ADDRESS(1401,30))+INDIRECT(ADDRESS(1399,31))-INDIRECT(ADDRESS(1400,31))</f>
        <v>0</v>
      </c>
      <c r="AF1401">
        <f>INDIRECT(ADDRESS(1401,31))+INDIRECT(ADDRESS(1399,32))-INDIRECT(ADDRESS(1400,32))</f>
        <v>0</v>
      </c>
      <c r="AG1401">
        <f>INDIRECT(ADDRESS(1401,32))+INDIRECT(ADDRESS(1399,33))-INDIRECT(ADDRESS(1400,33))</f>
        <v>0</v>
      </c>
      <c r="AH1401">
        <f>INDIRECT(ADDRESS(1401,33))+INDIRECT(ADDRESS(1399,34))-INDIRECT(ADDRESS(1400,34))</f>
        <v>0</v>
      </c>
      <c r="AI1401">
        <f>INDIRECT(ADDRESS(1401,34))+INDIRECT(ADDRESS(1399,35))-INDIRECT(ADDRESS(1400,35))</f>
        <v>0</v>
      </c>
      <c r="AJ1401">
        <f>INDIRECT(ADDRESS(1401,35))+INDIRECT(ADDRESS(1399,36))-INDIRECT(ADDRESS(1400,36))</f>
        <v>0</v>
      </c>
      <c r="AK1401">
        <f>INDIRECT(ADDRESS(1401,36))+INDIRECT(ADDRESS(1399,37))-INDIRECT(ADDRESS(1400,37))</f>
        <v>0</v>
      </c>
      <c r="AL1401">
        <f>INDIRECT(ADDRESS(1401,37))+INDIRECT(ADDRESS(1399,38))-INDIRECT(ADDRESS(1400,38))</f>
        <v>0</v>
      </c>
      <c r="AM1401">
        <f>INDIRECT(ADDRESS(1401,38))+INDIRECT(ADDRESS(1399,39))-INDIRECT(ADDRESS(1400,39))</f>
        <v>0</v>
      </c>
      <c r="AN1401">
        <f>INDIRECT(ADDRESS(1401,39))+INDIRECT(ADDRESS(1399,40))-INDIRECT(ADDRESS(1400,40))</f>
        <v>0</v>
      </c>
      <c r="AO1401">
        <f>SUM(INDIRECT(ADDRESS(1400,8)):INDIRECT(ADDRESS(1400,39)))</f>
        <v>0</v>
      </c>
    </row>
    <row r="1402" spans="1:41">
      <c r="A1402" t="s">
        <v>185</v>
      </c>
      <c r="B1402" t="s">
        <v>680</v>
      </c>
      <c r="C1402" t="s">
        <v>681</v>
      </c>
      <c r="E1402">
        <v>1</v>
      </c>
      <c r="I1402" t="s">
        <v>177</v>
      </c>
    </row>
    <row r="1403" spans="1:41">
      <c r="I1403" t="s">
        <v>178</v>
      </c>
      <c r="J1403">
        <f>IFERROR(VLOOKUP("906-423348-110",B:AB,1+8,0),0)</f>
        <v>0</v>
      </c>
      <c r="K1403">
        <f>IFERROR(VLOOKUP("906-423348-110",B:AB,2+8,0),0)</f>
        <v>0</v>
      </c>
      <c r="L1403">
        <f>IFERROR(VLOOKUP("906-423348-110",B:AB,3+8,0),0)</f>
        <v>0</v>
      </c>
      <c r="M1403">
        <f>IFERROR(VLOOKUP("906-423348-110",B:AB,4+8,0),0)</f>
        <v>0</v>
      </c>
      <c r="N1403">
        <f>IFERROR(VLOOKUP("906-423348-110",B:AB,5+8,0),0)</f>
        <v>0</v>
      </c>
      <c r="O1403">
        <f>IFERROR(VLOOKUP("906-423348-110",B:AB,6+8,0),0)</f>
        <v>0</v>
      </c>
      <c r="P1403">
        <f>IFERROR(VLOOKUP("906-423348-110",B:AB,7+8,0),0)</f>
        <v>0</v>
      </c>
      <c r="Q1403">
        <f>IFERROR(VLOOKUP("906-423348-110",B:AB,8+8,0),0)</f>
        <v>0</v>
      </c>
      <c r="R1403">
        <f>IFERROR(VLOOKUP("906-423348-110",B:AB,9+8,0),0)</f>
        <v>0</v>
      </c>
      <c r="S1403">
        <f>IFERROR(VLOOKUP("906-423348-110",B:AB,10+8,0),0)</f>
        <v>0</v>
      </c>
      <c r="T1403">
        <f>IFERROR(VLOOKUP("906-423348-110",B:AB,11+8,0),0)</f>
        <v>0</v>
      </c>
      <c r="U1403">
        <f>IFERROR(VLOOKUP("906-423348-110",B:AB,12+8,0),0)</f>
        <v>0</v>
      </c>
      <c r="V1403">
        <f>IFERROR(VLOOKUP("906-423348-110",B:AB,13+8,0),0)</f>
        <v>0</v>
      </c>
      <c r="W1403">
        <f>IFERROR(VLOOKUP("906-423348-110",B:AB,14+8,0),0)</f>
        <v>0</v>
      </c>
      <c r="X1403">
        <f>IFERROR(VLOOKUP("906-423348-110",B:AB,15+8,0),0)</f>
        <v>0</v>
      </c>
      <c r="Y1403">
        <f>IFERROR(VLOOKUP("906-423348-110",B:AB,16+8,0),0)</f>
        <v>0</v>
      </c>
      <c r="Z1403">
        <f>IFERROR(VLOOKUP("906-423348-110",B:AB,17+8,0),0)</f>
        <v>0</v>
      </c>
      <c r="AA1403">
        <f>IFERROR(VLOOKUP("906-423348-110",B:AB,18+8,0),0)</f>
        <v>0</v>
      </c>
      <c r="AB1403">
        <f>IFERROR(VLOOKUP("906-423348-110",B:AB,19+8,0),0)</f>
        <v>0</v>
      </c>
      <c r="AC1403">
        <f>IFERROR(VLOOKUP("906-423348-110",B:AB,20+8,0),0)</f>
        <v>0</v>
      </c>
      <c r="AD1403">
        <f>IFERROR(VLOOKUP("906-423348-110",B:AB,21+8,0),0)</f>
        <v>0</v>
      </c>
      <c r="AE1403">
        <f>IFERROR(VLOOKUP("906-423348-110",B:AB,22+8,0),0)</f>
        <v>0</v>
      </c>
      <c r="AF1403">
        <f>IFERROR(VLOOKUP("906-423348-110",B:AB,23+8,0),0)</f>
        <v>0</v>
      </c>
      <c r="AG1403">
        <f>IFERROR(VLOOKUP("906-423348-110",B:AB,24+8,0),0)</f>
        <v>0</v>
      </c>
      <c r="AH1403">
        <f>IFERROR(VLOOKUP("906-423348-110",B:AB,25+8,0),0)</f>
        <v>0</v>
      </c>
      <c r="AI1403">
        <f>IFERROR(VLOOKUP("906-423348-110",B:AB,26+8,0),0)</f>
        <v>0</v>
      </c>
      <c r="AJ1403">
        <f>IFERROR(VLOOKUP("906-423348-110",B:AB,27+8,0),0)</f>
        <v>0</v>
      </c>
      <c r="AK1403">
        <f>IFERROR(VLOOKUP("906-423348-110",B:AB,28+8,0),0)</f>
        <v>0</v>
      </c>
      <c r="AL1403">
        <f>IFERROR(VLOOKUP("906-423348-110",B:AB,29+8,0),0)</f>
        <v>0</v>
      </c>
      <c r="AM1403">
        <f>IFERROR(VLOOKUP("906-423348-110",B:AB,30+8,0),0)</f>
        <v>0</v>
      </c>
      <c r="AN1403">
        <f>IFERROR(VLOOKUP("906-423348-110",B:AB,31+8,0),0)</f>
        <v>0</v>
      </c>
      <c r="AO1403">
        <f>SUN(INDIRECT(ADDRESS(1402,8)):INDIRECT(ADDRESS(1402,39)))</f>
        <v>0</v>
      </c>
    </row>
    <row r="1404" spans="1:41">
      <c r="H1404" t="s">
        <v>179</v>
      </c>
      <c r="J1404">
        <f>INDIRECT(ADDRESS(1404,9))+INDIRECT(ADDRESS(1402,10))-INDIRECT(ADDRESS(1403,10))</f>
        <v>0</v>
      </c>
      <c r="K1404">
        <f>INDIRECT(ADDRESS(1404,10))+INDIRECT(ADDRESS(1402,11))-INDIRECT(ADDRESS(1403,11))</f>
        <v>0</v>
      </c>
      <c r="L1404">
        <f>INDIRECT(ADDRESS(1404,11))+INDIRECT(ADDRESS(1402,12))-INDIRECT(ADDRESS(1403,12))</f>
        <v>0</v>
      </c>
      <c r="M1404">
        <f>INDIRECT(ADDRESS(1404,12))+INDIRECT(ADDRESS(1402,13))-INDIRECT(ADDRESS(1403,13))</f>
        <v>0</v>
      </c>
      <c r="N1404">
        <f>INDIRECT(ADDRESS(1404,13))+INDIRECT(ADDRESS(1402,14))-INDIRECT(ADDRESS(1403,14))</f>
        <v>0</v>
      </c>
      <c r="O1404">
        <f>INDIRECT(ADDRESS(1404,14))+INDIRECT(ADDRESS(1402,15))-INDIRECT(ADDRESS(1403,15))</f>
        <v>0</v>
      </c>
      <c r="P1404">
        <f>INDIRECT(ADDRESS(1404,15))+INDIRECT(ADDRESS(1402,16))-INDIRECT(ADDRESS(1403,16))</f>
        <v>0</v>
      </c>
      <c r="Q1404">
        <f>INDIRECT(ADDRESS(1404,16))+INDIRECT(ADDRESS(1402,17))-INDIRECT(ADDRESS(1403,17))</f>
        <v>0</v>
      </c>
      <c r="R1404">
        <f>INDIRECT(ADDRESS(1404,17))+INDIRECT(ADDRESS(1402,18))-INDIRECT(ADDRESS(1403,18))</f>
        <v>0</v>
      </c>
      <c r="S1404">
        <f>INDIRECT(ADDRESS(1404,18))+INDIRECT(ADDRESS(1402,19))-INDIRECT(ADDRESS(1403,19))</f>
        <v>0</v>
      </c>
      <c r="T1404">
        <f>INDIRECT(ADDRESS(1404,19))+INDIRECT(ADDRESS(1402,20))-INDIRECT(ADDRESS(1403,20))</f>
        <v>0</v>
      </c>
      <c r="U1404">
        <f>INDIRECT(ADDRESS(1404,20))+INDIRECT(ADDRESS(1402,21))-INDIRECT(ADDRESS(1403,21))</f>
        <v>0</v>
      </c>
      <c r="V1404">
        <f>INDIRECT(ADDRESS(1404,21))+INDIRECT(ADDRESS(1402,22))-INDIRECT(ADDRESS(1403,22))</f>
        <v>0</v>
      </c>
      <c r="W1404">
        <f>INDIRECT(ADDRESS(1404,22))+INDIRECT(ADDRESS(1402,23))-INDIRECT(ADDRESS(1403,23))</f>
        <v>0</v>
      </c>
      <c r="X1404">
        <f>INDIRECT(ADDRESS(1404,23))+INDIRECT(ADDRESS(1402,24))-INDIRECT(ADDRESS(1403,24))</f>
        <v>0</v>
      </c>
      <c r="Y1404">
        <f>INDIRECT(ADDRESS(1404,24))+INDIRECT(ADDRESS(1402,25))-INDIRECT(ADDRESS(1403,25))</f>
        <v>0</v>
      </c>
      <c r="Z1404">
        <f>INDIRECT(ADDRESS(1404,25))+INDIRECT(ADDRESS(1402,26))-INDIRECT(ADDRESS(1403,26))</f>
        <v>0</v>
      </c>
      <c r="AA1404">
        <f>INDIRECT(ADDRESS(1404,26))+INDIRECT(ADDRESS(1402,27))-INDIRECT(ADDRESS(1403,27))</f>
        <v>0</v>
      </c>
      <c r="AB1404">
        <f>INDIRECT(ADDRESS(1404,27))+INDIRECT(ADDRESS(1402,28))-INDIRECT(ADDRESS(1403,28))</f>
        <v>0</v>
      </c>
      <c r="AC1404">
        <f>INDIRECT(ADDRESS(1404,28))+INDIRECT(ADDRESS(1402,29))-INDIRECT(ADDRESS(1403,29))</f>
        <v>0</v>
      </c>
      <c r="AD1404">
        <f>INDIRECT(ADDRESS(1404,29))+INDIRECT(ADDRESS(1402,30))-INDIRECT(ADDRESS(1403,30))</f>
        <v>0</v>
      </c>
      <c r="AE1404">
        <f>INDIRECT(ADDRESS(1404,30))+INDIRECT(ADDRESS(1402,31))-INDIRECT(ADDRESS(1403,31))</f>
        <v>0</v>
      </c>
      <c r="AF1404">
        <f>INDIRECT(ADDRESS(1404,31))+INDIRECT(ADDRESS(1402,32))-INDIRECT(ADDRESS(1403,32))</f>
        <v>0</v>
      </c>
      <c r="AG1404">
        <f>INDIRECT(ADDRESS(1404,32))+INDIRECT(ADDRESS(1402,33))-INDIRECT(ADDRESS(1403,33))</f>
        <v>0</v>
      </c>
      <c r="AH1404">
        <f>INDIRECT(ADDRESS(1404,33))+INDIRECT(ADDRESS(1402,34))-INDIRECT(ADDRESS(1403,34))</f>
        <v>0</v>
      </c>
      <c r="AI1404">
        <f>INDIRECT(ADDRESS(1404,34))+INDIRECT(ADDRESS(1402,35))-INDIRECT(ADDRESS(1403,35))</f>
        <v>0</v>
      </c>
      <c r="AJ1404">
        <f>INDIRECT(ADDRESS(1404,35))+INDIRECT(ADDRESS(1402,36))-INDIRECT(ADDRESS(1403,36))</f>
        <v>0</v>
      </c>
      <c r="AK1404">
        <f>INDIRECT(ADDRESS(1404,36))+INDIRECT(ADDRESS(1402,37))-INDIRECT(ADDRESS(1403,37))</f>
        <v>0</v>
      </c>
      <c r="AL1404">
        <f>INDIRECT(ADDRESS(1404,37))+INDIRECT(ADDRESS(1402,38))-INDIRECT(ADDRESS(1403,38))</f>
        <v>0</v>
      </c>
      <c r="AM1404">
        <f>INDIRECT(ADDRESS(1404,38))+INDIRECT(ADDRESS(1402,39))-INDIRECT(ADDRESS(1403,39))</f>
        <v>0</v>
      </c>
      <c r="AN1404">
        <f>INDIRECT(ADDRESS(1404,39))+INDIRECT(ADDRESS(1402,40))-INDIRECT(ADDRESS(1403,40))</f>
        <v>0</v>
      </c>
      <c r="AO1404">
        <f>SUM(INDIRECT(ADDRESS(1403,8)):INDIRECT(ADDRESS(1403,39)))</f>
        <v>0</v>
      </c>
    </row>
    <row r="1405" spans="1:41">
      <c r="A1405" t="s">
        <v>185</v>
      </c>
      <c r="B1405" t="s">
        <v>588</v>
      </c>
      <c r="C1405" t="s">
        <v>691</v>
      </c>
      <c r="E1405">
        <v>2</v>
      </c>
      <c r="I1405" t="s">
        <v>177</v>
      </c>
    </row>
    <row r="1406" spans="1:41">
      <c r="I1406" t="s">
        <v>178</v>
      </c>
      <c r="J1406">
        <f>IFERROR(VLOOKUP("906-423348-110",B:AB,1+8,0),0)</f>
        <v>0</v>
      </c>
      <c r="K1406">
        <f>IFERROR(VLOOKUP("906-423348-110",B:AB,2+8,0),0)</f>
        <v>0</v>
      </c>
      <c r="L1406">
        <f>IFERROR(VLOOKUP("906-423348-110",B:AB,3+8,0),0)</f>
        <v>0</v>
      </c>
      <c r="M1406">
        <f>IFERROR(VLOOKUP("906-423348-110",B:AB,4+8,0),0)</f>
        <v>0</v>
      </c>
      <c r="N1406">
        <f>IFERROR(VLOOKUP("906-423348-110",B:AB,5+8,0),0)</f>
        <v>0</v>
      </c>
      <c r="O1406">
        <f>IFERROR(VLOOKUP("906-423348-110",B:AB,6+8,0),0)</f>
        <v>0</v>
      </c>
      <c r="P1406">
        <f>IFERROR(VLOOKUP("906-423348-110",B:AB,7+8,0),0)</f>
        <v>0</v>
      </c>
      <c r="Q1406">
        <f>IFERROR(VLOOKUP("906-423348-110",B:AB,8+8,0),0)</f>
        <v>0</v>
      </c>
      <c r="R1406">
        <f>IFERROR(VLOOKUP("906-423348-110",B:AB,9+8,0),0)</f>
        <v>0</v>
      </c>
      <c r="S1406">
        <f>IFERROR(VLOOKUP("906-423348-110",B:AB,10+8,0),0)</f>
        <v>0</v>
      </c>
      <c r="T1406">
        <f>IFERROR(VLOOKUP("906-423348-110",B:AB,11+8,0),0)</f>
        <v>0</v>
      </c>
      <c r="U1406">
        <f>IFERROR(VLOOKUP("906-423348-110",B:AB,12+8,0),0)</f>
        <v>0</v>
      </c>
      <c r="V1406">
        <f>IFERROR(VLOOKUP("906-423348-110",B:AB,13+8,0),0)</f>
        <v>0</v>
      </c>
      <c r="W1406">
        <f>IFERROR(VLOOKUP("906-423348-110",B:AB,14+8,0),0)</f>
        <v>0</v>
      </c>
      <c r="X1406">
        <f>IFERROR(VLOOKUP("906-423348-110",B:AB,15+8,0),0)</f>
        <v>0</v>
      </c>
      <c r="Y1406">
        <f>IFERROR(VLOOKUP("906-423348-110",B:AB,16+8,0),0)</f>
        <v>0</v>
      </c>
      <c r="Z1406">
        <f>IFERROR(VLOOKUP("906-423348-110",B:AB,17+8,0),0)</f>
        <v>0</v>
      </c>
      <c r="AA1406">
        <f>IFERROR(VLOOKUP("906-423348-110",B:AB,18+8,0),0)</f>
        <v>0</v>
      </c>
      <c r="AB1406">
        <f>IFERROR(VLOOKUP("906-423348-110",B:AB,19+8,0),0)</f>
        <v>0</v>
      </c>
      <c r="AC1406">
        <f>IFERROR(VLOOKUP("906-423348-110",B:AB,20+8,0),0)</f>
        <v>0</v>
      </c>
      <c r="AD1406">
        <f>IFERROR(VLOOKUP("906-423348-110",B:AB,21+8,0),0)</f>
        <v>0</v>
      </c>
      <c r="AE1406">
        <f>IFERROR(VLOOKUP("906-423348-110",B:AB,22+8,0),0)</f>
        <v>0</v>
      </c>
      <c r="AF1406">
        <f>IFERROR(VLOOKUP("906-423348-110",B:AB,23+8,0),0)</f>
        <v>0</v>
      </c>
      <c r="AG1406">
        <f>IFERROR(VLOOKUP("906-423348-110",B:AB,24+8,0),0)</f>
        <v>0</v>
      </c>
      <c r="AH1406">
        <f>IFERROR(VLOOKUP("906-423348-110",B:AB,25+8,0),0)</f>
        <v>0</v>
      </c>
      <c r="AI1406">
        <f>IFERROR(VLOOKUP("906-423348-110",B:AB,26+8,0),0)</f>
        <v>0</v>
      </c>
      <c r="AJ1406">
        <f>IFERROR(VLOOKUP("906-423348-110",B:AB,27+8,0),0)</f>
        <v>0</v>
      </c>
      <c r="AK1406">
        <f>IFERROR(VLOOKUP("906-423348-110",B:AB,28+8,0),0)</f>
        <v>0</v>
      </c>
      <c r="AL1406">
        <f>IFERROR(VLOOKUP("906-423348-110",B:AB,29+8,0),0)</f>
        <v>0</v>
      </c>
      <c r="AM1406">
        <f>IFERROR(VLOOKUP("906-423348-110",B:AB,30+8,0),0)</f>
        <v>0</v>
      </c>
      <c r="AN1406">
        <f>IFERROR(VLOOKUP("906-423348-110",B:AB,31+8,0),0)</f>
        <v>0</v>
      </c>
      <c r="AO1406">
        <f>SUN(INDIRECT(ADDRESS(1405,8)):INDIRECT(ADDRESS(1405,39)))</f>
        <v>0</v>
      </c>
    </row>
    <row r="1407" spans="1:41">
      <c r="H1407" t="s">
        <v>179</v>
      </c>
      <c r="J1407">
        <f>INDIRECT(ADDRESS(1407,9))+INDIRECT(ADDRESS(1405,10))-INDIRECT(ADDRESS(1406,10))</f>
        <v>0</v>
      </c>
      <c r="K1407">
        <f>INDIRECT(ADDRESS(1407,10))+INDIRECT(ADDRESS(1405,11))-INDIRECT(ADDRESS(1406,11))</f>
        <v>0</v>
      </c>
      <c r="L1407">
        <f>INDIRECT(ADDRESS(1407,11))+INDIRECT(ADDRESS(1405,12))-INDIRECT(ADDRESS(1406,12))</f>
        <v>0</v>
      </c>
      <c r="M1407">
        <f>INDIRECT(ADDRESS(1407,12))+INDIRECT(ADDRESS(1405,13))-INDIRECT(ADDRESS(1406,13))</f>
        <v>0</v>
      </c>
      <c r="N1407">
        <f>INDIRECT(ADDRESS(1407,13))+INDIRECT(ADDRESS(1405,14))-INDIRECT(ADDRESS(1406,14))</f>
        <v>0</v>
      </c>
      <c r="O1407">
        <f>INDIRECT(ADDRESS(1407,14))+INDIRECT(ADDRESS(1405,15))-INDIRECT(ADDRESS(1406,15))</f>
        <v>0</v>
      </c>
      <c r="P1407">
        <f>INDIRECT(ADDRESS(1407,15))+INDIRECT(ADDRESS(1405,16))-INDIRECT(ADDRESS(1406,16))</f>
        <v>0</v>
      </c>
      <c r="Q1407">
        <f>INDIRECT(ADDRESS(1407,16))+INDIRECT(ADDRESS(1405,17))-INDIRECT(ADDRESS(1406,17))</f>
        <v>0</v>
      </c>
      <c r="R1407">
        <f>INDIRECT(ADDRESS(1407,17))+INDIRECT(ADDRESS(1405,18))-INDIRECT(ADDRESS(1406,18))</f>
        <v>0</v>
      </c>
      <c r="S1407">
        <f>INDIRECT(ADDRESS(1407,18))+INDIRECT(ADDRESS(1405,19))-INDIRECT(ADDRESS(1406,19))</f>
        <v>0</v>
      </c>
      <c r="T1407">
        <f>INDIRECT(ADDRESS(1407,19))+INDIRECT(ADDRESS(1405,20))-INDIRECT(ADDRESS(1406,20))</f>
        <v>0</v>
      </c>
      <c r="U1407">
        <f>INDIRECT(ADDRESS(1407,20))+INDIRECT(ADDRESS(1405,21))-INDIRECT(ADDRESS(1406,21))</f>
        <v>0</v>
      </c>
      <c r="V1407">
        <f>INDIRECT(ADDRESS(1407,21))+INDIRECT(ADDRESS(1405,22))-INDIRECT(ADDRESS(1406,22))</f>
        <v>0</v>
      </c>
      <c r="W1407">
        <f>INDIRECT(ADDRESS(1407,22))+INDIRECT(ADDRESS(1405,23))-INDIRECT(ADDRESS(1406,23))</f>
        <v>0</v>
      </c>
      <c r="X1407">
        <f>INDIRECT(ADDRESS(1407,23))+INDIRECT(ADDRESS(1405,24))-INDIRECT(ADDRESS(1406,24))</f>
        <v>0</v>
      </c>
      <c r="Y1407">
        <f>INDIRECT(ADDRESS(1407,24))+INDIRECT(ADDRESS(1405,25))-INDIRECT(ADDRESS(1406,25))</f>
        <v>0</v>
      </c>
      <c r="Z1407">
        <f>INDIRECT(ADDRESS(1407,25))+INDIRECT(ADDRESS(1405,26))-INDIRECT(ADDRESS(1406,26))</f>
        <v>0</v>
      </c>
      <c r="AA1407">
        <f>INDIRECT(ADDRESS(1407,26))+INDIRECT(ADDRESS(1405,27))-INDIRECT(ADDRESS(1406,27))</f>
        <v>0</v>
      </c>
      <c r="AB1407">
        <f>INDIRECT(ADDRESS(1407,27))+INDIRECT(ADDRESS(1405,28))-INDIRECT(ADDRESS(1406,28))</f>
        <v>0</v>
      </c>
      <c r="AC1407">
        <f>INDIRECT(ADDRESS(1407,28))+INDIRECT(ADDRESS(1405,29))-INDIRECT(ADDRESS(1406,29))</f>
        <v>0</v>
      </c>
      <c r="AD1407">
        <f>INDIRECT(ADDRESS(1407,29))+INDIRECT(ADDRESS(1405,30))-INDIRECT(ADDRESS(1406,30))</f>
        <v>0</v>
      </c>
      <c r="AE1407">
        <f>INDIRECT(ADDRESS(1407,30))+INDIRECT(ADDRESS(1405,31))-INDIRECT(ADDRESS(1406,31))</f>
        <v>0</v>
      </c>
      <c r="AF1407">
        <f>INDIRECT(ADDRESS(1407,31))+INDIRECT(ADDRESS(1405,32))-INDIRECT(ADDRESS(1406,32))</f>
        <v>0</v>
      </c>
      <c r="AG1407">
        <f>INDIRECT(ADDRESS(1407,32))+INDIRECT(ADDRESS(1405,33))-INDIRECT(ADDRESS(1406,33))</f>
        <v>0</v>
      </c>
      <c r="AH1407">
        <f>INDIRECT(ADDRESS(1407,33))+INDIRECT(ADDRESS(1405,34))-INDIRECT(ADDRESS(1406,34))</f>
        <v>0</v>
      </c>
      <c r="AI1407">
        <f>INDIRECT(ADDRESS(1407,34))+INDIRECT(ADDRESS(1405,35))-INDIRECT(ADDRESS(1406,35))</f>
        <v>0</v>
      </c>
      <c r="AJ1407">
        <f>INDIRECT(ADDRESS(1407,35))+INDIRECT(ADDRESS(1405,36))-INDIRECT(ADDRESS(1406,36))</f>
        <v>0</v>
      </c>
      <c r="AK1407">
        <f>INDIRECT(ADDRESS(1407,36))+INDIRECT(ADDRESS(1405,37))-INDIRECT(ADDRESS(1406,37))</f>
        <v>0</v>
      </c>
      <c r="AL1407">
        <f>INDIRECT(ADDRESS(1407,37))+INDIRECT(ADDRESS(1405,38))-INDIRECT(ADDRESS(1406,38))</f>
        <v>0</v>
      </c>
      <c r="AM1407">
        <f>INDIRECT(ADDRESS(1407,38))+INDIRECT(ADDRESS(1405,39))-INDIRECT(ADDRESS(1406,39))</f>
        <v>0</v>
      </c>
      <c r="AN1407">
        <f>INDIRECT(ADDRESS(1407,39))+INDIRECT(ADDRESS(1405,40))-INDIRECT(ADDRESS(1406,40))</f>
        <v>0</v>
      </c>
      <c r="AO1407">
        <f>SUM(INDIRECT(ADDRESS(1406,8)):INDIRECT(ADDRESS(1406,39)))</f>
        <v>0</v>
      </c>
    </row>
    <row r="1408" spans="1:41">
      <c r="A1408" t="s">
        <v>8</v>
      </c>
      <c r="B1408" t="s">
        <v>113</v>
      </c>
      <c r="C1408" t="s">
        <v>114</v>
      </c>
      <c r="E1408">
        <v>1</v>
      </c>
      <c r="I1408" t="s">
        <v>177</v>
      </c>
    </row>
    <row r="1409" spans="1:41">
      <c r="I1409" t="s">
        <v>178</v>
      </c>
      <c r="J1409">
        <f>IFERROR(VLOOKUP("906-161000-110",Out!B:AB,1+8,0),0)</f>
        <v>0</v>
      </c>
      <c r="K1409">
        <f>IFERROR(VLOOKUP("906-161000-110",Out!B:AB,2+8,0),0)</f>
        <v>0</v>
      </c>
      <c r="L1409">
        <f>IFERROR(VLOOKUP("906-161000-110",Out!B:AB,3+8,0),0)</f>
        <v>0</v>
      </c>
      <c r="M1409">
        <f>IFERROR(VLOOKUP("906-161000-110",Out!B:AB,4+8,0),0)</f>
        <v>0</v>
      </c>
      <c r="N1409">
        <f>IFERROR(VLOOKUP("906-161000-110",Out!B:AB,5+8,0),0)</f>
        <v>0</v>
      </c>
      <c r="O1409">
        <f>IFERROR(VLOOKUP("906-161000-110",Out!B:AB,6+8,0),0)</f>
        <v>0</v>
      </c>
      <c r="P1409">
        <f>IFERROR(VLOOKUP("906-161000-110",Out!B:AB,7+8,0),0)</f>
        <v>0</v>
      </c>
      <c r="Q1409">
        <f>IFERROR(VLOOKUP("906-161000-110",Out!B:AB,8+8,0),0)</f>
        <v>0</v>
      </c>
      <c r="R1409">
        <f>IFERROR(VLOOKUP("906-161000-110",Out!B:AB,9+8,0),0)</f>
        <v>0</v>
      </c>
      <c r="S1409">
        <f>IFERROR(VLOOKUP("906-161000-110",Out!B:AB,10+8,0),0)</f>
        <v>0</v>
      </c>
      <c r="T1409">
        <f>IFERROR(VLOOKUP("906-161000-110",Out!B:AB,11+8,0),0)</f>
        <v>0</v>
      </c>
      <c r="U1409">
        <f>IFERROR(VLOOKUP("906-161000-110",Out!B:AB,12+8,0),0)</f>
        <v>0</v>
      </c>
      <c r="V1409">
        <f>IFERROR(VLOOKUP("906-161000-110",Out!B:AB,13+8,0),0)</f>
        <v>0</v>
      </c>
      <c r="W1409">
        <f>IFERROR(VLOOKUP("906-161000-110",Out!B:AB,14+8,0),0)</f>
        <v>0</v>
      </c>
      <c r="X1409">
        <f>IFERROR(VLOOKUP("906-161000-110",Out!B:AB,15+8,0),0)</f>
        <v>0</v>
      </c>
      <c r="Y1409">
        <f>IFERROR(VLOOKUP("906-161000-110",Out!B:AB,16+8,0),0)</f>
        <v>0</v>
      </c>
      <c r="Z1409">
        <f>IFERROR(VLOOKUP("906-161000-110",Out!B:AB,17+8,0),0)</f>
        <v>0</v>
      </c>
      <c r="AA1409">
        <f>IFERROR(VLOOKUP("906-161000-110",Out!B:AB,18+8,0),0)</f>
        <v>0</v>
      </c>
      <c r="AB1409">
        <f>IFERROR(VLOOKUP("906-161000-110",Out!B:AB,19+8,0),0)</f>
        <v>0</v>
      </c>
      <c r="AC1409">
        <f>IFERROR(VLOOKUP("906-161000-110",Out!B:AB,20+8,0),0)</f>
        <v>0</v>
      </c>
      <c r="AD1409">
        <f>IFERROR(VLOOKUP("906-161000-110",Out!B:AB,21+8,0),0)</f>
        <v>0</v>
      </c>
      <c r="AE1409">
        <f>IFERROR(VLOOKUP("906-161000-110",Out!B:AB,22+8,0),0)</f>
        <v>0</v>
      </c>
      <c r="AF1409">
        <f>IFERROR(VLOOKUP("906-161000-110",Out!B:AB,23+8,0),0)</f>
        <v>0</v>
      </c>
      <c r="AG1409">
        <f>IFERROR(VLOOKUP("906-161000-110",Out!B:AB,24+8,0),0)</f>
        <v>0</v>
      </c>
      <c r="AH1409">
        <f>IFERROR(VLOOKUP("906-161000-110",Out!B:AB,25+8,0),0)</f>
        <v>0</v>
      </c>
      <c r="AI1409">
        <f>IFERROR(VLOOKUP("906-161000-110",Out!B:AB,26+8,0),0)</f>
        <v>0</v>
      </c>
      <c r="AJ1409">
        <f>IFERROR(VLOOKUP("906-161000-110",Out!B:AB,27+8,0),0)</f>
        <v>0</v>
      </c>
      <c r="AK1409">
        <f>IFERROR(VLOOKUP("906-161000-110",Out!B:AB,28+8,0),0)</f>
        <v>0</v>
      </c>
      <c r="AL1409">
        <f>IFERROR(VLOOKUP("906-161000-110",Out!B:AB,29+8,0),0)</f>
        <v>0</v>
      </c>
      <c r="AM1409">
        <f>IFERROR(VLOOKUP("906-161000-110",Out!B:AB,30+8,0),0)</f>
        <v>0</v>
      </c>
      <c r="AN1409">
        <f>IFERROR(VLOOKUP("906-161000-110",Out!B:AB,31+8,0),0)</f>
        <v>0</v>
      </c>
      <c r="AO1409">
        <f>SUN(INDIRECT(ADDRESS(1408,8)):INDIRECT(ADDRESS(1408,39)))</f>
        <v>0</v>
      </c>
    </row>
    <row r="1410" spans="1:41">
      <c r="H1410" t="s">
        <v>179</v>
      </c>
      <c r="J1410">
        <f>INDIRECT(ADDRESS(1410,9))+INDIRECT(ADDRESS(1408,10))-INDIRECT(ADDRESS(1409,10))</f>
        <v>0</v>
      </c>
      <c r="K1410">
        <f>INDIRECT(ADDRESS(1410,10))+INDIRECT(ADDRESS(1408,11))-INDIRECT(ADDRESS(1409,11))</f>
        <v>0</v>
      </c>
      <c r="L1410">
        <f>INDIRECT(ADDRESS(1410,11))+INDIRECT(ADDRESS(1408,12))-INDIRECT(ADDRESS(1409,12))</f>
        <v>0</v>
      </c>
      <c r="M1410">
        <f>INDIRECT(ADDRESS(1410,12))+INDIRECT(ADDRESS(1408,13))-INDIRECT(ADDRESS(1409,13))</f>
        <v>0</v>
      </c>
      <c r="N1410">
        <f>INDIRECT(ADDRESS(1410,13))+INDIRECT(ADDRESS(1408,14))-INDIRECT(ADDRESS(1409,14))</f>
        <v>0</v>
      </c>
      <c r="O1410">
        <f>INDIRECT(ADDRESS(1410,14))+INDIRECT(ADDRESS(1408,15))-INDIRECT(ADDRESS(1409,15))</f>
        <v>0</v>
      </c>
      <c r="P1410">
        <f>INDIRECT(ADDRESS(1410,15))+INDIRECT(ADDRESS(1408,16))-INDIRECT(ADDRESS(1409,16))</f>
        <v>0</v>
      </c>
      <c r="Q1410">
        <f>INDIRECT(ADDRESS(1410,16))+INDIRECT(ADDRESS(1408,17))-INDIRECT(ADDRESS(1409,17))</f>
        <v>0</v>
      </c>
      <c r="R1410">
        <f>INDIRECT(ADDRESS(1410,17))+INDIRECT(ADDRESS(1408,18))-INDIRECT(ADDRESS(1409,18))</f>
        <v>0</v>
      </c>
      <c r="S1410">
        <f>INDIRECT(ADDRESS(1410,18))+INDIRECT(ADDRESS(1408,19))-INDIRECT(ADDRESS(1409,19))</f>
        <v>0</v>
      </c>
      <c r="T1410">
        <f>INDIRECT(ADDRESS(1410,19))+INDIRECT(ADDRESS(1408,20))-INDIRECT(ADDRESS(1409,20))</f>
        <v>0</v>
      </c>
      <c r="U1410">
        <f>INDIRECT(ADDRESS(1410,20))+INDIRECT(ADDRESS(1408,21))-INDIRECT(ADDRESS(1409,21))</f>
        <v>0</v>
      </c>
      <c r="V1410">
        <f>INDIRECT(ADDRESS(1410,21))+INDIRECT(ADDRESS(1408,22))-INDIRECT(ADDRESS(1409,22))</f>
        <v>0</v>
      </c>
      <c r="W1410">
        <f>INDIRECT(ADDRESS(1410,22))+INDIRECT(ADDRESS(1408,23))-INDIRECT(ADDRESS(1409,23))</f>
        <v>0</v>
      </c>
      <c r="X1410">
        <f>INDIRECT(ADDRESS(1410,23))+INDIRECT(ADDRESS(1408,24))-INDIRECT(ADDRESS(1409,24))</f>
        <v>0</v>
      </c>
      <c r="Y1410">
        <f>INDIRECT(ADDRESS(1410,24))+INDIRECT(ADDRESS(1408,25))-INDIRECT(ADDRESS(1409,25))</f>
        <v>0</v>
      </c>
      <c r="Z1410">
        <f>INDIRECT(ADDRESS(1410,25))+INDIRECT(ADDRESS(1408,26))-INDIRECT(ADDRESS(1409,26))</f>
        <v>0</v>
      </c>
      <c r="AA1410">
        <f>INDIRECT(ADDRESS(1410,26))+INDIRECT(ADDRESS(1408,27))-INDIRECT(ADDRESS(1409,27))</f>
        <v>0</v>
      </c>
      <c r="AB1410">
        <f>INDIRECT(ADDRESS(1410,27))+INDIRECT(ADDRESS(1408,28))-INDIRECT(ADDRESS(1409,28))</f>
        <v>0</v>
      </c>
      <c r="AC1410">
        <f>INDIRECT(ADDRESS(1410,28))+INDIRECT(ADDRESS(1408,29))-INDIRECT(ADDRESS(1409,29))</f>
        <v>0</v>
      </c>
      <c r="AD1410">
        <f>INDIRECT(ADDRESS(1410,29))+INDIRECT(ADDRESS(1408,30))-INDIRECT(ADDRESS(1409,30))</f>
        <v>0</v>
      </c>
      <c r="AE1410">
        <f>INDIRECT(ADDRESS(1410,30))+INDIRECT(ADDRESS(1408,31))-INDIRECT(ADDRESS(1409,31))</f>
        <v>0</v>
      </c>
      <c r="AF1410">
        <f>INDIRECT(ADDRESS(1410,31))+INDIRECT(ADDRESS(1408,32))-INDIRECT(ADDRESS(1409,32))</f>
        <v>0</v>
      </c>
      <c r="AG1410">
        <f>INDIRECT(ADDRESS(1410,32))+INDIRECT(ADDRESS(1408,33))-INDIRECT(ADDRESS(1409,33))</f>
        <v>0</v>
      </c>
      <c r="AH1410">
        <f>INDIRECT(ADDRESS(1410,33))+INDIRECT(ADDRESS(1408,34))-INDIRECT(ADDRESS(1409,34))</f>
        <v>0</v>
      </c>
      <c r="AI1410">
        <f>INDIRECT(ADDRESS(1410,34))+INDIRECT(ADDRESS(1408,35))-INDIRECT(ADDRESS(1409,35))</f>
        <v>0</v>
      </c>
      <c r="AJ1410">
        <f>INDIRECT(ADDRESS(1410,35))+INDIRECT(ADDRESS(1408,36))-INDIRECT(ADDRESS(1409,36))</f>
        <v>0</v>
      </c>
      <c r="AK1410">
        <f>INDIRECT(ADDRESS(1410,36))+INDIRECT(ADDRESS(1408,37))-INDIRECT(ADDRESS(1409,37))</f>
        <v>0</v>
      </c>
      <c r="AL1410">
        <f>INDIRECT(ADDRESS(1410,37))+INDIRECT(ADDRESS(1408,38))-INDIRECT(ADDRESS(1409,38))</f>
        <v>0</v>
      </c>
      <c r="AM1410">
        <f>INDIRECT(ADDRESS(1410,38))+INDIRECT(ADDRESS(1408,39))-INDIRECT(ADDRESS(1409,39))</f>
        <v>0</v>
      </c>
      <c r="AN1410">
        <f>INDIRECT(ADDRESS(1410,39))+INDIRECT(ADDRESS(1408,40))-INDIRECT(ADDRESS(1409,40))</f>
        <v>0</v>
      </c>
      <c r="AO1410">
        <f>SUM(INDIRECT(ADDRESS(1409,8)):INDIRECT(ADDRESS(1409,39)))</f>
        <v>0</v>
      </c>
    </row>
    <row r="1411" spans="1:41">
      <c r="A1411" t="s">
        <v>180</v>
      </c>
      <c r="B1411" t="s">
        <v>692</v>
      </c>
      <c r="C1411" t="s">
        <v>693</v>
      </c>
      <c r="E1411">
        <v>1</v>
      </c>
      <c r="I1411" t="s">
        <v>177</v>
      </c>
    </row>
    <row r="1412" spans="1:41">
      <c r="I1412" t="s">
        <v>178</v>
      </c>
      <c r="J1412">
        <f>IFERROR(VLOOKUP("906-161000-110",B:AB,1+8,0),0)</f>
        <v>0</v>
      </c>
      <c r="K1412">
        <f>IFERROR(VLOOKUP("906-161000-110",B:AB,2+8,0),0)</f>
        <v>0</v>
      </c>
      <c r="L1412">
        <f>IFERROR(VLOOKUP("906-161000-110",B:AB,3+8,0),0)</f>
        <v>0</v>
      </c>
      <c r="M1412">
        <f>IFERROR(VLOOKUP("906-161000-110",B:AB,4+8,0),0)</f>
        <v>0</v>
      </c>
      <c r="N1412">
        <f>IFERROR(VLOOKUP("906-161000-110",B:AB,5+8,0),0)</f>
        <v>0</v>
      </c>
      <c r="O1412">
        <f>IFERROR(VLOOKUP("906-161000-110",B:AB,6+8,0),0)</f>
        <v>0</v>
      </c>
      <c r="P1412">
        <f>IFERROR(VLOOKUP("906-161000-110",B:AB,7+8,0),0)</f>
        <v>0</v>
      </c>
      <c r="Q1412">
        <f>IFERROR(VLOOKUP("906-161000-110",B:AB,8+8,0),0)</f>
        <v>0</v>
      </c>
      <c r="R1412">
        <f>IFERROR(VLOOKUP("906-161000-110",B:AB,9+8,0),0)</f>
        <v>0</v>
      </c>
      <c r="S1412">
        <f>IFERROR(VLOOKUP("906-161000-110",B:AB,10+8,0),0)</f>
        <v>0</v>
      </c>
      <c r="T1412">
        <f>IFERROR(VLOOKUP("906-161000-110",B:AB,11+8,0),0)</f>
        <v>0</v>
      </c>
      <c r="U1412">
        <f>IFERROR(VLOOKUP("906-161000-110",B:AB,12+8,0),0)</f>
        <v>0</v>
      </c>
      <c r="V1412">
        <f>IFERROR(VLOOKUP("906-161000-110",B:AB,13+8,0),0)</f>
        <v>0</v>
      </c>
      <c r="W1412">
        <f>IFERROR(VLOOKUP("906-161000-110",B:AB,14+8,0),0)</f>
        <v>0</v>
      </c>
      <c r="X1412">
        <f>IFERROR(VLOOKUP("906-161000-110",B:AB,15+8,0),0)</f>
        <v>0</v>
      </c>
      <c r="Y1412">
        <f>IFERROR(VLOOKUP("906-161000-110",B:AB,16+8,0),0)</f>
        <v>0</v>
      </c>
      <c r="Z1412">
        <f>IFERROR(VLOOKUP("906-161000-110",B:AB,17+8,0),0)</f>
        <v>0</v>
      </c>
      <c r="AA1412">
        <f>IFERROR(VLOOKUP("906-161000-110",B:AB,18+8,0),0)</f>
        <v>0</v>
      </c>
      <c r="AB1412">
        <f>IFERROR(VLOOKUP("906-161000-110",B:AB,19+8,0),0)</f>
        <v>0</v>
      </c>
      <c r="AC1412">
        <f>IFERROR(VLOOKUP("906-161000-110",B:AB,20+8,0),0)</f>
        <v>0</v>
      </c>
      <c r="AD1412">
        <f>IFERROR(VLOOKUP("906-161000-110",B:AB,21+8,0),0)</f>
        <v>0</v>
      </c>
      <c r="AE1412">
        <f>IFERROR(VLOOKUP("906-161000-110",B:AB,22+8,0),0)</f>
        <v>0</v>
      </c>
      <c r="AF1412">
        <f>IFERROR(VLOOKUP("906-161000-110",B:AB,23+8,0),0)</f>
        <v>0</v>
      </c>
      <c r="AG1412">
        <f>IFERROR(VLOOKUP("906-161000-110",B:AB,24+8,0),0)</f>
        <v>0</v>
      </c>
      <c r="AH1412">
        <f>IFERROR(VLOOKUP("906-161000-110",B:AB,25+8,0),0)</f>
        <v>0</v>
      </c>
      <c r="AI1412">
        <f>IFERROR(VLOOKUP("906-161000-110",B:AB,26+8,0),0)</f>
        <v>0</v>
      </c>
      <c r="AJ1412">
        <f>IFERROR(VLOOKUP("906-161000-110",B:AB,27+8,0),0)</f>
        <v>0</v>
      </c>
      <c r="AK1412">
        <f>IFERROR(VLOOKUP("906-161000-110",B:AB,28+8,0),0)</f>
        <v>0</v>
      </c>
      <c r="AL1412">
        <f>IFERROR(VLOOKUP("906-161000-110",B:AB,29+8,0),0)</f>
        <v>0</v>
      </c>
      <c r="AM1412">
        <f>IFERROR(VLOOKUP("906-161000-110",B:AB,30+8,0),0)</f>
        <v>0</v>
      </c>
      <c r="AN1412">
        <f>IFERROR(VLOOKUP("906-161000-110",B:AB,31+8,0),0)</f>
        <v>0</v>
      </c>
      <c r="AO1412">
        <f>SUN(INDIRECT(ADDRESS(1411,8)):INDIRECT(ADDRESS(1411,39)))</f>
        <v>0</v>
      </c>
    </row>
    <row r="1413" spans="1:41">
      <c r="H1413" t="s">
        <v>179</v>
      </c>
      <c r="J1413">
        <f>INDIRECT(ADDRESS(1413,9))+INDIRECT(ADDRESS(1411,10))-INDIRECT(ADDRESS(1412,10))</f>
        <v>0</v>
      </c>
      <c r="K1413">
        <f>INDIRECT(ADDRESS(1413,10))+INDIRECT(ADDRESS(1411,11))-INDIRECT(ADDRESS(1412,11))</f>
        <v>0</v>
      </c>
      <c r="L1413">
        <f>INDIRECT(ADDRESS(1413,11))+INDIRECT(ADDRESS(1411,12))-INDIRECT(ADDRESS(1412,12))</f>
        <v>0</v>
      </c>
      <c r="M1413">
        <f>INDIRECT(ADDRESS(1413,12))+INDIRECT(ADDRESS(1411,13))-INDIRECT(ADDRESS(1412,13))</f>
        <v>0</v>
      </c>
      <c r="N1413">
        <f>INDIRECT(ADDRESS(1413,13))+INDIRECT(ADDRESS(1411,14))-INDIRECT(ADDRESS(1412,14))</f>
        <v>0</v>
      </c>
      <c r="O1413">
        <f>INDIRECT(ADDRESS(1413,14))+INDIRECT(ADDRESS(1411,15))-INDIRECT(ADDRESS(1412,15))</f>
        <v>0</v>
      </c>
      <c r="P1413">
        <f>INDIRECT(ADDRESS(1413,15))+INDIRECT(ADDRESS(1411,16))-INDIRECT(ADDRESS(1412,16))</f>
        <v>0</v>
      </c>
      <c r="Q1413">
        <f>INDIRECT(ADDRESS(1413,16))+INDIRECT(ADDRESS(1411,17))-INDIRECT(ADDRESS(1412,17))</f>
        <v>0</v>
      </c>
      <c r="R1413">
        <f>INDIRECT(ADDRESS(1413,17))+INDIRECT(ADDRESS(1411,18))-INDIRECT(ADDRESS(1412,18))</f>
        <v>0</v>
      </c>
      <c r="S1413">
        <f>INDIRECT(ADDRESS(1413,18))+INDIRECT(ADDRESS(1411,19))-INDIRECT(ADDRESS(1412,19))</f>
        <v>0</v>
      </c>
      <c r="T1413">
        <f>INDIRECT(ADDRESS(1413,19))+INDIRECT(ADDRESS(1411,20))-INDIRECT(ADDRESS(1412,20))</f>
        <v>0</v>
      </c>
      <c r="U1413">
        <f>INDIRECT(ADDRESS(1413,20))+INDIRECT(ADDRESS(1411,21))-INDIRECT(ADDRESS(1412,21))</f>
        <v>0</v>
      </c>
      <c r="V1413">
        <f>INDIRECT(ADDRESS(1413,21))+INDIRECT(ADDRESS(1411,22))-INDIRECT(ADDRESS(1412,22))</f>
        <v>0</v>
      </c>
      <c r="W1413">
        <f>INDIRECT(ADDRESS(1413,22))+INDIRECT(ADDRESS(1411,23))-INDIRECT(ADDRESS(1412,23))</f>
        <v>0</v>
      </c>
      <c r="X1413">
        <f>INDIRECT(ADDRESS(1413,23))+INDIRECT(ADDRESS(1411,24))-INDIRECT(ADDRESS(1412,24))</f>
        <v>0</v>
      </c>
      <c r="Y1413">
        <f>INDIRECT(ADDRESS(1413,24))+INDIRECT(ADDRESS(1411,25))-INDIRECT(ADDRESS(1412,25))</f>
        <v>0</v>
      </c>
      <c r="Z1413">
        <f>INDIRECT(ADDRESS(1413,25))+INDIRECT(ADDRESS(1411,26))-INDIRECT(ADDRESS(1412,26))</f>
        <v>0</v>
      </c>
      <c r="AA1413">
        <f>INDIRECT(ADDRESS(1413,26))+INDIRECT(ADDRESS(1411,27))-INDIRECT(ADDRESS(1412,27))</f>
        <v>0</v>
      </c>
      <c r="AB1413">
        <f>INDIRECT(ADDRESS(1413,27))+INDIRECT(ADDRESS(1411,28))-INDIRECT(ADDRESS(1412,28))</f>
        <v>0</v>
      </c>
      <c r="AC1413">
        <f>INDIRECT(ADDRESS(1413,28))+INDIRECT(ADDRESS(1411,29))-INDIRECT(ADDRESS(1412,29))</f>
        <v>0</v>
      </c>
      <c r="AD1413">
        <f>INDIRECT(ADDRESS(1413,29))+INDIRECT(ADDRESS(1411,30))-INDIRECT(ADDRESS(1412,30))</f>
        <v>0</v>
      </c>
      <c r="AE1413">
        <f>INDIRECT(ADDRESS(1413,30))+INDIRECT(ADDRESS(1411,31))-INDIRECT(ADDRESS(1412,31))</f>
        <v>0</v>
      </c>
      <c r="AF1413">
        <f>INDIRECT(ADDRESS(1413,31))+INDIRECT(ADDRESS(1411,32))-INDIRECT(ADDRESS(1412,32))</f>
        <v>0</v>
      </c>
      <c r="AG1413">
        <f>INDIRECT(ADDRESS(1413,32))+INDIRECT(ADDRESS(1411,33))-INDIRECT(ADDRESS(1412,33))</f>
        <v>0</v>
      </c>
      <c r="AH1413">
        <f>INDIRECT(ADDRESS(1413,33))+INDIRECT(ADDRESS(1411,34))-INDIRECT(ADDRESS(1412,34))</f>
        <v>0</v>
      </c>
      <c r="AI1413">
        <f>INDIRECT(ADDRESS(1413,34))+INDIRECT(ADDRESS(1411,35))-INDIRECT(ADDRESS(1412,35))</f>
        <v>0</v>
      </c>
      <c r="AJ1413">
        <f>INDIRECT(ADDRESS(1413,35))+INDIRECT(ADDRESS(1411,36))-INDIRECT(ADDRESS(1412,36))</f>
        <v>0</v>
      </c>
      <c r="AK1413">
        <f>INDIRECT(ADDRESS(1413,36))+INDIRECT(ADDRESS(1411,37))-INDIRECT(ADDRESS(1412,37))</f>
        <v>0</v>
      </c>
      <c r="AL1413">
        <f>INDIRECT(ADDRESS(1413,37))+INDIRECT(ADDRESS(1411,38))-INDIRECT(ADDRESS(1412,38))</f>
        <v>0</v>
      </c>
      <c r="AM1413">
        <f>INDIRECT(ADDRESS(1413,38))+INDIRECT(ADDRESS(1411,39))-INDIRECT(ADDRESS(1412,39))</f>
        <v>0</v>
      </c>
      <c r="AN1413">
        <f>INDIRECT(ADDRESS(1413,39))+INDIRECT(ADDRESS(1411,40))-INDIRECT(ADDRESS(1412,40))</f>
        <v>0</v>
      </c>
      <c r="AO1413">
        <f>SUM(INDIRECT(ADDRESS(1412,8)):INDIRECT(ADDRESS(1412,39)))</f>
        <v>0</v>
      </c>
    </row>
    <row r="1414" spans="1:41">
      <c r="A1414" t="s">
        <v>185</v>
      </c>
      <c r="B1414" t="s">
        <v>592</v>
      </c>
      <c r="C1414" t="s">
        <v>694</v>
      </c>
      <c r="E1414">
        <v>1</v>
      </c>
      <c r="I1414" t="s">
        <v>177</v>
      </c>
    </row>
    <row r="1415" spans="1:41">
      <c r="I1415" t="s">
        <v>178</v>
      </c>
      <c r="J1415">
        <f>IFERROR(VLOOKUP("906-161000-110",B:AB,1+8,0),0)</f>
        <v>0</v>
      </c>
      <c r="K1415">
        <f>IFERROR(VLOOKUP("906-161000-110",B:AB,2+8,0),0)</f>
        <v>0</v>
      </c>
      <c r="L1415">
        <f>IFERROR(VLOOKUP("906-161000-110",B:AB,3+8,0),0)</f>
        <v>0</v>
      </c>
      <c r="M1415">
        <f>IFERROR(VLOOKUP("906-161000-110",B:AB,4+8,0),0)</f>
        <v>0</v>
      </c>
      <c r="N1415">
        <f>IFERROR(VLOOKUP("906-161000-110",B:AB,5+8,0),0)</f>
        <v>0</v>
      </c>
      <c r="O1415">
        <f>IFERROR(VLOOKUP("906-161000-110",B:AB,6+8,0),0)</f>
        <v>0</v>
      </c>
      <c r="P1415">
        <f>IFERROR(VLOOKUP("906-161000-110",B:AB,7+8,0),0)</f>
        <v>0</v>
      </c>
      <c r="Q1415">
        <f>IFERROR(VLOOKUP("906-161000-110",B:AB,8+8,0),0)</f>
        <v>0</v>
      </c>
      <c r="R1415">
        <f>IFERROR(VLOOKUP("906-161000-110",B:AB,9+8,0),0)</f>
        <v>0</v>
      </c>
      <c r="S1415">
        <f>IFERROR(VLOOKUP("906-161000-110",B:AB,10+8,0),0)</f>
        <v>0</v>
      </c>
      <c r="T1415">
        <f>IFERROR(VLOOKUP("906-161000-110",B:AB,11+8,0),0)</f>
        <v>0</v>
      </c>
      <c r="U1415">
        <f>IFERROR(VLOOKUP("906-161000-110",B:AB,12+8,0),0)</f>
        <v>0</v>
      </c>
      <c r="V1415">
        <f>IFERROR(VLOOKUP("906-161000-110",B:AB,13+8,0),0)</f>
        <v>0</v>
      </c>
      <c r="W1415">
        <f>IFERROR(VLOOKUP("906-161000-110",B:AB,14+8,0),0)</f>
        <v>0</v>
      </c>
      <c r="X1415">
        <f>IFERROR(VLOOKUP("906-161000-110",B:AB,15+8,0),0)</f>
        <v>0</v>
      </c>
      <c r="Y1415">
        <f>IFERROR(VLOOKUP("906-161000-110",B:AB,16+8,0),0)</f>
        <v>0</v>
      </c>
      <c r="Z1415">
        <f>IFERROR(VLOOKUP("906-161000-110",B:AB,17+8,0),0)</f>
        <v>0</v>
      </c>
      <c r="AA1415">
        <f>IFERROR(VLOOKUP("906-161000-110",B:AB,18+8,0),0)</f>
        <v>0</v>
      </c>
      <c r="AB1415">
        <f>IFERROR(VLOOKUP("906-161000-110",B:AB,19+8,0),0)</f>
        <v>0</v>
      </c>
      <c r="AC1415">
        <f>IFERROR(VLOOKUP("906-161000-110",B:AB,20+8,0),0)</f>
        <v>0</v>
      </c>
      <c r="AD1415">
        <f>IFERROR(VLOOKUP("906-161000-110",B:AB,21+8,0),0)</f>
        <v>0</v>
      </c>
      <c r="AE1415">
        <f>IFERROR(VLOOKUP("906-161000-110",B:AB,22+8,0),0)</f>
        <v>0</v>
      </c>
      <c r="AF1415">
        <f>IFERROR(VLOOKUP("906-161000-110",B:AB,23+8,0),0)</f>
        <v>0</v>
      </c>
      <c r="AG1415">
        <f>IFERROR(VLOOKUP("906-161000-110",B:AB,24+8,0),0)</f>
        <v>0</v>
      </c>
      <c r="AH1415">
        <f>IFERROR(VLOOKUP("906-161000-110",B:AB,25+8,0),0)</f>
        <v>0</v>
      </c>
      <c r="AI1415">
        <f>IFERROR(VLOOKUP("906-161000-110",B:AB,26+8,0),0)</f>
        <v>0</v>
      </c>
      <c r="AJ1415">
        <f>IFERROR(VLOOKUP("906-161000-110",B:AB,27+8,0),0)</f>
        <v>0</v>
      </c>
      <c r="AK1415">
        <f>IFERROR(VLOOKUP("906-161000-110",B:AB,28+8,0),0)</f>
        <v>0</v>
      </c>
      <c r="AL1415">
        <f>IFERROR(VLOOKUP("906-161000-110",B:AB,29+8,0),0)</f>
        <v>0</v>
      </c>
      <c r="AM1415">
        <f>IFERROR(VLOOKUP("906-161000-110",B:AB,30+8,0),0)</f>
        <v>0</v>
      </c>
      <c r="AN1415">
        <f>IFERROR(VLOOKUP("906-161000-110",B:AB,31+8,0),0)</f>
        <v>0</v>
      </c>
      <c r="AO1415">
        <f>SUN(INDIRECT(ADDRESS(1414,8)):INDIRECT(ADDRESS(1414,39)))</f>
        <v>0</v>
      </c>
    </row>
    <row r="1416" spans="1:41">
      <c r="H1416" t="s">
        <v>179</v>
      </c>
      <c r="J1416">
        <f>INDIRECT(ADDRESS(1416,9))+INDIRECT(ADDRESS(1414,10))-INDIRECT(ADDRESS(1415,10))</f>
        <v>0</v>
      </c>
      <c r="K1416">
        <f>INDIRECT(ADDRESS(1416,10))+INDIRECT(ADDRESS(1414,11))-INDIRECT(ADDRESS(1415,11))</f>
        <v>0</v>
      </c>
      <c r="L1416">
        <f>INDIRECT(ADDRESS(1416,11))+INDIRECT(ADDRESS(1414,12))-INDIRECT(ADDRESS(1415,12))</f>
        <v>0</v>
      </c>
      <c r="M1416">
        <f>INDIRECT(ADDRESS(1416,12))+INDIRECT(ADDRESS(1414,13))-INDIRECT(ADDRESS(1415,13))</f>
        <v>0</v>
      </c>
      <c r="N1416">
        <f>INDIRECT(ADDRESS(1416,13))+INDIRECT(ADDRESS(1414,14))-INDIRECT(ADDRESS(1415,14))</f>
        <v>0</v>
      </c>
      <c r="O1416">
        <f>INDIRECT(ADDRESS(1416,14))+INDIRECT(ADDRESS(1414,15))-INDIRECT(ADDRESS(1415,15))</f>
        <v>0</v>
      </c>
      <c r="P1416">
        <f>INDIRECT(ADDRESS(1416,15))+INDIRECT(ADDRESS(1414,16))-INDIRECT(ADDRESS(1415,16))</f>
        <v>0</v>
      </c>
      <c r="Q1416">
        <f>INDIRECT(ADDRESS(1416,16))+INDIRECT(ADDRESS(1414,17))-INDIRECT(ADDRESS(1415,17))</f>
        <v>0</v>
      </c>
      <c r="R1416">
        <f>INDIRECT(ADDRESS(1416,17))+INDIRECT(ADDRESS(1414,18))-INDIRECT(ADDRESS(1415,18))</f>
        <v>0</v>
      </c>
      <c r="S1416">
        <f>INDIRECT(ADDRESS(1416,18))+INDIRECT(ADDRESS(1414,19))-INDIRECT(ADDRESS(1415,19))</f>
        <v>0</v>
      </c>
      <c r="T1416">
        <f>INDIRECT(ADDRESS(1416,19))+INDIRECT(ADDRESS(1414,20))-INDIRECT(ADDRESS(1415,20))</f>
        <v>0</v>
      </c>
      <c r="U1416">
        <f>INDIRECT(ADDRESS(1416,20))+INDIRECT(ADDRESS(1414,21))-INDIRECT(ADDRESS(1415,21))</f>
        <v>0</v>
      </c>
      <c r="V1416">
        <f>INDIRECT(ADDRESS(1416,21))+INDIRECT(ADDRESS(1414,22))-INDIRECT(ADDRESS(1415,22))</f>
        <v>0</v>
      </c>
      <c r="W1416">
        <f>INDIRECT(ADDRESS(1416,22))+INDIRECT(ADDRESS(1414,23))-INDIRECT(ADDRESS(1415,23))</f>
        <v>0</v>
      </c>
      <c r="X1416">
        <f>INDIRECT(ADDRESS(1416,23))+INDIRECT(ADDRESS(1414,24))-INDIRECT(ADDRESS(1415,24))</f>
        <v>0</v>
      </c>
      <c r="Y1416">
        <f>INDIRECT(ADDRESS(1416,24))+INDIRECT(ADDRESS(1414,25))-INDIRECT(ADDRESS(1415,25))</f>
        <v>0</v>
      </c>
      <c r="Z1416">
        <f>INDIRECT(ADDRESS(1416,25))+INDIRECT(ADDRESS(1414,26))-INDIRECT(ADDRESS(1415,26))</f>
        <v>0</v>
      </c>
      <c r="AA1416">
        <f>INDIRECT(ADDRESS(1416,26))+INDIRECT(ADDRESS(1414,27))-INDIRECT(ADDRESS(1415,27))</f>
        <v>0</v>
      </c>
      <c r="AB1416">
        <f>INDIRECT(ADDRESS(1416,27))+INDIRECT(ADDRESS(1414,28))-INDIRECT(ADDRESS(1415,28))</f>
        <v>0</v>
      </c>
      <c r="AC1416">
        <f>INDIRECT(ADDRESS(1416,28))+INDIRECT(ADDRESS(1414,29))-INDIRECT(ADDRESS(1415,29))</f>
        <v>0</v>
      </c>
      <c r="AD1416">
        <f>INDIRECT(ADDRESS(1416,29))+INDIRECT(ADDRESS(1414,30))-INDIRECT(ADDRESS(1415,30))</f>
        <v>0</v>
      </c>
      <c r="AE1416">
        <f>INDIRECT(ADDRESS(1416,30))+INDIRECT(ADDRESS(1414,31))-INDIRECT(ADDRESS(1415,31))</f>
        <v>0</v>
      </c>
      <c r="AF1416">
        <f>INDIRECT(ADDRESS(1416,31))+INDIRECT(ADDRESS(1414,32))-INDIRECT(ADDRESS(1415,32))</f>
        <v>0</v>
      </c>
      <c r="AG1416">
        <f>INDIRECT(ADDRESS(1416,32))+INDIRECT(ADDRESS(1414,33))-INDIRECT(ADDRESS(1415,33))</f>
        <v>0</v>
      </c>
      <c r="AH1416">
        <f>INDIRECT(ADDRESS(1416,33))+INDIRECT(ADDRESS(1414,34))-INDIRECT(ADDRESS(1415,34))</f>
        <v>0</v>
      </c>
      <c r="AI1416">
        <f>INDIRECT(ADDRESS(1416,34))+INDIRECT(ADDRESS(1414,35))-INDIRECT(ADDRESS(1415,35))</f>
        <v>0</v>
      </c>
      <c r="AJ1416">
        <f>INDIRECT(ADDRESS(1416,35))+INDIRECT(ADDRESS(1414,36))-INDIRECT(ADDRESS(1415,36))</f>
        <v>0</v>
      </c>
      <c r="AK1416">
        <f>INDIRECT(ADDRESS(1416,36))+INDIRECT(ADDRESS(1414,37))-INDIRECT(ADDRESS(1415,37))</f>
        <v>0</v>
      </c>
      <c r="AL1416">
        <f>INDIRECT(ADDRESS(1416,37))+INDIRECT(ADDRESS(1414,38))-INDIRECT(ADDRESS(1415,38))</f>
        <v>0</v>
      </c>
      <c r="AM1416">
        <f>INDIRECT(ADDRESS(1416,38))+INDIRECT(ADDRESS(1414,39))-INDIRECT(ADDRESS(1415,39))</f>
        <v>0</v>
      </c>
      <c r="AN1416">
        <f>INDIRECT(ADDRESS(1416,39))+INDIRECT(ADDRESS(1414,40))-INDIRECT(ADDRESS(1415,40))</f>
        <v>0</v>
      </c>
      <c r="AO1416">
        <f>SUM(INDIRECT(ADDRESS(1415,8)):INDIRECT(ADDRESS(1415,39)))</f>
        <v>0</v>
      </c>
    </row>
    <row r="1417" spans="1:41">
      <c r="A1417" t="s">
        <v>185</v>
      </c>
      <c r="B1417" t="s">
        <v>695</v>
      </c>
      <c r="C1417" t="s">
        <v>696</v>
      </c>
      <c r="E1417">
        <v>1</v>
      </c>
      <c r="I1417" t="s">
        <v>177</v>
      </c>
    </row>
    <row r="1418" spans="1:41">
      <c r="I1418" t="s">
        <v>178</v>
      </c>
      <c r="J1418">
        <f>IFERROR(VLOOKUP("906-161000-110",B:AB,1+8,0),0)</f>
        <v>0</v>
      </c>
      <c r="K1418">
        <f>IFERROR(VLOOKUP("906-161000-110",B:AB,2+8,0),0)</f>
        <v>0</v>
      </c>
      <c r="L1418">
        <f>IFERROR(VLOOKUP("906-161000-110",B:AB,3+8,0),0)</f>
        <v>0</v>
      </c>
      <c r="M1418">
        <f>IFERROR(VLOOKUP("906-161000-110",B:AB,4+8,0),0)</f>
        <v>0</v>
      </c>
      <c r="N1418">
        <f>IFERROR(VLOOKUP("906-161000-110",B:AB,5+8,0),0)</f>
        <v>0</v>
      </c>
      <c r="O1418">
        <f>IFERROR(VLOOKUP("906-161000-110",B:AB,6+8,0),0)</f>
        <v>0</v>
      </c>
      <c r="P1418">
        <f>IFERROR(VLOOKUP("906-161000-110",B:AB,7+8,0),0)</f>
        <v>0</v>
      </c>
      <c r="Q1418">
        <f>IFERROR(VLOOKUP("906-161000-110",B:AB,8+8,0),0)</f>
        <v>0</v>
      </c>
      <c r="R1418">
        <f>IFERROR(VLOOKUP("906-161000-110",B:AB,9+8,0),0)</f>
        <v>0</v>
      </c>
      <c r="S1418">
        <f>IFERROR(VLOOKUP("906-161000-110",B:AB,10+8,0),0)</f>
        <v>0</v>
      </c>
      <c r="T1418">
        <f>IFERROR(VLOOKUP("906-161000-110",B:AB,11+8,0),0)</f>
        <v>0</v>
      </c>
      <c r="U1418">
        <f>IFERROR(VLOOKUP("906-161000-110",B:AB,12+8,0),0)</f>
        <v>0</v>
      </c>
      <c r="V1418">
        <f>IFERROR(VLOOKUP("906-161000-110",B:AB,13+8,0),0)</f>
        <v>0</v>
      </c>
      <c r="W1418">
        <f>IFERROR(VLOOKUP("906-161000-110",B:AB,14+8,0),0)</f>
        <v>0</v>
      </c>
      <c r="X1418">
        <f>IFERROR(VLOOKUP("906-161000-110",B:AB,15+8,0),0)</f>
        <v>0</v>
      </c>
      <c r="Y1418">
        <f>IFERROR(VLOOKUP("906-161000-110",B:AB,16+8,0),0)</f>
        <v>0</v>
      </c>
      <c r="Z1418">
        <f>IFERROR(VLOOKUP("906-161000-110",B:AB,17+8,0),0)</f>
        <v>0</v>
      </c>
      <c r="AA1418">
        <f>IFERROR(VLOOKUP("906-161000-110",B:AB,18+8,0),0)</f>
        <v>0</v>
      </c>
      <c r="AB1418">
        <f>IFERROR(VLOOKUP("906-161000-110",B:AB,19+8,0),0)</f>
        <v>0</v>
      </c>
      <c r="AC1418">
        <f>IFERROR(VLOOKUP("906-161000-110",B:AB,20+8,0),0)</f>
        <v>0</v>
      </c>
      <c r="AD1418">
        <f>IFERROR(VLOOKUP("906-161000-110",B:AB,21+8,0),0)</f>
        <v>0</v>
      </c>
      <c r="AE1418">
        <f>IFERROR(VLOOKUP("906-161000-110",B:AB,22+8,0),0)</f>
        <v>0</v>
      </c>
      <c r="AF1418">
        <f>IFERROR(VLOOKUP("906-161000-110",B:AB,23+8,0),0)</f>
        <v>0</v>
      </c>
      <c r="AG1418">
        <f>IFERROR(VLOOKUP("906-161000-110",B:AB,24+8,0),0)</f>
        <v>0</v>
      </c>
      <c r="AH1418">
        <f>IFERROR(VLOOKUP("906-161000-110",B:AB,25+8,0),0)</f>
        <v>0</v>
      </c>
      <c r="AI1418">
        <f>IFERROR(VLOOKUP("906-161000-110",B:AB,26+8,0),0)</f>
        <v>0</v>
      </c>
      <c r="AJ1418">
        <f>IFERROR(VLOOKUP("906-161000-110",B:AB,27+8,0),0)</f>
        <v>0</v>
      </c>
      <c r="AK1418">
        <f>IFERROR(VLOOKUP("906-161000-110",B:AB,28+8,0),0)</f>
        <v>0</v>
      </c>
      <c r="AL1418">
        <f>IFERROR(VLOOKUP("906-161000-110",B:AB,29+8,0),0)</f>
        <v>0</v>
      </c>
      <c r="AM1418">
        <f>IFERROR(VLOOKUP("906-161000-110",B:AB,30+8,0),0)</f>
        <v>0</v>
      </c>
      <c r="AN1418">
        <f>IFERROR(VLOOKUP("906-161000-110",B:AB,31+8,0),0)</f>
        <v>0</v>
      </c>
      <c r="AO1418">
        <f>SUN(INDIRECT(ADDRESS(1417,8)):INDIRECT(ADDRESS(1417,39)))</f>
        <v>0</v>
      </c>
    </row>
    <row r="1419" spans="1:41">
      <c r="H1419" t="s">
        <v>179</v>
      </c>
      <c r="J1419">
        <f>INDIRECT(ADDRESS(1419,9))+INDIRECT(ADDRESS(1417,10))-INDIRECT(ADDRESS(1418,10))</f>
        <v>0</v>
      </c>
      <c r="K1419">
        <f>INDIRECT(ADDRESS(1419,10))+INDIRECT(ADDRESS(1417,11))-INDIRECT(ADDRESS(1418,11))</f>
        <v>0</v>
      </c>
      <c r="L1419">
        <f>INDIRECT(ADDRESS(1419,11))+INDIRECT(ADDRESS(1417,12))-INDIRECT(ADDRESS(1418,12))</f>
        <v>0</v>
      </c>
      <c r="M1419">
        <f>INDIRECT(ADDRESS(1419,12))+INDIRECT(ADDRESS(1417,13))-INDIRECT(ADDRESS(1418,13))</f>
        <v>0</v>
      </c>
      <c r="N1419">
        <f>INDIRECT(ADDRESS(1419,13))+INDIRECT(ADDRESS(1417,14))-INDIRECT(ADDRESS(1418,14))</f>
        <v>0</v>
      </c>
      <c r="O1419">
        <f>INDIRECT(ADDRESS(1419,14))+INDIRECT(ADDRESS(1417,15))-INDIRECT(ADDRESS(1418,15))</f>
        <v>0</v>
      </c>
      <c r="P1419">
        <f>INDIRECT(ADDRESS(1419,15))+INDIRECT(ADDRESS(1417,16))-INDIRECT(ADDRESS(1418,16))</f>
        <v>0</v>
      </c>
      <c r="Q1419">
        <f>INDIRECT(ADDRESS(1419,16))+INDIRECT(ADDRESS(1417,17))-INDIRECT(ADDRESS(1418,17))</f>
        <v>0</v>
      </c>
      <c r="R1419">
        <f>INDIRECT(ADDRESS(1419,17))+INDIRECT(ADDRESS(1417,18))-INDIRECT(ADDRESS(1418,18))</f>
        <v>0</v>
      </c>
      <c r="S1419">
        <f>INDIRECT(ADDRESS(1419,18))+INDIRECT(ADDRESS(1417,19))-INDIRECT(ADDRESS(1418,19))</f>
        <v>0</v>
      </c>
      <c r="T1419">
        <f>INDIRECT(ADDRESS(1419,19))+INDIRECT(ADDRESS(1417,20))-INDIRECT(ADDRESS(1418,20))</f>
        <v>0</v>
      </c>
      <c r="U1419">
        <f>INDIRECT(ADDRESS(1419,20))+INDIRECT(ADDRESS(1417,21))-INDIRECT(ADDRESS(1418,21))</f>
        <v>0</v>
      </c>
      <c r="V1419">
        <f>INDIRECT(ADDRESS(1419,21))+INDIRECT(ADDRESS(1417,22))-INDIRECT(ADDRESS(1418,22))</f>
        <v>0</v>
      </c>
      <c r="W1419">
        <f>INDIRECT(ADDRESS(1419,22))+INDIRECT(ADDRESS(1417,23))-INDIRECT(ADDRESS(1418,23))</f>
        <v>0</v>
      </c>
      <c r="X1419">
        <f>INDIRECT(ADDRESS(1419,23))+INDIRECT(ADDRESS(1417,24))-INDIRECT(ADDRESS(1418,24))</f>
        <v>0</v>
      </c>
      <c r="Y1419">
        <f>INDIRECT(ADDRESS(1419,24))+INDIRECT(ADDRESS(1417,25))-INDIRECT(ADDRESS(1418,25))</f>
        <v>0</v>
      </c>
      <c r="Z1419">
        <f>INDIRECT(ADDRESS(1419,25))+INDIRECT(ADDRESS(1417,26))-INDIRECT(ADDRESS(1418,26))</f>
        <v>0</v>
      </c>
      <c r="AA1419">
        <f>INDIRECT(ADDRESS(1419,26))+INDIRECT(ADDRESS(1417,27))-INDIRECT(ADDRESS(1418,27))</f>
        <v>0</v>
      </c>
      <c r="AB1419">
        <f>INDIRECT(ADDRESS(1419,27))+INDIRECT(ADDRESS(1417,28))-INDIRECT(ADDRESS(1418,28))</f>
        <v>0</v>
      </c>
      <c r="AC1419">
        <f>INDIRECT(ADDRESS(1419,28))+INDIRECT(ADDRESS(1417,29))-INDIRECT(ADDRESS(1418,29))</f>
        <v>0</v>
      </c>
      <c r="AD1419">
        <f>INDIRECT(ADDRESS(1419,29))+INDIRECT(ADDRESS(1417,30))-INDIRECT(ADDRESS(1418,30))</f>
        <v>0</v>
      </c>
      <c r="AE1419">
        <f>INDIRECT(ADDRESS(1419,30))+INDIRECT(ADDRESS(1417,31))-INDIRECT(ADDRESS(1418,31))</f>
        <v>0</v>
      </c>
      <c r="AF1419">
        <f>INDIRECT(ADDRESS(1419,31))+INDIRECT(ADDRESS(1417,32))-INDIRECT(ADDRESS(1418,32))</f>
        <v>0</v>
      </c>
      <c r="AG1419">
        <f>INDIRECT(ADDRESS(1419,32))+INDIRECT(ADDRESS(1417,33))-INDIRECT(ADDRESS(1418,33))</f>
        <v>0</v>
      </c>
      <c r="AH1419">
        <f>INDIRECT(ADDRESS(1419,33))+INDIRECT(ADDRESS(1417,34))-INDIRECT(ADDRESS(1418,34))</f>
        <v>0</v>
      </c>
      <c r="AI1419">
        <f>INDIRECT(ADDRESS(1419,34))+INDIRECT(ADDRESS(1417,35))-INDIRECT(ADDRESS(1418,35))</f>
        <v>0</v>
      </c>
      <c r="AJ1419">
        <f>INDIRECT(ADDRESS(1419,35))+INDIRECT(ADDRESS(1417,36))-INDIRECT(ADDRESS(1418,36))</f>
        <v>0</v>
      </c>
      <c r="AK1419">
        <f>INDIRECT(ADDRESS(1419,36))+INDIRECT(ADDRESS(1417,37))-INDIRECT(ADDRESS(1418,37))</f>
        <v>0</v>
      </c>
      <c r="AL1419">
        <f>INDIRECT(ADDRESS(1419,37))+INDIRECT(ADDRESS(1417,38))-INDIRECT(ADDRESS(1418,38))</f>
        <v>0</v>
      </c>
      <c r="AM1419">
        <f>INDIRECT(ADDRESS(1419,38))+INDIRECT(ADDRESS(1417,39))-INDIRECT(ADDRESS(1418,39))</f>
        <v>0</v>
      </c>
      <c r="AN1419">
        <f>INDIRECT(ADDRESS(1419,39))+INDIRECT(ADDRESS(1417,40))-INDIRECT(ADDRESS(1418,40))</f>
        <v>0</v>
      </c>
      <c r="AO1419">
        <f>SUM(INDIRECT(ADDRESS(1418,8)):INDIRECT(ADDRESS(1418,39)))</f>
        <v>0</v>
      </c>
    </row>
    <row r="1420" spans="1:41">
      <c r="A1420" t="s">
        <v>8</v>
      </c>
      <c r="B1420" t="s">
        <v>115</v>
      </c>
      <c r="C1420" t="s">
        <v>116</v>
      </c>
      <c r="E1420">
        <v>1</v>
      </c>
      <c r="I1420" t="s">
        <v>177</v>
      </c>
    </row>
    <row r="1421" spans="1:41">
      <c r="I1421" t="s">
        <v>178</v>
      </c>
      <c r="J1421">
        <f>IFERROR(VLOOKUP("906-222000-100",Out!B:AB,1+8,0),0)</f>
        <v>0</v>
      </c>
      <c r="K1421">
        <f>IFERROR(VLOOKUP("906-222000-100",Out!B:AB,2+8,0),0)</f>
        <v>0</v>
      </c>
      <c r="L1421">
        <f>IFERROR(VLOOKUP("906-222000-100",Out!B:AB,3+8,0),0)</f>
        <v>0</v>
      </c>
      <c r="M1421">
        <f>IFERROR(VLOOKUP("906-222000-100",Out!B:AB,4+8,0),0)</f>
        <v>0</v>
      </c>
      <c r="N1421">
        <f>IFERROR(VLOOKUP("906-222000-100",Out!B:AB,5+8,0),0)</f>
        <v>0</v>
      </c>
      <c r="O1421">
        <f>IFERROR(VLOOKUP("906-222000-100",Out!B:AB,6+8,0),0)</f>
        <v>0</v>
      </c>
      <c r="P1421">
        <f>IFERROR(VLOOKUP("906-222000-100",Out!B:AB,7+8,0),0)</f>
        <v>0</v>
      </c>
      <c r="Q1421">
        <f>IFERROR(VLOOKUP("906-222000-100",Out!B:AB,8+8,0),0)</f>
        <v>0</v>
      </c>
      <c r="R1421">
        <f>IFERROR(VLOOKUP("906-222000-100",Out!B:AB,9+8,0),0)</f>
        <v>0</v>
      </c>
      <c r="S1421">
        <f>IFERROR(VLOOKUP("906-222000-100",Out!B:AB,10+8,0),0)</f>
        <v>0</v>
      </c>
      <c r="T1421">
        <f>IFERROR(VLOOKUP("906-222000-100",Out!B:AB,11+8,0),0)</f>
        <v>0</v>
      </c>
      <c r="U1421">
        <f>IFERROR(VLOOKUP("906-222000-100",Out!B:AB,12+8,0),0)</f>
        <v>0</v>
      </c>
      <c r="V1421">
        <f>IFERROR(VLOOKUP("906-222000-100",Out!B:AB,13+8,0),0)</f>
        <v>0</v>
      </c>
      <c r="W1421">
        <f>IFERROR(VLOOKUP("906-222000-100",Out!B:AB,14+8,0),0)</f>
        <v>0</v>
      </c>
      <c r="X1421">
        <f>IFERROR(VLOOKUP("906-222000-100",Out!B:AB,15+8,0),0)</f>
        <v>0</v>
      </c>
      <c r="Y1421">
        <f>IFERROR(VLOOKUP("906-222000-100",Out!B:AB,16+8,0),0)</f>
        <v>0</v>
      </c>
      <c r="Z1421">
        <f>IFERROR(VLOOKUP("906-222000-100",Out!B:AB,17+8,0),0)</f>
        <v>0</v>
      </c>
      <c r="AA1421">
        <f>IFERROR(VLOOKUP("906-222000-100",Out!B:AB,18+8,0),0)</f>
        <v>0</v>
      </c>
      <c r="AB1421">
        <f>IFERROR(VLOOKUP("906-222000-100",Out!B:AB,19+8,0),0)</f>
        <v>0</v>
      </c>
      <c r="AC1421">
        <f>IFERROR(VLOOKUP("906-222000-100",Out!B:AB,20+8,0),0)</f>
        <v>0</v>
      </c>
      <c r="AD1421">
        <f>IFERROR(VLOOKUP("906-222000-100",Out!B:AB,21+8,0),0)</f>
        <v>0</v>
      </c>
      <c r="AE1421">
        <f>IFERROR(VLOOKUP("906-222000-100",Out!B:AB,22+8,0),0)</f>
        <v>0</v>
      </c>
      <c r="AF1421">
        <f>IFERROR(VLOOKUP("906-222000-100",Out!B:AB,23+8,0),0)</f>
        <v>0</v>
      </c>
      <c r="AG1421">
        <f>IFERROR(VLOOKUP("906-222000-100",Out!B:AB,24+8,0),0)</f>
        <v>0</v>
      </c>
      <c r="AH1421">
        <f>IFERROR(VLOOKUP("906-222000-100",Out!B:AB,25+8,0),0)</f>
        <v>0</v>
      </c>
      <c r="AI1421">
        <f>IFERROR(VLOOKUP("906-222000-100",Out!B:AB,26+8,0),0)</f>
        <v>0</v>
      </c>
      <c r="AJ1421">
        <f>IFERROR(VLOOKUP("906-222000-100",Out!B:AB,27+8,0),0)</f>
        <v>0</v>
      </c>
      <c r="AK1421">
        <f>IFERROR(VLOOKUP("906-222000-100",Out!B:AB,28+8,0),0)</f>
        <v>0</v>
      </c>
      <c r="AL1421">
        <f>IFERROR(VLOOKUP("906-222000-100",Out!B:AB,29+8,0),0)</f>
        <v>0</v>
      </c>
      <c r="AM1421">
        <f>IFERROR(VLOOKUP("906-222000-100",Out!B:AB,30+8,0),0)</f>
        <v>0</v>
      </c>
      <c r="AN1421">
        <f>IFERROR(VLOOKUP("906-222000-100",Out!B:AB,31+8,0),0)</f>
        <v>0</v>
      </c>
      <c r="AO1421">
        <f>SUN(INDIRECT(ADDRESS(1420,8)):INDIRECT(ADDRESS(1420,39)))</f>
        <v>0</v>
      </c>
    </row>
    <row r="1422" spans="1:41">
      <c r="H1422" t="s">
        <v>179</v>
      </c>
      <c r="J1422">
        <f>INDIRECT(ADDRESS(1422,9))+INDIRECT(ADDRESS(1420,10))-INDIRECT(ADDRESS(1421,10))</f>
        <v>0</v>
      </c>
      <c r="K1422">
        <f>INDIRECT(ADDRESS(1422,10))+INDIRECT(ADDRESS(1420,11))-INDIRECT(ADDRESS(1421,11))</f>
        <v>0</v>
      </c>
      <c r="L1422">
        <f>INDIRECT(ADDRESS(1422,11))+INDIRECT(ADDRESS(1420,12))-INDIRECT(ADDRESS(1421,12))</f>
        <v>0</v>
      </c>
      <c r="M1422">
        <f>INDIRECT(ADDRESS(1422,12))+INDIRECT(ADDRESS(1420,13))-INDIRECT(ADDRESS(1421,13))</f>
        <v>0</v>
      </c>
      <c r="N1422">
        <f>INDIRECT(ADDRESS(1422,13))+INDIRECT(ADDRESS(1420,14))-INDIRECT(ADDRESS(1421,14))</f>
        <v>0</v>
      </c>
      <c r="O1422">
        <f>INDIRECT(ADDRESS(1422,14))+INDIRECT(ADDRESS(1420,15))-INDIRECT(ADDRESS(1421,15))</f>
        <v>0</v>
      </c>
      <c r="P1422">
        <f>INDIRECT(ADDRESS(1422,15))+INDIRECT(ADDRESS(1420,16))-INDIRECT(ADDRESS(1421,16))</f>
        <v>0</v>
      </c>
      <c r="Q1422">
        <f>INDIRECT(ADDRESS(1422,16))+INDIRECT(ADDRESS(1420,17))-INDIRECT(ADDRESS(1421,17))</f>
        <v>0</v>
      </c>
      <c r="R1422">
        <f>INDIRECT(ADDRESS(1422,17))+INDIRECT(ADDRESS(1420,18))-INDIRECT(ADDRESS(1421,18))</f>
        <v>0</v>
      </c>
      <c r="S1422">
        <f>INDIRECT(ADDRESS(1422,18))+INDIRECT(ADDRESS(1420,19))-INDIRECT(ADDRESS(1421,19))</f>
        <v>0</v>
      </c>
      <c r="T1422">
        <f>INDIRECT(ADDRESS(1422,19))+INDIRECT(ADDRESS(1420,20))-INDIRECT(ADDRESS(1421,20))</f>
        <v>0</v>
      </c>
      <c r="U1422">
        <f>INDIRECT(ADDRESS(1422,20))+INDIRECT(ADDRESS(1420,21))-INDIRECT(ADDRESS(1421,21))</f>
        <v>0</v>
      </c>
      <c r="V1422">
        <f>INDIRECT(ADDRESS(1422,21))+INDIRECT(ADDRESS(1420,22))-INDIRECT(ADDRESS(1421,22))</f>
        <v>0</v>
      </c>
      <c r="W1422">
        <f>INDIRECT(ADDRESS(1422,22))+INDIRECT(ADDRESS(1420,23))-INDIRECT(ADDRESS(1421,23))</f>
        <v>0</v>
      </c>
      <c r="X1422">
        <f>INDIRECT(ADDRESS(1422,23))+INDIRECT(ADDRESS(1420,24))-INDIRECT(ADDRESS(1421,24))</f>
        <v>0</v>
      </c>
      <c r="Y1422">
        <f>INDIRECT(ADDRESS(1422,24))+INDIRECT(ADDRESS(1420,25))-INDIRECT(ADDRESS(1421,25))</f>
        <v>0</v>
      </c>
      <c r="Z1422">
        <f>INDIRECT(ADDRESS(1422,25))+INDIRECT(ADDRESS(1420,26))-INDIRECT(ADDRESS(1421,26))</f>
        <v>0</v>
      </c>
      <c r="AA1422">
        <f>INDIRECT(ADDRESS(1422,26))+INDIRECT(ADDRESS(1420,27))-INDIRECT(ADDRESS(1421,27))</f>
        <v>0</v>
      </c>
      <c r="AB1422">
        <f>INDIRECT(ADDRESS(1422,27))+INDIRECT(ADDRESS(1420,28))-INDIRECT(ADDRESS(1421,28))</f>
        <v>0</v>
      </c>
      <c r="AC1422">
        <f>INDIRECT(ADDRESS(1422,28))+INDIRECT(ADDRESS(1420,29))-INDIRECT(ADDRESS(1421,29))</f>
        <v>0</v>
      </c>
      <c r="AD1422">
        <f>INDIRECT(ADDRESS(1422,29))+INDIRECT(ADDRESS(1420,30))-INDIRECT(ADDRESS(1421,30))</f>
        <v>0</v>
      </c>
      <c r="AE1422">
        <f>INDIRECT(ADDRESS(1422,30))+INDIRECT(ADDRESS(1420,31))-INDIRECT(ADDRESS(1421,31))</f>
        <v>0</v>
      </c>
      <c r="AF1422">
        <f>INDIRECT(ADDRESS(1422,31))+INDIRECT(ADDRESS(1420,32))-INDIRECT(ADDRESS(1421,32))</f>
        <v>0</v>
      </c>
      <c r="AG1422">
        <f>INDIRECT(ADDRESS(1422,32))+INDIRECT(ADDRESS(1420,33))-INDIRECT(ADDRESS(1421,33))</f>
        <v>0</v>
      </c>
      <c r="AH1422">
        <f>INDIRECT(ADDRESS(1422,33))+INDIRECT(ADDRESS(1420,34))-INDIRECT(ADDRESS(1421,34))</f>
        <v>0</v>
      </c>
      <c r="AI1422">
        <f>INDIRECT(ADDRESS(1422,34))+INDIRECT(ADDRESS(1420,35))-INDIRECT(ADDRESS(1421,35))</f>
        <v>0</v>
      </c>
      <c r="AJ1422">
        <f>INDIRECT(ADDRESS(1422,35))+INDIRECT(ADDRESS(1420,36))-INDIRECT(ADDRESS(1421,36))</f>
        <v>0</v>
      </c>
      <c r="AK1422">
        <f>INDIRECT(ADDRESS(1422,36))+INDIRECT(ADDRESS(1420,37))-INDIRECT(ADDRESS(1421,37))</f>
        <v>0</v>
      </c>
      <c r="AL1422">
        <f>INDIRECT(ADDRESS(1422,37))+INDIRECT(ADDRESS(1420,38))-INDIRECT(ADDRESS(1421,38))</f>
        <v>0</v>
      </c>
      <c r="AM1422">
        <f>INDIRECT(ADDRESS(1422,38))+INDIRECT(ADDRESS(1420,39))-INDIRECT(ADDRESS(1421,39))</f>
        <v>0</v>
      </c>
      <c r="AN1422">
        <f>INDIRECT(ADDRESS(1422,39))+INDIRECT(ADDRESS(1420,40))-INDIRECT(ADDRESS(1421,40))</f>
        <v>0</v>
      </c>
      <c r="AO1422">
        <f>SUM(INDIRECT(ADDRESS(1421,8)):INDIRECT(ADDRESS(1421,39)))</f>
        <v>0</v>
      </c>
    </row>
    <row r="1423" spans="1:41">
      <c r="A1423" t="s">
        <v>180</v>
      </c>
      <c r="B1423" t="s">
        <v>697</v>
      </c>
      <c r="C1423" t="s">
        <v>698</v>
      </c>
      <c r="E1423">
        <v>1</v>
      </c>
      <c r="I1423" t="s">
        <v>177</v>
      </c>
    </row>
    <row r="1424" spans="1:41">
      <c r="I1424" t="s">
        <v>178</v>
      </c>
      <c r="J1424">
        <f>IFERROR(VLOOKUP("906-222000-100",B:AB,1+8,0),0)</f>
        <v>0</v>
      </c>
      <c r="K1424">
        <f>IFERROR(VLOOKUP("906-222000-100",B:AB,2+8,0),0)</f>
        <v>0</v>
      </c>
      <c r="L1424">
        <f>IFERROR(VLOOKUP("906-222000-100",B:AB,3+8,0),0)</f>
        <v>0</v>
      </c>
      <c r="M1424">
        <f>IFERROR(VLOOKUP("906-222000-100",B:AB,4+8,0),0)</f>
        <v>0</v>
      </c>
      <c r="N1424">
        <f>IFERROR(VLOOKUP("906-222000-100",B:AB,5+8,0),0)</f>
        <v>0</v>
      </c>
      <c r="O1424">
        <f>IFERROR(VLOOKUP("906-222000-100",B:AB,6+8,0),0)</f>
        <v>0</v>
      </c>
      <c r="P1424">
        <f>IFERROR(VLOOKUP("906-222000-100",B:AB,7+8,0),0)</f>
        <v>0</v>
      </c>
      <c r="Q1424">
        <f>IFERROR(VLOOKUP("906-222000-100",B:AB,8+8,0),0)</f>
        <v>0</v>
      </c>
      <c r="R1424">
        <f>IFERROR(VLOOKUP("906-222000-100",B:AB,9+8,0),0)</f>
        <v>0</v>
      </c>
      <c r="S1424">
        <f>IFERROR(VLOOKUP("906-222000-100",B:AB,10+8,0),0)</f>
        <v>0</v>
      </c>
      <c r="T1424">
        <f>IFERROR(VLOOKUP("906-222000-100",B:AB,11+8,0),0)</f>
        <v>0</v>
      </c>
      <c r="U1424">
        <f>IFERROR(VLOOKUP("906-222000-100",B:AB,12+8,0),0)</f>
        <v>0</v>
      </c>
      <c r="V1424">
        <f>IFERROR(VLOOKUP("906-222000-100",B:AB,13+8,0),0)</f>
        <v>0</v>
      </c>
      <c r="W1424">
        <f>IFERROR(VLOOKUP("906-222000-100",B:AB,14+8,0),0)</f>
        <v>0</v>
      </c>
      <c r="X1424">
        <f>IFERROR(VLOOKUP("906-222000-100",B:AB,15+8,0),0)</f>
        <v>0</v>
      </c>
      <c r="Y1424">
        <f>IFERROR(VLOOKUP("906-222000-100",B:AB,16+8,0),0)</f>
        <v>0</v>
      </c>
      <c r="Z1424">
        <f>IFERROR(VLOOKUP("906-222000-100",B:AB,17+8,0),0)</f>
        <v>0</v>
      </c>
      <c r="AA1424">
        <f>IFERROR(VLOOKUP("906-222000-100",B:AB,18+8,0),0)</f>
        <v>0</v>
      </c>
      <c r="AB1424">
        <f>IFERROR(VLOOKUP("906-222000-100",B:AB,19+8,0),0)</f>
        <v>0</v>
      </c>
      <c r="AC1424">
        <f>IFERROR(VLOOKUP("906-222000-100",B:AB,20+8,0),0)</f>
        <v>0</v>
      </c>
      <c r="AD1424">
        <f>IFERROR(VLOOKUP("906-222000-100",B:AB,21+8,0),0)</f>
        <v>0</v>
      </c>
      <c r="AE1424">
        <f>IFERROR(VLOOKUP("906-222000-100",B:AB,22+8,0),0)</f>
        <v>0</v>
      </c>
      <c r="AF1424">
        <f>IFERROR(VLOOKUP("906-222000-100",B:AB,23+8,0),0)</f>
        <v>0</v>
      </c>
      <c r="AG1424">
        <f>IFERROR(VLOOKUP("906-222000-100",B:AB,24+8,0),0)</f>
        <v>0</v>
      </c>
      <c r="AH1424">
        <f>IFERROR(VLOOKUP("906-222000-100",B:AB,25+8,0),0)</f>
        <v>0</v>
      </c>
      <c r="AI1424">
        <f>IFERROR(VLOOKUP("906-222000-100",B:AB,26+8,0),0)</f>
        <v>0</v>
      </c>
      <c r="AJ1424">
        <f>IFERROR(VLOOKUP("906-222000-100",B:AB,27+8,0),0)</f>
        <v>0</v>
      </c>
      <c r="AK1424">
        <f>IFERROR(VLOOKUP("906-222000-100",B:AB,28+8,0),0)</f>
        <v>0</v>
      </c>
      <c r="AL1424">
        <f>IFERROR(VLOOKUP("906-222000-100",B:AB,29+8,0),0)</f>
        <v>0</v>
      </c>
      <c r="AM1424">
        <f>IFERROR(VLOOKUP("906-222000-100",B:AB,30+8,0),0)</f>
        <v>0</v>
      </c>
      <c r="AN1424">
        <f>IFERROR(VLOOKUP("906-222000-100",B:AB,31+8,0),0)</f>
        <v>0</v>
      </c>
      <c r="AO1424">
        <f>SUN(INDIRECT(ADDRESS(1423,8)):INDIRECT(ADDRESS(1423,39)))</f>
        <v>0</v>
      </c>
    </row>
    <row r="1425" spans="1:41">
      <c r="H1425" t="s">
        <v>179</v>
      </c>
      <c r="J1425">
        <f>INDIRECT(ADDRESS(1425,9))+INDIRECT(ADDRESS(1423,10))-INDIRECT(ADDRESS(1424,10))</f>
        <v>0</v>
      </c>
      <c r="K1425">
        <f>INDIRECT(ADDRESS(1425,10))+INDIRECT(ADDRESS(1423,11))-INDIRECT(ADDRESS(1424,11))</f>
        <v>0</v>
      </c>
      <c r="L1425">
        <f>INDIRECT(ADDRESS(1425,11))+INDIRECT(ADDRESS(1423,12))-INDIRECT(ADDRESS(1424,12))</f>
        <v>0</v>
      </c>
      <c r="M1425">
        <f>INDIRECT(ADDRESS(1425,12))+INDIRECT(ADDRESS(1423,13))-INDIRECT(ADDRESS(1424,13))</f>
        <v>0</v>
      </c>
      <c r="N1425">
        <f>INDIRECT(ADDRESS(1425,13))+INDIRECT(ADDRESS(1423,14))-INDIRECT(ADDRESS(1424,14))</f>
        <v>0</v>
      </c>
      <c r="O1425">
        <f>INDIRECT(ADDRESS(1425,14))+INDIRECT(ADDRESS(1423,15))-INDIRECT(ADDRESS(1424,15))</f>
        <v>0</v>
      </c>
      <c r="P1425">
        <f>INDIRECT(ADDRESS(1425,15))+INDIRECT(ADDRESS(1423,16))-INDIRECT(ADDRESS(1424,16))</f>
        <v>0</v>
      </c>
      <c r="Q1425">
        <f>INDIRECT(ADDRESS(1425,16))+INDIRECT(ADDRESS(1423,17))-INDIRECT(ADDRESS(1424,17))</f>
        <v>0</v>
      </c>
      <c r="R1425">
        <f>INDIRECT(ADDRESS(1425,17))+INDIRECT(ADDRESS(1423,18))-INDIRECT(ADDRESS(1424,18))</f>
        <v>0</v>
      </c>
      <c r="S1425">
        <f>INDIRECT(ADDRESS(1425,18))+INDIRECT(ADDRESS(1423,19))-INDIRECT(ADDRESS(1424,19))</f>
        <v>0</v>
      </c>
      <c r="T1425">
        <f>INDIRECT(ADDRESS(1425,19))+INDIRECT(ADDRESS(1423,20))-INDIRECT(ADDRESS(1424,20))</f>
        <v>0</v>
      </c>
      <c r="U1425">
        <f>INDIRECT(ADDRESS(1425,20))+INDIRECT(ADDRESS(1423,21))-INDIRECT(ADDRESS(1424,21))</f>
        <v>0</v>
      </c>
      <c r="V1425">
        <f>INDIRECT(ADDRESS(1425,21))+INDIRECT(ADDRESS(1423,22))-INDIRECT(ADDRESS(1424,22))</f>
        <v>0</v>
      </c>
      <c r="W1425">
        <f>INDIRECT(ADDRESS(1425,22))+INDIRECT(ADDRESS(1423,23))-INDIRECT(ADDRESS(1424,23))</f>
        <v>0</v>
      </c>
      <c r="X1425">
        <f>INDIRECT(ADDRESS(1425,23))+INDIRECT(ADDRESS(1423,24))-INDIRECT(ADDRESS(1424,24))</f>
        <v>0</v>
      </c>
      <c r="Y1425">
        <f>INDIRECT(ADDRESS(1425,24))+INDIRECT(ADDRESS(1423,25))-INDIRECT(ADDRESS(1424,25))</f>
        <v>0</v>
      </c>
      <c r="Z1425">
        <f>INDIRECT(ADDRESS(1425,25))+INDIRECT(ADDRESS(1423,26))-INDIRECT(ADDRESS(1424,26))</f>
        <v>0</v>
      </c>
      <c r="AA1425">
        <f>INDIRECT(ADDRESS(1425,26))+INDIRECT(ADDRESS(1423,27))-INDIRECT(ADDRESS(1424,27))</f>
        <v>0</v>
      </c>
      <c r="AB1425">
        <f>INDIRECT(ADDRESS(1425,27))+INDIRECT(ADDRESS(1423,28))-INDIRECT(ADDRESS(1424,28))</f>
        <v>0</v>
      </c>
      <c r="AC1425">
        <f>INDIRECT(ADDRESS(1425,28))+INDIRECT(ADDRESS(1423,29))-INDIRECT(ADDRESS(1424,29))</f>
        <v>0</v>
      </c>
      <c r="AD1425">
        <f>INDIRECT(ADDRESS(1425,29))+INDIRECT(ADDRESS(1423,30))-INDIRECT(ADDRESS(1424,30))</f>
        <v>0</v>
      </c>
      <c r="AE1425">
        <f>INDIRECT(ADDRESS(1425,30))+INDIRECT(ADDRESS(1423,31))-INDIRECT(ADDRESS(1424,31))</f>
        <v>0</v>
      </c>
      <c r="AF1425">
        <f>INDIRECT(ADDRESS(1425,31))+INDIRECT(ADDRESS(1423,32))-INDIRECT(ADDRESS(1424,32))</f>
        <v>0</v>
      </c>
      <c r="AG1425">
        <f>INDIRECT(ADDRESS(1425,32))+INDIRECT(ADDRESS(1423,33))-INDIRECT(ADDRESS(1424,33))</f>
        <v>0</v>
      </c>
      <c r="AH1425">
        <f>INDIRECT(ADDRESS(1425,33))+INDIRECT(ADDRESS(1423,34))-INDIRECT(ADDRESS(1424,34))</f>
        <v>0</v>
      </c>
      <c r="AI1425">
        <f>INDIRECT(ADDRESS(1425,34))+INDIRECT(ADDRESS(1423,35))-INDIRECT(ADDRESS(1424,35))</f>
        <v>0</v>
      </c>
      <c r="AJ1425">
        <f>INDIRECT(ADDRESS(1425,35))+INDIRECT(ADDRESS(1423,36))-INDIRECT(ADDRESS(1424,36))</f>
        <v>0</v>
      </c>
      <c r="AK1425">
        <f>INDIRECT(ADDRESS(1425,36))+INDIRECT(ADDRESS(1423,37))-INDIRECT(ADDRESS(1424,37))</f>
        <v>0</v>
      </c>
      <c r="AL1425">
        <f>INDIRECT(ADDRESS(1425,37))+INDIRECT(ADDRESS(1423,38))-INDIRECT(ADDRESS(1424,38))</f>
        <v>0</v>
      </c>
      <c r="AM1425">
        <f>INDIRECT(ADDRESS(1425,38))+INDIRECT(ADDRESS(1423,39))-INDIRECT(ADDRESS(1424,39))</f>
        <v>0</v>
      </c>
      <c r="AN1425">
        <f>INDIRECT(ADDRESS(1425,39))+INDIRECT(ADDRESS(1423,40))-INDIRECT(ADDRESS(1424,40))</f>
        <v>0</v>
      </c>
      <c r="AO1425">
        <f>SUM(INDIRECT(ADDRESS(1424,8)):INDIRECT(ADDRESS(1424,39)))</f>
        <v>0</v>
      </c>
    </row>
    <row r="1426" spans="1:41">
      <c r="A1426" t="s">
        <v>185</v>
      </c>
      <c r="B1426" t="s">
        <v>699</v>
      </c>
      <c r="C1426" t="s">
        <v>700</v>
      </c>
      <c r="E1426">
        <v>0.03</v>
      </c>
      <c r="I1426" t="s">
        <v>177</v>
      </c>
    </row>
    <row r="1427" spans="1:41">
      <c r="I1427" t="s">
        <v>178</v>
      </c>
      <c r="J1427">
        <f>IFERROR(VLOOKUP("906-222000-100",B:AB,1+8,0),0)</f>
        <v>0</v>
      </c>
      <c r="K1427">
        <f>IFERROR(VLOOKUP("906-222000-100",B:AB,2+8,0),0)</f>
        <v>0</v>
      </c>
      <c r="L1427">
        <f>IFERROR(VLOOKUP("906-222000-100",B:AB,3+8,0),0)</f>
        <v>0</v>
      </c>
      <c r="M1427">
        <f>IFERROR(VLOOKUP("906-222000-100",B:AB,4+8,0),0)</f>
        <v>0</v>
      </c>
      <c r="N1427">
        <f>IFERROR(VLOOKUP("906-222000-100",B:AB,5+8,0),0)</f>
        <v>0</v>
      </c>
      <c r="O1427">
        <f>IFERROR(VLOOKUP("906-222000-100",B:AB,6+8,0),0)</f>
        <v>0</v>
      </c>
      <c r="P1427">
        <f>IFERROR(VLOOKUP("906-222000-100",B:AB,7+8,0),0)</f>
        <v>0</v>
      </c>
      <c r="Q1427">
        <f>IFERROR(VLOOKUP("906-222000-100",B:AB,8+8,0),0)</f>
        <v>0</v>
      </c>
      <c r="R1427">
        <f>IFERROR(VLOOKUP("906-222000-100",B:AB,9+8,0),0)</f>
        <v>0</v>
      </c>
      <c r="S1427">
        <f>IFERROR(VLOOKUP("906-222000-100",B:AB,10+8,0),0)</f>
        <v>0</v>
      </c>
      <c r="T1427">
        <f>IFERROR(VLOOKUP("906-222000-100",B:AB,11+8,0),0)</f>
        <v>0</v>
      </c>
      <c r="U1427">
        <f>IFERROR(VLOOKUP("906-222000-100",B:AB,12+8,0),0)</f>
        <v>0</v>
      </c>
      <c r="V1427">
        <f>IFERROR(VLOOKUP("906-222000-100",B:AB,13+8,0),0)</f>
        <v>0</v>
      </c>
      <c r="W1427">
        <f>IFERROR(VLOOKUP("906-222000-100",B:AB,14+8,0),0)</f>
        <v>0</v>
      </c>
      <c r="X1427">
        <f>IFERROR(VLOOKUP("906-222000-100",B:AB,15+8,0),0)</f>
        <v>0</v>
      </c>
      <c r="Y1427">
        <f>IFERROR(VLOOKUP("906-222000-100",B:AB,16+8,0),0)</f>
        <v>0</v>
      </c>
      <c r="Z1427">
        <f>IFERROR(VLOOKUP("906-222000-100",B:AB,17+8,0),0)</f>
        <v>0</v>
      </c>
      <c r="AA1427">
        <f>IFERROR(VLOOKUP("906-222000-100",B:AB,18+8,0),0)</f>
        <v>0</v>
      </c>
      <c r="AB1427">
        <f>IFERROR(VLOOKUP("906-222000-100",B:AB,19+8,0),0)</f>
        <v>0</v>
      </c>
      <c r="AC1427">
        <f>IFERROR(VLOOKUP("906-222000-100",B:AB,20+8,0),0)</f>
        <v>0</v>
      </c>
      <c r="AD1427">
        <f>IFERROR(VLOOKUP("906-222000-100",B:AB,21+8,0),0)</f>
        <v>0</v>
      </c>
      <c r="AE1427">
        <f>IFERROR(VLOOKUP("906-222000-100",B:AB,22+8,0),0)</f>
        <v>0</v>
      </c>
      <c r="AF1427">
        <f>IFERROR(VLOOKUP("906-222000-100",B:AB,23+8,0),0)</f>
        <v>0</v>
      </c>
      <c r="AG1427">
        <f>IFERROR(VLOOKUP("906-222000-100",B:AB,24+8,0),0)</f>
        <v>0</v>
      </c>
      <c r="AH1427">
        <f>IFERROR(VLOOKUP("906-222000-100",B:AB,25+8,0),0)</f>
        <v>0</v>
      </c>
      <c r="AI1427">
        <f>IFERROR(VLOOKUP("906-222000-100",B:AB,26+8,0),0)</f>
        <v>0</v>
      </c>
      <c r="AJ1427">
        <f>IFERROR(VLOOKUP("906-222000-100",B:AB,27+8,0),0)</f>
        <v>0</v>
      </c>
      <c r="AK1427">
        <f>IFERROR(VLOOKUP("906-222000-100",B:AB,28+8,0),0)</f>
        <v>0</v>
      </c>
      <c r="AL1427">
        <f>IFERROR(VLOOKUP("906-222000-100",B:AB,29+8,0),0)</f>
        <v>0</v>
      </c>
      <c r="AM1427">
        <f>IFERROR(VLOOKUP("906-222000-100",B:AB,30+8,0),0)</f>
        <v>0</v>
      </c>
      <c r="AN1427">
        <f>IFERROR(VLOOKUP("906-222000-100",B:AB,31+8,0),0)</f>
        <v>0</v>
      </c>
      <c r="AO1427">
        <f>SUN(INDIRECT(ADDRESS(1426,8)):INDIRECT(ADDRESS(1426,39)))</f>
        <v>0</v>
      </c>
    </row>
    <row r="1428" spans="1:41">
      <c r="H1428" t="s">
        <v>179</v>
      </c>
      <c r="J1428">
        <f>INDIRECT(ADDRESS(1428,9))+INDIRECT(ADDRESS(1426,10))-INDIRECT(ADDRESS(1427,10))</f>
        <v>0</v>
      </c>
      <c r="K1428">
        <f>INDIRECT(ADDRESS(1428,10))+INDIRECT(ADDRESS(1426,11))-INDIRECT(ADDRESS(1427,11))</f>
        <v>0</v>
      </c>
      <c r="L1428">
        <f>INDIRECT(ADDRESS(1428,11))+INDIRECT(ADDRESS(1426,12))-INDIRECT(ADDRESS(1427,12))</f>
        <v>0</v>
      </c>
      <c r="M1428">
        <f>INDIRECT(ADDRESS(1428,12))+INDIRECT(ADDRESS(1426,13))-INDIRECT(ADDRESS(1427,13))</f>
        <v>0</v>
      </c>
      <c r="N1428">
        <f>INDIRECT(ADDRESS(1428,13))+INDIRECT(ADDRESS(1426,14))-INDIRECT(ADDRESS(1427,14))</f>
        <v>0</v>
      </c>
      <c r="O1428">
        <f>INDIRECT(ADDRESS(1428,14))+INDIRECT(ADDRESS(1426,15))-INDIRECT(ADDRESS(1427,15))</f>
        <v>0</v>
      </c>
      <c r="P1428">
        <f>INDIRECT(ADDRESS(1428,15))+INDIRECT(ADDRESS(1426,16))-INDIRECT(ADDRESS(1427,16))</f>
        <v>0</v>
      </c>
      <c r="Q1428">
        <f>INDIRECT(ADDRESS(1428,16))+INDIRECT(ADDRESS(1426,17))-INDIRECT(ADDRESS(1427,17))</f>
        <v>0</v>
      </c>
      <c r="R1428">
        <f>INDIRECT(ADDRESS(1428,17))+INDIRECT(ADDRESS(1426,18))-INDIRECT(ADDRESS(1427,18))</f>
        <v>0</v>
      </c>
      <c r="S1428">
        <f>INDIRECT(ADDRESS(1428,18))+INDIRECT(ADDRESS(1426,19))-INDIRECT(ADDRESS(1427,19))</f>
        <v>0</v>
      </c>
      <c r="T1428">
        <f>INDIRECT(ADDRESS(1428,19))+INDIRECT(ADDRESS(1426,20))-INDIRECT(ADDRESS(1427,20))</f>
        <v>0</v>
      </c>
      <c r="U1428">
        <f>INDIRECT(ADDRESS(1428,20))+INDIRECT(ADDRESS(1426,21))-INDIRECT(ADDRESS(1427,21))</f>
        <v>0</v>
      </c>
      <c r="V1428">
        <f>INDIRECT(ADDRESS(1428,21))+INDIRECT(ADDRESS(1426,22))-INDIRECT(ADDRESS(1427,22))</f>
        <v>0</v>
      </c>
      <c r="W1428">
        <f>INDIRECT(ADDRESS(1428,22))+INDIRECT(ADDRESS(1426,23))-INDIRECT(ADDRESS(1427,23))</f>
        <v>0</v>
      </c>
      <c r="X1428">
        <f>INDIRECT(ADDRESS(1428,23))+INDIRECT(ADDRESS(1426,24))-INDIRECT(ADDRESS(1427,24))</f>
        <v>0</v>
      </c>
      <c r="Y1428">
        <f>INDIRECT(ADDRESS(1428,24))+INDIRECT(ADDRESS(1426,25))-INDIRECT(ADDRESS(1427,25))</f>
        <v>0</v>
      </c>
      <c r="Z1428">
        <f>INDIRECT(ADDRESS(1428,25))+INDIRECT(ADDRESS(1426,26))-INDIRECT(ADDRESS(1427,26))</f>
        <v>0</v>
      </c>
      <c r="AA1428">
        <f>INDIRECT(ADDRESS(1428,26))+INDIRECT(ADDRESS(1426,27))-INDIRECT(ADDRESS(1427,27))</f>
        <v>0</v>
      </c>
      <c r="AB1428">
        <f>INDIRECT(ADDRESS(1428,27))+INDIRECT(ADDRESS(1426,28))-INDIRECT(ADDRESS(1427,28))</f>
        <v>0</v>
      </c>
      <c r="AC1428">
        <f>INDIRECT(ADDRESS(1428,28))+INDIRECT(ADDRESS(1426,29))-INDIRECT(ADDRESS(1427,29))</f>
        <v>0</v>
      </c>
      <c r="AD1428">
        <f>INDIRECT(ADDRESS(1428,29))+INDIRECT(ADDRESS(1426,30))-INDIRECT(ADDRESS(1427,30))</f>
        <v>0</v>
      </c>
      <c r="AE1428">
        <f>INDIRECT(ADDRESS(1428,30))+INDIRECT(ADDRESS(1426,31))-INDIRECT(ADDRESS(1427,31))</f>
        <v>0</v>
      </c>
      <c r="AF1428">
        <f>INDIRECT(ADDRESS(1428,31))+INDIRECT(ADDRESS(1426,32))-INDIRECT(ADDRESS(1427,32))</f>
        <v>0</v>
      </c>
      <c r="AG1428">
        <f>INDIRECT(ADDRESS(1428,32))+INDIRECT(ADDRESS(1426,33))-INDIRECT(ADDRESS(1427,33))</f>
        <v>0</v>
      </c>
      <c r="AH1428">
        <f>INDIRECT(ADDRESS(1428,33))+INDIRECT(ADDRESS(1426,34))-INDIRECT(ADDRESS(1427,34))</f>
        <v>0</v>
      </c>
      <c r="AI1428">
        <f>INDIRECT(ADDRESS(1428,34))+INDIRECT(ADDRESS(1426,35))-INDIRECT(ADDRESS(1427,35))</f>
        <v>0</v>
      </c>
      <c r="AJ1428">
        <f>INDIRECT(ADDRESS(1428,35))+INDIRECT(ADDRESS(1426,36))-INDIRECT(ADDRESS(1427,36))</f>
        <v>0</v>
      </c>
      <c r="AK1428">
        <f>INDIRECT(ADDRESS(1428,36))+INDIRECT(ADDRESS(1426,37))-INDIRECT(ADDRESS(1427,37))</f>
        <v>0</v>
      </c>
      <c r="AL1428">
        <f>INDIRECT(ADDRESS(1428,37))+INDIRECT(ADDRESS(1426,38))-INDIRECT(ADDRESS(1427,38))</f>
        <v>0</v>
      </c>
      <c r="AM1428">
        <f>INDIRECT(ADDRESS(1428,38))+INDIRECT(ADDRESS(1426,39))-INDIRECT(ADDRESS(1427,39))</f>
        <v>0</v>
      </c>
      <c r="AN1428">
        <f>INDIRECT(ADDRESS(1428,39))+INDIRECT(ADDRESS(1426,40))-INDIRECT(ADDRESS(1427,40))</f>
        <v>0</v>
      </c>
      <c r="AO1428">
        <f>SUM(INDIRECT(ADDRESS(1427,8)):INDIRECT(ADDRESS(1427,39)))</f>
        <v>0</v>
      </c>
    </row>
    <row r="1429" spans="1:41">
      <c r="A1429" t="s">
        <v>185</v>
      </c>
      <c r="B1429" t="s">
        <v>701</v>
      </c>
      <c r="C1429" t="s">
        <v>702</v>
      </c>
      <c r="E1429">
        <v>1</v>
      </c>
      <c r="I1429" t="s">
        <v>177</v>
      </c>
    </row>
    <row r="1430" spans="1:41">
      <c r="I1430" t="s">
        <v>178</v>
      </c>
      <c r="J1430">
        <f>IFERROR(VLOOKUP("906-222000-100",B:AB,1+8,0),0)</f>
        <v>0</v>
      </c>
      <c r="K1430">
        <f>IFERROR(VLOOKUP("906-222000-100",B:AB,2+8,0),0)</f>
        <v>0</v>
      </c>
      <c r="L1430">
        <f>IFERROR(VLOOKUP("906-222000-100",B:AB,3+8,0),0)</f>
        <v>0</v>
      </c>
      <c r="M1430">
        <f>IFERROR(VLOOKUP("906-222000-100",B:AB,4+8,0),0)</f>
        <v>0</v>
      </c>
      <c r="N1430">
        <f>IFERROR(VLOOKUP("906-222000-100",B:AB,5+8,0),0)</f>
        <v>0</v>
      </c>
      <c r="O1430">
        <f>IFERROR(VLOOKUP("906-222000-100",B:AB,6+8,0),0)</f>
        <v>0</v>
      </c>
      <c r="P1430">
        <f>IFERROR(VLOOKUP("906-222000-100",B:AB,7+8,0),0)</f>
        <v>0</v>
      </c>
      <c r="Q1430">
        <f>IFERROR(VLOOKUP("906-222000-100",B:AB,8+8,0),0)</f>
        <v>0</v>
      </c>
      <c r="R1430">
        <f>IFERROR(VLOOKUP("906-222000-100",B:AB,9+8,0),0)</f>
        <v>0</v>
      </c>
      <c r="S1430">
        <f>IFERROR(VLOOKUP("906-222000-100",B:AB,10+8,0),0)</f>
        <v>0</v>
      </c>
      <c r="T1430">
        <f>IFERROR(VLOOKUP("906-222000-100",B:AB,11+8,0),0)</f>
        <v>0</v>
      </c>
      <c r="U1430">
        <f>IFERROR(VLOOKUP("906-222000-100",B:AB,12+8,0),0)</f>
        <v>0</v>
      </c>
      <c r="V1430">
        <f>IFERROR(VLOOKUP("906-222000-100",B:AB,13+8,0),0)</f>
        <v>0</v>
      </c>
      <c r="W1430">
        <f>IFERROR(VLOOKUP("906-222000-100",B:AB,14+8,0),0)</f>
        <v>0</v>
      </c>
      <c r="X1430">
        <f>IFERROR(VLOOKUP("906-222000-100",B:AB,15+8,0),0)</f>
        <v>0</v>
      </c>
      <c r="Y1430">
        <f>IFERROR(VLOOKUP("906-222000-100",B:AB,16+8,0),0)</f>
        <v>0</v>
      </c>
      <c r="Z1430">
        <f>IFERROR(VLOOKUP("906-222000-100",B:AB,17+8,0),0)</f>
        <v>0</v>
      </c>
      <c r="AA1430">
        <f>IFERROR(VLOOKUP("906-222000-100",B:AB,18+8,0),0)</f>
        <v>0</v>
      </c>
      <c r="AB1430">
        <f>IFERROR(VLOOKUP("906-222000-100",B:AB,19+8,0),0)</f>
        <v>0</v>
      </c>
      <c r="AC1430">
        <f>IFERROR(VLOOKUP("906-222000-100",B:AB,20+8,0),0)</f>
        <v>0</v>
      </c>
      <c r="AD1430">
        <f>IFERROR(VLOOKUP("906-222000-100",B:AB,21+8,0),0)</f>
        <v>0</v>
      </c>
      <c r="AE1430">
        <f>IFERROR(VLOOKUP("906-222000-100",B:AB,22+8,0),0)</f>
        <v>0</v>
      </c>
      <c r="AF1430">
        <f>IFERROR(VLOOKUP("906-222000-100",B:AB,23+8,0),0)</f>
        <v>0</v>
      </c>
      <c r="AG1430">
        <f>IFERROR(VLOOKUP("906-222000-100",B:AB,24+8,0),0)</f>
        <v>0</v>
      </c>
      <c r="AH1430">
        <f>IFERROR(VLOOKUP("906-222000-100",B:AB,25+8,0),0)</f>
        <v>0</v>
      </c>
      <c r="AI1430">
        <f>IFERROR(VLOOKUP("906-222000-100",B:AB,26+8,0),0)</f>
        <v>0</v>
      </c>
      <c r="AJ1430">
        <f>IFERROR(VLOOKUP("906-222000-100",B:AB,27+8,0),0)</f>
        <v>0</v>
      </c>
      <c r="AK1430">
        <f>IFERROR(VLOOKUP("906-222000-100",B:AB,28+8,0),0)</f>
        <v>0</v>
      </c>
      <c r="AL1430">
        <f>IFERROR(VLOOKUP("906-222000-100",B:AB,29+8,0),0)</f>
        <v>0</v>
      </c>
      <c r="AM1430">
        <f>IFERROR(VLOOKUP("906-222000-100",B:AB,30+8,0),0)</f>
        <v>0</v>
      </c>
      <c r="AN1430">
        <f>IFERROR(VLOOKUP("906-222000-100",B:AB,31+8,0),0)</f>
        <v>0</v>
      </c>
      <c r="AO1430">
        <f>SUN(INDIRECT(ADDRESS(1429,8)):INDIRECT(ADDRESS(1429,39)))</f>
        <v>0</v>
      </c>
    </row>
    <row r="1431" spans="1:41">
      <c r="H1431" t="s">
        <v>179</v>
      </c>
      <c r="J1431">
        <f>INDIRECT(ADDRESS(1431,9))+INDIRECT(ADDRESS(1429,10))-INDIRECT(ADDRESS(1430,10))</f>
        <v>0</v>
      </c>
      <c r="K1431">
        <f>INDIRECT(ADDRESS(1431,10))+INDIRECT(ADDRESS(1429,11))-INDIRECT(ADDRESS(1430,11))</f>
        <v>0</v>
      </c>
      <c r="L1431">
        <f>INDIRECT(ADDRESS(1431,11))+INDIRECT(ADDRESS(1429,12))-INDIRECT(ADDRESS(1430,12))</f>
        <v>0</v>
      </c>
      <c r="M1431">
        <f>INDIRECT(ADDRESS(1431,12))+INDIRECT(ADDRESS(1429,13))-INDIRECT(ADDRESS(1430,13))</f>
        <v>0</v>
      </c>
      <c r="N1431">
        <f>INDIRECT(ADDRESS(1431,13))+INDIRECT(ADDRESS(1429,14))-INDIRECT(ADDRESS(1430,14))</f>
        <v>0</v>
      </c>
      <c r="O1431">
        <f>INDIRECT(ADDRESS(1431,14))+INDIRECT(ADDRESS(1429,15))-INDIRECT(ADDRESS(1430,15))</f>
        <v>0</v>
      </c>
      <c r="P1431">
        <f>INDIRECT(ADDRESS(1431,15))+INDIRECT(ADDRESS(1429,16))-INDIRECT(ADDRESS(1430,16))</f>
        <v>0</v>
      </c>
      <c r="Q1431">
        <f>INDIRECT(ADDRESS(1431,16))+INDIRECT(ADDRESS(1429,17))-INDIRECT(ADDRESS(1430,17))</f>
        <v>0</v>
      </c>
      <c r="R1431">
        <f>INDIRECT(ADDRESS(1431,17))+INDIRECT(ADDRESS(1429,18))-INDIRECT(ADDRESS(1430,18))</f>
        <v>0</v>
      </c>
      <c r="S1431">
        <f>INDIRECT(ADDRESS(1431,18))+INDIRECT(ADDRESS(1429,19))-INDIRECT(ADDRESS(1430,19))</f>
        <v>0</v>
      </c>
      <c r="T1431">
        <f>INDIRECT(ADDRESS(1431,19))+INDIRECT(ADDRESS(1429,20))-INDIRECT(ADDRESS(1430,20))</f>
        <v>0</v>
      </c>
      <c r="U1431">
        <f>INDIRECT(ADDRESS(1431,20))+INDIRECT(ADDRESS(1429,21))-INDIRECT(ADDRESS(1430,21))</f>
        <v>0</v>
      </c>
      <c r="V1431">
        <f>INDIRECT(ADDRESS(1431,21))+INDIRECT(ADDRESS(1429,22))-INDIRECT(ADDRESS(1430,22))</f>
        <v>0</v>
      </c>
      <c r="W1431">
        <f>INDIRECT(ADDRESS(1431,22))+INDIRECT(ADDRESS(1429,23))-INDIRECT(ADDRESS(1430,23))</f>
        <v>0</v>
      </c>
      <c r="X1431">
        <f>INDIRECT(ADDRESS(1431,23))+INDIRECT(ADDRESS(1429,24))-INDIRECT(ADDRESS(1430,24))</f>
        <v>0</v>
      </c>
      <c r="Y1431">
        <f>INDIRECT(ADDRESS(1431,24))+INDIRECT(ADDRESS(1429,25))-INDIRECT(ADDRESS(1430,25))</f>
        <v>0</v>
      </c>
      <c r="Z1431">
        <f>INDIRECT(ADDRESS(1431,25))+INDIRECT(ADDRESS(1429,26))-INDIRECT(ADDRESS(1430,26))</f>
        <v>0</v>
      </c>
      <c r="AA1431">
        <f>INDIRECT(ADDRESS(1431,26))+INDIRECT(ADDRESS(1429,27))-INDIRECT(ADDRESS(1430,27))</f>
        <v>0</v>
      </c>
      <c r="AB1431">
        <f>INDIRECT(ADDRESS(1431,27))+INDIRECT(ADDRESS(1429,28))-INDIRECT(ADDRESS(1430,28))</f>
        <v>0</v>
      </c>
      <c r="AC1431">
        <f>INDIRECT(ADDRESS(1431,28))+INDIRECT(ADDRESS(1429,29))-INDIRECT(ADDRESS(1430,29))</f>
        <v>0</v>
      </c>
      <c r="AD1431">
        <f>INDIRECT(ADDRESS(1431,29))+INDIRECT(ADDRESS(1429,30))-INDIRECT(ADDRESS(1430,30))</f>
        <v>0</v>
      </c>
      <c r="AE1431">
        <f>INDIRECT(ADDRESS(1431,30))+INDIRECT(ADDRESS(1429,31))-INDIRECT(ADDRESS(1430,31))</f>
        <v>0</v>
      </c>
      <c r="AF1431">
        <f>INDIRECT(ADDRESS(1431,31))+INDIRECT(ADDRESS(1429,32))-INDIRECT(ADDRESS(1430,32))</f>
        <v>0</v>
      </c>
      <c r="AG1431">
        <f>INDIRECT(ADDRESS(1431,32))+INDIRECT(ADDRESS(1429,33))-INDIRECT(ADDRESS(1430,33))</f>
        <v>0</v>
      </c>
      <c r="AH1431">
        <f>INDIRECT(ADDRESS(1431,33))+INDIRECT(ADDRESS(1429,34))-INDIRECT(ADDRESS(1430,34))</f>
        <v>0</v>
      </c>
      <c r="AI1431">
        <f>INDIRECT(ADDRESS(1431,34))+INDIRECT(ADDRESS(1429,35))-INDIRECT(ADDRESS(1430,35))</f>
        <v>0</v>
      </c>
      <c r="AJ1431">
        <f>INDIRECT(ADDRESS(1431,35))+INDIRECT(ADDRESS(1429,36))-INDIRECT(ADDRESS(1430,36))</f>
        <v>0</v>
      </c>
      <c r="AK1431">
        <f>INDIRECT(ADDRESS(1431,36))+INDIRECT(ADDRESS(1429,37))-INDIRECT(ADDRESS(1430,37))</f>
        <v>0</v>
      </c>
      <c r="AL1431">
        <f>INDIRECT(ADDRESS(1431,37))+INDIRECT(ADDRESS(1429,38))-INDIRECT(ADDRESS(1430,38))</f>
        <v>0</v>
      </c>
      <c r="AM1431">
        <f>INDIRECT(ADDRESS(1431,38))+INDIRECT(ADDRESS(1429,39))-INDIRECT(ADDRESS(1430,39))</f>
        <v>0</v>
      </c>
      <c r="AN1431">
        <f>INDIRECT(ADDRESS(1431,39))+INDIRECT(ADDRESS(1429,40))-INDIRECT(ADDRESS(1430,40))</f>
        <v>0</v>
      </c>
      <c r="AO1431">
        <f>SUM(INDIRECT(ADDRESS(1430,8)):INDIRECT(ADDRESS(1430,39)))</f>
        <v>0</v>
      </c>
    </row>
    <row r="1432" spans="1:41">
      <c r="A1432" t="s">
        <v>185</v>
      </c>
      <c r="B1432" t="s">
        <v>703</v>
      </c>
      <c r="C1432" t="s">
        <v>704</v>
      </c>
      <c r="E1432">
        <v>1</v>
      </c>
      <c r="I1432" t="s">
        <v>177</v>
      </c>
    </row>
    <row r="1433" spans="1:41">
      <c r="I1433" t="s">
        <v>178</v>
      </c>
      <c r="J1433">
        <f>IFERROR(VLOOKUP("906-222000-100",B:AB,1+8,0),0)</f>
        <v>0</v>
      </c>
      <c r="K1433">
        <f>IFERROR(VLOOKUP("906-222000-100",B:AB,2+8,0),0)</f>
        <v>0</v>
      </c>
      <c r="L1433">
        <f>IFERROR(VLOOKUP("906-222000-100",B:AB,3+8,0),0)</f>
        <v>0</v>
      </c>
      <c r="M1433">
        <f>IFERROR(VLOOKUP("906-222000-100",B:AB,4+8,0),0)</f>
        <v>0</v>
      </c>
      <c r="N1433">
        <f>IFERROR(VLOOKUP("906-222000-100",B:AB,5+8,0),0)</f>
        <v>0</v>
      </c>
      <c r="O1433">
        <f>IFERROR(VLOOKUP("906-222000-100",B:AB,6+8,0),0)</f>
        <v>0</v>
      </c>
      <c r="P1433">
        <f>IFERROR(VLOOKUP("906-222000-100",B:AB,7+8,0),0)</f>
        <v>0</v>
      </c>
      <c r="Q1433">
        <f>IFERROR(VLOOKUP("906-222000-100",B:AB,8+8,0),0)</f>
        <v>0</v>
      </c>
      <c r="R1433">
        <f>IFERROR(VLOOKUP("906-222000-100",B:AB,9+8,0),0)</f>
        <v>0</v>
      </c>
      <c r="S1433">
        <f>IFERROR(VLOOKUP("906-222000-100",B:AB,10+8,0),0)</f>
        <v>0</v>
      </c>
      <c r="T1433">
        <f>IFERROR(VLOOKUP("906-222000-100",B:AB,11+8,0),0)</f>
        <v>0</v>
      </c>
      <c r="U1433">
        <f>IFERROR(VLOOKUP("906-222000-100",B:AB,12+8,0),0)</f>
        <v>0</v>
      </c>
      <c r="V1433">
        <f>IFERROR(VLOOKUP("906-222000-100",B:AB,13+8,0),0)</f>
        <v>0</v>
      </c>
      <c r="W1433">
        <f>IFERROR(VLOOKUP("906-222000-100",B:AB,14+8,0),0)</f>
        <v>0</v>
      </c>
      <c r="X1433">
        <f>IFERROR(VLOOKUP("906-222000-100",B:AB,15+8,0),0)</f>
        <v>0</v>
      </c>
      <c r="Y1433">
        <f>IFERROR(VLOOKUP("906-222000-100",B:AB,16+8,0),0)</f>
        <v>0</v>
      </c>
      <c r="Z1433">
        <f>IFERROR(VLOOKUP("906-222000-100",B:AB,17+8,0),0)</f>
        <v>0</v>
      </c>
      <c r="AA1433">
        <f>IFERROR(VLOOKUP("906-222000-100",B:AB,18+8,0),0)</f>
        <v>0</v>
      </c>
      <c r="AB1433">
        <f>IFERROR(VLOOKUP("906-222000-100",B:AB,19+8,0),0)</f>
        <v>0</v>
      </c>
      <c r="AC1433">
        <f>IFERROR(VLOOKUP("906-222000-100",B:AB,20+8,0),0)</f>
        <v>0</v>
      </c>
      <c r="AD1433">
        <f>IFERROR(VLOOKUP("906-222000-100",B:AB,21+8,0),0)</f>
        <v>0</v>
      </c>
      <c r="AE1433">
        <f>IFERROR(VLOOKUP("906-222000-100",B:AB,22+8,0),0)</f>
        <v>0</v>
      </c>
      <c r="AF1433">
        <f>IFERROR(VLOOKUP("906-222000-100",B:AB,23+8,0),0)</f>
        <v>0</v>
      </c>
      <c r="AG1433">
        <f>IFERROR(VLOOKUP("906-222000-100",B:AB,24+8,0),0)</f>
        <v>0</v>
      </c>
      <c r="AH1433">
        <f>IFERROR(VLOOKUP("906-222000-100",B:AB,25+8,0),0)</f>
        <v>0</v>
      </c>
      <c r="AI1433">
        <f>IFERROR(VLOOKUP("906-222000-100",B:AB,26+8,0),0)</f>
        <v>0</v>
      </c>
      <c r="AJ1433">
        <f>IFERROR(VLOOKUP("906-222000-100",B:AB,27+8,0),0)</f>
        <v>0</v>
      </c>
      <c r="AK1433">
        <f>IFERROR(VLOOKUP("906-222000-100",B:AB,28+8,0),0)</f>
        <v>0</v>
      </c>
      <c r="AL1433">
        <f>IFERROR(VLOOKUP("906-222000-100",B:AB,29+8,0),0)</f>
        <v>0</v>
      </c>
      <c r="AM1433">
        <f>IFERROR(VLOOKUP("906-222000-100",B:AB,30+8,0),0)</f>
        <v>0</v>
      </c>
      <c r="AN1433">
        <f>IFERROR(VLOOKUP("906-222000-100",B:AB,31+8,0),0)</f>
        <v>0</v>
      </c>
      <c r="AO1433">
        <f>SUN(INDIRECT(ADDRESS(1432,8)):INDIRECT(ADDRESS(1432,39)))</f>
        <v>0</v>
      </c>
    </row>
    <row r="1434" spans="1:41">
      <c r="H1434" t="s">
        <v>179</v>
      </c>
      <c r="J1434">
        <f>INDIRECT(ADDRESS(1434,9))+INDIRECT(ADDRESS(1432,10))-INDIRECT(ADDRESS(1433,10))</f>
        <v>0</v>
      </c>
      <c r="K1434">
        <f>INDIRECT(ADDRESS(1434,10))+INDIRECT(ADDRESS(1432,11))-INDIRECT(ADDRESS(1433,11))</f>
        <v>0</v>
      </c>
      <c r="L1434">
        <f>INDIRECT(ADDRESS(1434,11))+INDIRECT(ADDRESS(1432,12))-INDIRECT(ADDRESS(1433,12))</f>
        <v>0</v>
      </c>
      <c r="M1434">
        <f>INDIRECT(ADDRESS(1434,12))+INDIRECT(ADDRESS(1432,13))-INDIRECT(ADDRESS(1433,13))</f>
        <v>0</v>
      </c>
      <c r="N1434">
        <f>INDIRECT(ADDRESS(1434,13))+INDIRECT(ADDRESS(1432,14))-INDIRECT(ADDRESS(1433,14))</f>
        <v>0</v>
      </c>
      <c r="O1434">
        <f>INDIRECT(ADDRESS(1434,14))+INDIRECT(ADDRESS(1432,15))-INDIRECT(ADDRESS(1433,15))</f>
        <v>0</v>
      </c>
      <c r="P1434">
        <f>INDIRECT(ADDRESS(1434,15))+INDIRECT(ADDRESS(1432,16))-INDIRECT(ADDRESS(1433,16))</f>
        <v>0</v>
      </c>
      <c r="Q1434">
        <f>INDIRECT(ADDRESS(1434,16))+INDIRECT(ADDRESS(1432,17))-INDIRECT(ADDRESS(1433,17))</f>
        <v>0</v>
      </c>
      <c r="R1434">
        <f>INDIRECT(ADDRESS(1434,17))+INDIRECT(ADDRESS(1432,18))-INDIRECT(ADDRESS(1433,18))</f>
        <v>0</v>
      </c>
      <c r="S1434">
        <f>INDIRECT(ADDRESS(1434,18))+INDIRECT(ADDRESS(1432,19))-INDIRECT(ADDRESS(1433,19))</f>
        <v>0</v>
      </c>
      <c r="T1434">
        <f>INDIRECT(ADDRESS(1434,19))+INDIRECT(ADDRESS(1432,20))-INDIRECT(ADDRESS(1433,20))</f>
        <v>0</v>
      </c>
      <c r="U1434">
        <f>INDIRECT(ADDRESS(1434,20))+INDIRECT(ADDRESS(1432,21))-INDIRECT(ADDRESS(1433,21))</f>
        <v>0</v>
      </c>
      <c r="V1434">
        <f>INDIRECT(ADDRESS(1434,21))+INDIRECT(ADDRESS(1432,22))-INDIRECT(ADDRESS(1433,22))</f>
        <v>0</v>
      </c>
      <c r="W1434">
        <f>INDIRECT(ADDRESS(1434,22))+INDIRECT(ADDRESS(1432,23))-INDIRECT(ADDRESS(1433,23))</f>
        <v>0</v>
      </c>
      <c r="X1434">
        <f>INDIRECT(ADDRESS(1434,23))+INDIRECT(ADDRESS(1432,24))-INDIRECT(ADDRESS(1433,24))</f>
        <v>0</v>
      </c>
      <c r="Y1434">
        <f>INDIRECT(ADDRESS(1434,24))+INDIRECT(ADDRESS(1432,25))-INDIRECT(ADDRESS(1433,25))</f>
        <v>0</v>
      </c>
      <c r="Z1434">
        <f>INDIRECT(ADDRESS(1434,25))+INDIRECT(ADDRESS(1432,26))-INDIRECT(ADDRESS(1433,26))</f>
        <v>0</v>
      </c>
      <c r="AA1434">
        <f>INDIRECT(ADDRESS(1434,26))+INDIRECT(ADDRESS(1432,27))-INDIRECT(ADDRESS(1433,27))</f>
        <v>0</v>
      </c>
      <c r="AB1434">
        <f>INDIRECT(ADDRESS(1434,27))+INDIRECT(ADDRESS(1432,28))-INDIRECT(ADDRESS(1433,28))</f>
        <v>0</v>
      </c>
      <c r="AC1434">
        <f>INDIRECT(ADDRESS(1434,28))+INDIRECT(ADDRESS(1432,29))-INDIRECT(ADDRESS(1433,29))</f>
        <v>0</v>
      </c>
      <c r="AD1434">
        <f>INDIRECT(ADDRESS(1434,29))+INDIRECT(ADDRESS(1432,30))-INDIRECT(ADDRESS(1433,30))</f>
        <v>0</v>
      </c>
      <c r="AE1434">
        <f>INDIRECT(ADDRESS(1434,30))+INDIRECT(ADDRESS(1432,31))-INDIRECT(ADDRESS(1433,31))</f>
        <v>0</v>
      </c>
      <c r="AF1434">
        <f>INDIRECT(ADDRESS(1434,31))+INDIRECT(ADDRESS(1432,32))-INDIRECT(ADDRESS(1433,32))</f>
        <v>0</v>
      </c>
      <c r="AG1434">
        <f>INDIRECT(ADDRESS(1434,32))+INDIRECT(ADDRESS(1432,33))-INDIRECT(ADDRESS(1433,33))</f>
        <v>0</v>
      </c>
      <c r="AH1434">
        <f>INDIRECT(ADDRESS(1434,33))+INDIRECT(ADDRESS(1432,34))-INDIRECT(ADDRESS(1433,34))</f>
        <v>0</v>
      </c>
      <c r="AI1434">
        <f>INDIRECT(ADDRESS(1434,34))+INDIRECT(ADDRESS(1432,35))-INDIRECT(ADDRESS(1433,35))</f>
        <v>0</v>
      </c>
      <c r="AJ1434">
        <f>INDIRECT(ADDRESS(1434,35))+INDIRECT(ADDRESS(1432,36))-INDIRECT(ADDRESS(1433,36))</f>
        <v>0</v>
      </c>
      <c r="AK1434">
        <f>INDIRECT(ADDRESS(1434,36))+INDIRECT(ADDRESS(1432,37))-INDIRECT(ADDRESS(1433,37))</f>
        <v>0</v>
      </c>
      <c r="AL1434">
        <f>INDIRECT(ADDRESS(1434,37))+INDIRECT(ADDRESS(1432,38))-INDIRECT(ADDRESS(1433,38))</f>
        <v>0</v>
      </c>
      <c r="AM1434">
        <f>INDIRECT(ADDRESS(1434,38))+INDIRECT(ADDRESS(1432,39))-INDIRECT(ADDRESS(1433,39))</f>
        <v>0</v>
      </c>
      <c r="AN1434">
        <f>INDIRECT(ADDRESS(1434,39))+INDIRECT(ADDRESS(1432,40))-INDIRECT(ADDRESS(1433,40))</f>
        <v>0</v>
      </c>
      <c r="AO1434">
        <f>SUM(INDIRECT(ADDRESS(1433,8)):INDIRECT(ADDRESS(1433,39)))</f>
        <v>0</v>
      </c>
    </row>
    <row r="1435" spans="1:41">
      <c r="A1435" t="s">
        <v>185</v>
      </c>
      <c r="B1435" t="s">
        <v>705</v>
      </c>
      <c r="C1435" t="s">
        <v>706</v>
      </c>
      <c r="E1435">
        <v>1</v>
      </c>
      <c r="I1435" t="s">
        <v>177</v>
      </c>
    </row>
    <row r="1436" spans="1:41">
      <c r="I1436" t="s">
        <v>178</v>
      </c>
      <c r="J1436">
        <f>IFERROR(VLOOKUP("906-222000-100",B:AB,1+8,0),0)</f>
        <v>0</v>
      </c>
      <c r="K1436">
        <f>IFERROR(VLOOKUP("906-222000-100",B:AB,2+8,0),0)</f>
        <v>0</v>
      </c>
      <c r="L1436">
        <f>IFERROR(VLOOKUP("906-222000-100",B:AB,3+8,0),0)</f>
        <v>0</v>
      </c>
      <c r="M1436">
        <f>IFERROR(VLOOKUP("906-222000-100",B:AB,4+8,0),0)</f>
        <v>0</v>
      </c>
      <c r="N1436">
        <f>IFERROR(VLOOKUP("906-222000-100",B:AB,5+8,0),0)</f>
        <v>0</v>
      </c>
      <c r="O1436">
        <f>IFERROR(VLOOKUP("906-222000-100",B:AB,6+8,0),0)</f>
        <v>0</v>
      </c>
      <c r="P1436">
        <f>IFERROR(VLOOKUP("906-222000-100",B:AB,7+8,0),0)</f>
        <v>0</v>
      </c>
      <c r="Q1436">
        <f>IFERROR(VLOOKUP("906-222000-100",B:AB,8+8,0),0)</f>
        <v>0</v>
      </c>
      <c r="R1436">
        <f>IFERROR(VLOOKUP("906-222000-100",B:AB,9+8,0),0)</f>
        <v>0</v>
      </c>
      <c r="S1436">
        <f>IFERROR(VLOOKUP("906-222000-100",B:AB,10+8,0),0)</f>
        <v>0</v>
      </c>
      <c r="T1436">
        <f>IFERROR(VLOOKUP("906-222000-100",B:AB,11+8,0),0)</f>
        <v>0</v>
      </c>
      <c r="U1436">
        <f>IFERROR(VLOOKUP("906-222000-100",B:AB,12+8,0),0)</f>
        <v>0</v>
      </c>
      <c r="V1436">
        <f>IFERROR(VLOOKUP("906-222000-100",B:AB,13+8,0),0)</f>
        <v>0</v>
      </c>
      <c r="W1436">
        <f>IFERROR(VLOOKUP("906-222000-100",B:AB,14+8,0),0)</f>
        <v>0</v>
      </c>
      <c r="X1436">
        <f>IFERROR(VLOOKUP("906-222000-100",B:AB,15+8,0),0)</f>
        <v>0</v>
      </c>
      <c r="Y1436">
        <f>IFERROR(VLOOKUP("906-222000-100",B:AB,16+8,0),0)</f>
        <v>0</v>
      </c>
      <c r="Z1436">
        <f>IFERROR(VLOOKUP("906-222000-100",B:AB,17+8,0),0)</f>
        <v>0</v>
      </c>
      <c r="AA1436">
        <f>IFERROR(VLOOKUP("906-222000-100",B:AB,18+8,0),0)</f>
        <v>0</v>
      </c>
      <c r="AB1436">
        <f>IFERROR(VLOOKUP("906-222000-100",B:AB,19+8,0),0)</f>
        <v>0</v>
      </c>
      <c r="AC1436">
        <f>IFERROR(VLOOKUP("906-222000-100",B:AB,20+8,0),0)</f>
        <v>0</v>
      </c>
      <c r="AD1436">
        <f>IFERROR(VLOOKUP("906-222000-100",B:AB,21+8,0),0)</f>
        <v>0</v>
      </c>
      <c r="AE1436">
        <f>IFERROR(VLOOKUP("906-222000-100",B:AB,22+8,0),0)</f>
        <v>0</v>
      </c>
      <c r="AF1436">
        <f>IFERROR(VLOOKUP("906-222000-100",B:AB,23+8,0),0)</f>
        <v>0</v>
      </c>
      <c r="AG1436">
        <f>IFERROR(VLOOKUP("906-222000-100",B:AB,24+8,0),0)</f>
        <v>0</v>
      </c>
      <c r="AH1436">
        <f>IFERROR(VLOOKUP("906-222000-100",B:AB,25+8,0),0)</f>
        <v>0</v>
      </c>
      <c r="AI1436">
        <f>IFERROR(VLOOKUP("906-222000-100",B:AB,26+8,0),0)</f>
        <v>0</v>
      </c>
      <c r="AJ1436">
        <f>IFERROR(VLOOKUP("906-222000-100",B:AB,27+8,0),0)</f>
        <v>0</v>
      </c>
      <c r="AK1436">
        <f>IFERROR(VLOOKUP("906-222000-100",B:AB,28+8,0),0)</f>
        <v>0</v>
      </c>
      <c r="AL1436">
        <f>IFERROR(VLOOKUP("906-222000-100",B:AB,29+8,0),0)</f>
        <v>0</v>
      </c>
      <c r="AM1436">
        <f>IFERROR(VLOOKUP("906-222000-100",B:AB,30+8,0),0)</f>
        <v>0</v>
      </c>
      <c r="AN1436">
        <f>IFERROR(VLOOKUP("906-222000-100",B:AB,31+8,0),0)</f>
        <v>0</v>
      </c>
      <c r="AO1436">
        <f>SUN(INDIRECT(ADDRESS(1435,8)):INDIRECT(ADDRESS(1435,39)))</f>
        <v>0</v>
      </c>
    </row>
    <row r="1437" spans="1:41">
      <c r="H1437" t="s">
        <v>179</v>
      </c>
      <c r="J1437">
        <f>INDIRECT(ADDRESS(1437,9))+INDIRECT(ADDRESS(1435,10))-INDIRECT(ADDRESS(1436,10))</f>
        <v>0</v>
      </c>
      <c r="K1437">
        <f>INDIRECT(ADDRESS(1437,10))+INDIRECT(ADDRESS(1435,11))-INDIRECT(ADDRESS(1436,11))</f>
        <v>0</v>
      </c>
      <c r="L1437">
        <f>INDIRECT(ADDRESS(1437,11))+INDIRECT(ADDRESS(1435,12))-INDIRECT(ADDRESS(1436,12))</f>
        <v>0</v>
      </c>
      <c r="M1437">
        <f>INDIRECT(ADDRESS(1437,12))+INDIRECT(ADDRESS(1435,13))-INDIRECT(ADDRESS(1436,13))</f>
        <v>0</v>
      </c>
      <c r="N1437">
        <f>INDIRECT(ADDRESS(1437,13))+INDIRECT(ADDRESS(1435,14))-INDIRECT(ADDRESS(1436,14))</f>
        <v>0</v>
      </c>
      <c r="O1437">
        <f>INDIRECT(ADDRESS(1437,14))+INDIRECT(ADDRESS(1435,15))-INDIRECT(ADDRESS(1436,15))</f>
        <v>0</v>
      </c>
      <c r="P1437">
        <f>INDIRECT(ADDRESS(1437,15))+INDIRECT(ADDRESS(1435,16))-INDIRECT(ADDRESS(1436,16))</f>
        <v>0</v>
      </c>
      <c r="Q1437">
        <f>INDIRECT(ADDRESS(1437,16))+INDIRECT(ADDRESS(1435,17))-INDIRECT(ADDRESS(1436,17))</f>
        <v>0</v>
      </c>
      <c r="R1437">
        <f>INDIRECT(ADDRESS(1437,17))+INDIRECT(ADDRESS(1435,18))-INDIRECT(ADDRESS(1436,18))</f>
        <v>0</v>
      </c>
      <c r="S1437">
        <f>INDIRECT(ADDRESS(1437,18))+INDIRECT(ADDRESS(1435,19))-INDIRECT(ADDRESS(1436,19))</f>
        <v>0</v>
      </c>
      <c r="T1437">
        <f>INDIRECT(ADDRESS(1437,19))+INDIRECT(ADDRESS(1435,20))-INDIRECT(ADDRESS(1436,20))</f>
        <v>0</v>
      </c>
      <c r="U1437">
        <f>INDIRECT(ADDRESS(1437,20))+INDIRECT(ADDRESS(1435,21))-INDIRECT(ADDRESS(1436,21))</f>
        <v>0</v>
      </c>
      <c r="V1437">
        <f>INDIRECT(ADDRESS(1437,21))+INDIRECT(ADDRESS(1435,22))-INDIRECT(ADDRESS(1436,22))</f>
        <v>0</v>
      </c>
      <c r="W1437">
        <f>INDIRECT(ADDRESS(1437,22))+INDIRECT(ADDRESS(1435,23))-INDIRECT(ADDRESS(1436,23))</f>
        <v>0</v>
      </c>
      <c r="X1437">
        <f>INDIRECT(ADDRESS(1437,23))+INDIRECT(ADDRESS(1435,24))-INDIRECT(ADDRESS(1436,24))</f>
        <v>0</v>
      </c>
      <c r="Y1437">
        <f>INDIRECT(ADDRESS(1437,24))+INDIRECT(ADDRESS(1435,25))-INDIRECT(ADDRESS(1436,25))</f>
        <v>0</v>
      </c>
      <c r="Z1437">
        <f>INDIRECT(ADDRESS(1437,25))+INDIRECT(ADDRESS(1435,26))-INDIRECT(ADDRESS(1436,26))</f>
        <v>0</v>
      </c>
      <c r="AA1437">
        <f>INDIRECT(ADDRESS(1437,26))+INDIRECT(ADDRESS(1435,27))-INDIRECT(ADDRESS(1436,27))</f>
        <v>0</v>
      </c>
      <c r="AB1437">
        <f>INDIRECT(ADDRESS(1437,27))+INDIRECT(ADDRESS(1435,28))-INDIRECT(ADDRESS(1436,28))</f>
        <v>0</v>
      </c>
      <c r="AC1437">
        <f>INDIRECT(ADDRESS(1437,28))+INDIRECT(ADDRESS(1435,29))-INDIRECT(ADDRESS(1436,29))</f>
        <v>0</v>
      </c>
      <c r="AD1437">
        <f>INDIRECT(ADDRESS(1437,29))+INDIRECT(ADDRESS(1435,30))-INDIRECT(ADDRESS(1436,30))</f>
        <v>0</v>
      </c>
      <c r="AE1437">
        <f>INDIRECT(ADDRESS(1437,30))+INDIRECT(ADDRESS(1435,31))-INDIRECT(ADDRESS(1436,31))</f>
        <v>0</v>
      </c>
      <c r="AF1437">
        <f>INDIRECT(ADDRESS(1437,31))+INDIRECT(ADDRESS(1435,32))-INDIRECT(ADDRESS(1436,32))</f>
        <v>0</v>
      </c>
      <c r="AG1437">
        <f>INDIRECT(ADDRESS(1437,32))+INDIRECT(ADDRESS(1435,33))-INDIRECT(ADDRESS(1436,33))</f>
        <v>0</v>
      </c>
      <c r="AH1437">
        <f>INDIRECT(ADDRESS(1437,33))+INDIRECT(ADDRESS(1435,34))-INDIRECT(ADDRESS(1436,34))</f>
        <v>0</v>
      </c>
      <c r="AI1437">
        <f>INDIRECT(ADDRESS(1437,34))+INDIRECT(ADDRESS(1435,35))-INDIRECT(ADDRESS(1436,35))</f>
        <v>0</v>
      </c>
      <c r="AJ1437">
        <f>INDIRECT(ADDRESS(1437,35))+INDIRECT(ADDRESS(1435,36))-INDIRECT(ADDRESS(1436,36))</f>
        <v>0</v>
      </c>
      <c r="AK1437">
        <f>INDIRECT(ADDRESS(1437,36))+INDIRECT(ADDRESS(1435,37))-INDIRECT(ADDRESS(1436,37))</f>
        <v>0</v>
      </c>
      <c r="AL1437">
        <f>INDIRECT(ADDRESS(1437,37))+INDIRECT(ADDRESS(1435,38))-INDIRECT(ADDRESS(1436,38))</f>
        <v>0</v>
      </c>
      <c r="AM1437">
        <f>INDIRECT(ADDRESS(1437,38))+INDIRECT(ADDRESS(1435,39))-INDIRECT(ADDRESS(1436,39))</f>
        <v>0</v>
      </c>
      <c r="AN1437">
        <f>INDIRECT(ADDRESS(1437,39))+INDIRECT(ADDRESS(1435,40))-INDIRECT(ADDRESS(1436,40))</f>
        <v>0</v>
      </c>
      <c r="AO1437">
        <f>SUM(INDIRECT(ADDRESS(1436,8)):INDIRECT(ADDRESS(1436,39)))</f>
        <v>0</v>
      </c>
    </row>
    <row r="1438" spans="1:41">
      <c r="A1438" t="s">
        <v>185</v>
      </c>
      <c r="B1438" t="s">
        <v>707</v>
      </c>
      <c r="C1438" t="s">
        <v>708</v>
      </c>
      <c r="E1438">
        <v>0.18</v>
      </c>
      <c r="I1438" t="s">
        <v>177</v>
      </c>
    </row>
    <row r="1439" spans="1:41">
      <c r="I1439" t="s">
        <v>178</v>
      </c>
      <c r="J1439">
        <f>IFERROR(VLOOKUP("906-222000-100",B:AB,1+8,0),0)</f>
        <v>0</v>
      </c>
      <c r="K1439">
        <f>IFERROR(VLOOKUP("906-222000-100",B:AB,2+8,0),0)</f>
        <v>0</v>
      </c>
      <c r="L1439">
        <f>IFERROR(VLOOKUP("906-222000-100",B:AB,3+8,0),0)</f>
        <v>0</v>
      </c>
      <c r="M1439">
        <f>IFERROR(VLOOKUP("906-222000-100",B:AB,4+8,0),0)</f>
        <v>0</v>
      </c>
      <c r="N1439">
        <f>IFERROR(VLOOKUP("906-222000-100",B:AB,5+8,0),0)</f>
        <v>0</v>
      </c>
      <c r="O1439">
        <f>IFERROR(VLOOKUP("906-222000-100",B:AB,6+8,0),0)</f>
        <v>0</v>
      </c>
      <c r="P1439">
        <f>IFERROR(VLOOKUP("906-222000-100",B:AB,7+8,0),0)</f>
        <v>0</v>
      </c>
      <c r="Q1439">
        <f>IFERROR(VLOOKUP("906-222000-100",B:AB,8+8,0),0)</f>
        <v>0</v>
      </c>
      <c r="R1439">
        <f>IFERROR(VLOOKUP("906-222000-100",B:AB,9+8,0),0)</f>
        <v>0</v>
      </c>
      <c r="S1439">
        <f>IFERROR(VLOOKUP("906-222000-100",B:AB,10+8,0),0)</f>
        <v>0</v>
      </c>
      <c r="T1439">
        <f>IFERROR(VLOOKUP("906-222000-100",B:AB,11+8,0),0)</f>
        <v>0</v>
      </c>
      <c r="U1439">
        <f>IFERROR(VLOOKUP("906-222000-100",B:AB,12+8,0),0)</f>
        <v>0</v>
      </c>
      <c r="V1439">
        <f>IFERROR(VLOOKUP("906-222000-100",B:AB,13+8,0),0)</f>
        <v>0</v>
      </c>
      <c r="W1439">
        <f>IFERROR(VLOOKUP("906-222000-100",B:AB,14+8,0),0)</f>
        <v>0</v>
      </c>
      <c r="X1439">
        <f>IFERROR(VLOOKUP("906-222000-100",B:AB,15+8,0),0)</f>
        <v>0</v>
      </c>
      <c r="Y1439">
        <f>IFERROR(VLOOKUP("906-222000-100",B:AB,16+8,0),0)</f>
        <v>0</v>
      </c>
      <c r="Z1439">
        <f>IFERROR(VLOOKUP("906-222000-100",B:AB,17+8,0),0)</f>
        <v>0</v>
      </c>
      <c r="AA1439">
        <f>IFERROR(VLOOKUP("906-222000-100",B:AB,18+8,0),0)</f>
        <v>0</v>
      </c>
      <c r="AB1439">
        <f>IFERROR(VLOOKUP("906-222000-100",B:AB,19+8,0),0)</f>
        <v>0</v>
      </c>
      <c r="AC1439">
        <f>IFERROR(VLOOKUP("906-222000-100",B:AB,20+8,0),0)</f>
        <v>0</v>
      </c>
      <c r="AD1439">
        <f>IFERROR(VLOOKUP("906-222000-100",B:AB,21+8,0),0)</f>
        <v>0</v>
      </c>
      <c r="AE1439">
        <f>IFERROR(VLOOKUP("906-222000-100",B:AB,22+8,0),0)</f>
        <v>0</v>
      </c>
      <c r="AF1439">
        <f>IFERROR(VLOOKUP("906-222000-100",B:AB,23+8,0),0)</f>
        <v>0</v>
      </c>
      <c r="AG1439">
        <f>IFERROR(VLOOKUP("906-222000-100",B:AB,24+8,0),0)</f>
        <v>0</v>
      </c>
      <c r="AH1439">
        <f>IFERROR(VLOOKUP("906-222000-100",B:AB,25+8,0),0)</f>
        <v>0</v>
      </c>
      <c r="AI1439">
        <f>IFERROR(VLOOKUP("906-222000-100",B:AB,26+8,0),0)</f>
        <v>0</v>
      </c>
      <c r="AJ1439">
        <f>IFERROR(VLOOKUP("906-222000-100",B:AB,27+8,0),0)</f>
        <v>0</v>
      </c>
      <c r="AK1439">
        <f>IFERROR(VLOOKUP("906-222000-100",B:AB,28+8,0),0)</f>
        <v>0</v>
      </c>
      <c r="AL1439">
        <f>IFERROR(VLOOKUP("906-222000-100",B:AB,29+8,0),0)</f>
        <v>0</v>
      </c>
      <c r="AM1439">
        <f>IFERROR(VLOOKUP("906-222000-100",B:AB,30+8,0),0)</f>
        <v>0</v>
      </c>
      <c r="AN1439">
        <f>IFERROR(VLOOKUP("906-222000-100",B:AB,31+8,0),0)</f>
        <v>0</v>
      </c>
      <c r="AO1439">
        <f>SUN(INDIRECT(ADDRESS(1438,8)):INDIRECT(ADDRESS(1438,39)))</f>
        <v>0</v>
      </c>
    </row>
    <row r="1440" spans="1:41">
      <c r="H1440" t="s">
        <v>179</v>
      </c>
      <c r="J1440">
        <f>INDIRECT(ADDRESS(1440,9))+INDIRECT(ADDRESS(1438,10))-INDIRECT(ADDRESS(1439,10))</f>
        <v>0</v>
      </c>
      <c r="K1440">
        <f>INDIRECT(ADDRESS(1440,10))+INDIRECT(ADDRESS(1438,11))-INDIRECT(ADDRESS(1439,11))</f>
        <v>0</v>
      </c>
      <c r="L1440">
        <f>INDIRECT(ADDRESS(1440,11))+INDIRECT(ADDRESS(1438,12))-INDIRECT(ADDRESS(1439,12))</f>
        <v>0</v>
      </c>
      <c r="M1440">
        <f>INDIRECT(ADDRESS(1440,12))+INDIRECT(ADDRESS(1438,13))-INDIRECT(ADDRESS(1439,13))</f>
        <v>0</v>
      </c>
      <c r="N1440">
        <f>INDIRECT(ADDRESS(1440,13))+INDIRECT(ADDRESS(1438,14))-INDIRECT(ADDRESS(1439,14))</f>
        <v>0</v>
      </c>
      <c r="O1440">
        <f>INDIRECT(ADDRESS(1440,14))+INDIRECT(ADDRESS(1438,15))-INDIRECT(ADDRESS(1439,15))</f>
        <v>0</v>
      </c>
      <c r="P1440">
        <f>INDIRECT(ADDRESS(1440,15))+INDIRECT(ADDRESS(1438,16))-INDIRECT(ADDRESS(1439,16))</f>
        <v>0</v>
      </c>
      <c r="Q1440">
        <f>INDIRECT(ADDRESS(1440,16))+INDIRECT(ADDRESS(1438,17))-INDIRECT(ADDRESS(1439,17))</f>
        <v>0</v>
      </c>
      <c r="R1440">
        <f>INDIRECT(ADDRESS(1440,17))+INDIRECT(ADDRESS(1438,18))-INDIRECT(ADDRESS(1439,18))</f>
        <v>0</v>
      </c>
      <c r="S1440">
        <f>INDIRECT(ADDRESS(1440,18))+INDIRECT(ADDRESS(1438,19))-INDIRECT(ADDRESS(1439,19))</f>
        <v>0</v>
      </c>
      <c r="T1440">
        <f>INDIRECT(ADDRESS(1440,19))+INDIRECT(ADDRESS(1438,20))-INDIRECT(ADDRESS(1439,20))</f>
        <v>0</v>
      </c>
      <c r="U1440">
        <f>INDIRECT(ADDRESS(1440,20))+INDIRECT(ADDRESS(1438,21))-INDIRECT(ADDRESS(1439,21))</f>
        <v>0</v>
      </c>
      <c r="V1440">
        <f>INDIRECT(ADDRESS(1440,21))+INDIRECT(ADDRESS(1438,22))-INDIRECT(ADDRESS(1439,22))</f>
        <v>0</v>
      </c>
      <c r="W1440">
        <f>INDIRECT(ADDRESS(1440,22))+INDIRECT(ADDRESS(1438,23))-INDIRECT(ADDRESS(1439,23))</f>
        <v>0</v>
      </c>
      <c r="X1440">
        <f>INDIRECT(ADDRESS(1440,23))+INDIRECT(ADDRESS(1438,24))-INDIRECT(ADDRESS(1439,24))</f>
        <v>0</v>
      </c>
      <c r="Y1440">
        <f>INDIRECT(ADDRESS(1440,24))+INDIRECT(ADDRESS(1438,25))-INDIRECT(ADDRESS(1439,25))</f>
        <v>0</v>
      </c>
      <c r="Z1440">
        <f>INDIRECT(ADDRESS(1440,25))+INDIRECT(ADDRESS(1438,26))-INDIRECT(ADDRESS(1439,26))</f>
        <v>0</v>
      </c>
      <c r="AA1440">
        <f>INDIRECT(ADDRESS(1440,26))+INDIRECT(ADDRESS(1438,27))-INDIRECT(ADDRESS(1439,27))</f>
        <v>0</v>
      </c>
      <c r="AB1440">
        <f>INDIRECT(ADDRESS(1440,27))+INDIRECT(ADDRESS(1438,28))-INDIRECT(ADDRESS(1439,28))</f>
        <v>0</v>
      </c>
      <c r="AC1440">
        <f>INDIRECT(ADDRESS(1440,28))+INDIRECT(ADDRESS(1438,29))-INDIRECT(ADDRESS(1439,29))</f>
        <v>0</v>
      </c>
      <c r="AD1440">
        <f>INDIRECT(ADDRESS(1440,29))+INDIRECT(ADDRESS(1438,30))-INDIRECT(ADDRESS(1439,30))</f>
        <v>0</v>
      </c>
      <c r="AE1440">
        <f>INDIRECT(ADDRESS(1440,30))+INDIRECT(ADDRESS(1438,31))-INDIRECT(ADDRESS(1439,31))</f>
        <v>0</v>
      </c>
      <c r="AF1440">
        <f>INDIRECT(ADDRESS(1440,31))+INDIRECT(ADDRESS(1438,32))-INDIRECT(ADDRESS(1439,32))</f>
        <v>0</v>
      </c>
      <c r="AG1440">
        <f>INDIRECT(ADDRESS(1440,32))+INDIRECT(ADDRESS(1438,33))-INDIRECT(ADDRESS(1439,33))</f>
        <v>0</v>
      </c>
      <c r="AH1440">
        <f>INDIRECT(ADDRESS(1440,33))+INDIRECT(ADDRESS(1438,34))-INDIRECT(ADDRESS(1439,34))</f>
        <v>0</v>
      </c>
      <c r="AI1440">
        <f>INDIRECT(ADDRESS(1440,34))+INDIRECT(ADDRESS(1438,35))-INDIRECT(ADDRESS(1439,35))</f>
        <v>0</v>
      </c>
      <c r="AJ1440">
        <f>INDIRECT(ADDRESS(1440,35))+INDIRECT(ADDRESS(1438,36))-INDIRECT(ADDRESS(1439,36))</f>
        <v>0</v>
      </c>
      <c r="AK1440">
        <f>INDIRECT(ADDRESS(1440,36))+INDIRECT(ADDRESS(1438,37))-INDIRECT(ADDRESS(1439,37))</f>
        <v>0</v>
      </c>
      <c r="AL1440">
        <f>INDIRECT(ADDRESS(1440,37))+INDIRECT(ADDRESS(1438,38))-INDIRECT(ADDRESS(1439,38))</f>
        <v>0</v>
      </c>
      <c r="AM1440">
        <f>INDIRECT(ADDRESS(1440,38))+INDIRECT(ADDRESS(1438,39))-INDIRECT(ADDRESS(1439,39))</f>
        <v>0</v>
      </c>
      <c r="AN1440">
        <f>INDIRECT(ADDRESS(1440,39))+INDIRECT(ADDRESS(1438,40))-INDIRECT(ADDRESS(1439,40))</f>
        <v>0</v>
      </c>
      <c r="AO1440">
        <f>SUM(INDIRECT(ADDRESS(1439,8)):INDIRECT(ADDRESS(1439,39)))</f>
        <v>0</v>
      </c>
    </row>
    <row r="1441" spans="1:41">
      <c r="A1441" t="s">
        <v>185</v>
      </c>
      <c r="B1441" t="s">
        <v>709</v>
      </c>
      <c r="C1441" t="s">
        <v>710</v>
      </c>
      <c r="E1441">
        <v>0.05</v>
      </c>
      <c r="I1441" t="s">
        <v>177</v>
      </c>
    </row>
    <row r="1442" spans="1:41">
      <c r="I1442" t="s">
        <v>178</v>
      </c>
      <c r="J1442">
        <f>IFERROR(VLOOKUP("906-222000-100",B:AB,1+8,0),0)</f>
        <v>0</v>
      </c>
      <c r="K1442">
        <f>IFERROR(VLOOKUP("906-222000-100",B:AB,2+8,0),0)</f>
        <v>0</v>
      </c>
      <c r="L1442">
        <f>IFERROR(VLOOKUP("906-222000-100",B:AB,3+8,0),0)</f>
        <v>0</v>
      </c>
      <c r="M1442">
        <f>IFERROR(VLOOKUP("906-222000-100",B:AB,4+8,0),0)</f>
        <v>0</v>
      </c>
      <c r="N1442">
        <f>IFERROR(VLOOKUP("906-222000-100",B:AB,5+8,0),0)</f>
        <v>0</v>
      </c>
      <c r="O1442">
        <f>IFERROR(VLOOKUP("906-222000-100",B:AB,6+8,0),0)</f>
        <v>0</v>
      </c>
      <c r="P1442">
        <f>IFERROR(VLOOKUP("906-222000-100",B:AB,7+8,0),0)</f>
        <v>0</v>
      </c>
      <c r="Q1442">
        <f>IFERROR(VLOOKUP("906-222000-100",B:AB,8+8,0),0)</f>
        <v>0</v>
      </c>
      <c r="R1442">
        <f>IFERROR(VLOOKUP("906-222000-100",B:AB,9+8,0),0)</f>
        <v>0</v>
      </c>
      <c r="S1442">
        <f>IFERROR(VLOOKUP("906-222000-100",B:AB,10+8,0),0)</f>
        <v>0</v>
      </c>
      <c r="T1442">
        <f>IFERROR(VLOOKUP("906-222000-100",B:AB,11+8,0),0)</f>
        <v>0</v>
      </c>
      <c r="U1442">
        <f>IFERROR(VLOOKUP("906-222000-100",B:AB,12+8,0),0)</f>
        <v>0</v>
      </c>
      <c r="V1442">
        <f>IFERROR(VLOOKUP("906-222000-100",B:AB,13+8,0),0)</f>
        <v>0</v>
      </c>
      <c r="W1442">
        <f>IFERROR(VLOOKUP("906-222000-100",B:AB,14+8,0),0)</f>
        <v>0</v>
      </c>
      <c r="X1442">
        <f>IFERROR(VLOOKUP("906-222000-100",B:AB,15+8,0),0)</f>
        <v>0</v>
      </c>
      <c r="Y1442">
        <f>IFERROR(VLOOKUP("906-222000-100",B:AB,16+8,0),0)</f>
        <v>0</v>
      </c>
      <c r="Z1442">
        <f>IFERROR(VLOOKUP("906-222000-100",B:AB,17+8,0),0)</f>
        <v>0</v>
      </c>
      <c r="AA1442">
        <f>IFERROR(VLOOKUP("906-222000-100",B:AB,18+8,0),0)</f>
        <v>0</v>
      </c>
      <c r="AB1442">
        <f>IFERROR(VLOOKUP("906-222000-100",B:AB,19+8,0),0)</f>
        <v>0</v>
      </c>
      <c r="AC1442">
        <f>IFERROR(VLOOKUP("906-222000-100",B:AB,20+8,0),0)</f>
        <v>0</v>
      </c>
      <c r="AD1442">
        <f>IFERROR(VLOOKUP("906-222000-100",B:AB,21+8,0),0)</f>
        <v>0</v>
      </c>
      <c r="AE1442">
        <f>IFERROR(VLOOKUP("906-222000-100",B:AB,22+8,0),0)</f>
        <v>0</v>
      </c>
      <c r="AF1442">
        <f>IFERROR(VLOOKUP("906-222000-100",B:AB,23+8,0),0)</f>
        <v>0</v>
      </c>
      <c r="AG1442">
        <f>IFERROR(VLOOKUP("906-222000-100",B:AB,24+8,0),0)</f>
        <v>0</v>
      </c>
      <c r="AH1442">
        <f>IFERROR(VLOOKUP("906-222000-100",B:AB,25+8,0),0)</f>
        <v>0</v>
      </c>
      <c r="AI1442">
        <f>IFERROR(VLOOKUP("906-222000-100",B:AB,26+8,0),0)</f>
        <v>0</v>
      </c>
      <c r="AJ1442">
        <f>IFERROR(VLOOKUP("906-222000-100",B:AB,27+8,0),0)</f>
        <v>0</v>
      </c>
      <c r="AK1442">
        <f>IFERROR(VLOOKUP("906-222000-100",B:AB,28+8,0),0)</f>
        <v>0</v>
      </c>
      <c r="AL1442">
        <f>IFERROR(VLOOKUP("906-222000-100",B:AB,29+8,0),0)</f>
        <v>0</v>
      </c>
      <c r="AM1442">
        <f>IFERROR(VLOOKUP("906-222000-100",B:AB,30+8,0),0)</f>
        <v>0</v>
      </c>
      <c r="AN1442">
        <f>IFERROR(VLOOKUP("906-222000-100",B:AB,31+8,0),0)</f>
        <v>0</v>
      </c>
      <c r="AO1442">
        <f>SUN(INDIRECT(ADDRESS(1441,8)):INDIRECT(ADDRESS(1441,39)))</f>
        <v>0</v>
      </c>
    </row>
    <row r="1443" spans="1:41">
      <c r="H1443" t="s">
        <v>179</v>
      </c>
      <c r="J1443">
        <f>INDIRECT(ADDRESS(1443,9))+INDIRECT(ADDRESS(1441,10))-INDIRECT(ADDRESS(1442,10))</f>
        <v>0</v>
      </c>
      <c r="K1443">
        <f>INDIRECT(ADDRESS(1443,10))+INDIRECT(ADDRESS(1441,11))-INDIRECT(ADDRESS(1442,11))</f>
        <v>0</v>
      </c>
      <c r="L1443">
        <f>INDIRECT(ADDRESS(1443,11))+INDIRECT(ADDRESS(1441,12))-INDIRECT(ADDRESS(1442,12))</f>
        <v>0</v>
      </c>
      <c r="M1443">
        <f>INDIRECT(ADDRESS(1443,12))+INDIRECT(ADDRESS(1441,13))-INDIRECT(ADDRESS(1442,13))</f>
        <v>0</v>
      </c>
      <c r="N1443">
        <f>INDIRECT(ADDRESS(1443,13))+INDIRECT(ADDRESS(1441,14))-INDIRECT(ADDRESS(1442,14))</f>
        <v>0</v>
      </c>
      <c r="O1443">
        <f>INDIRECT(ADDRESS(1443,14))+INDIRECT(ADDRESS(1441,15))-INDIRECT(ADDRESS(1442,15))</f>
        <v>0</v>
      </c>
      <c r="P1443">
        <f>INDIRECT(ADDRESS(1443,15))+INDIRECT(ADDRESS(1441,16))-INDIRECT(ADDRESS(1442,16))</f>
        <v>0</v>
      </c>
      <c r="Q1443">
        <f>INDIRECT(ADDRESS(1443,16))+INDIRECT(ADDRESS(1441,17))-INDIRECT(ADDRESS(1442,17))</f>
        <v>0</v>
      </c>
      <c r="R1443">
        <f>INDIRECT(ADDRESS(1443,17))+INDIRECT(ADDRESS(1441,18))-INDIRECT(ADDRESS(1442,18))</f>
        <v>0</v>
      </c>
      <c r="S1443">
        <f>INDIRECT(ADDRESS(1443,18))+INDIRECT(ADDRESS(1441,19))-INDIRECT(ADDRESS(1442,19))</f>
        <v>0</v>
      </c>
      <c r="T1443">
        <f>INDIRECT(ADDRESS(1443,19))+INDIRECT(ADDRESS(1441,20))-INDIRECT(ADDRESS(1442,20))</f>
        <v>0</v>
      </c>
      <c r="U1443">
        <f>INDIRECT(ADDRESS(1443,20))+INDIRECT(ADDRESS(1441,21))-INDIRECT(ADDRESS(1442,21))</f>
        <v>0</v>
      </c>
      <c r="V1443">
        <f>INDIRECT(ADDRESS(1443,21))+INDIRECT(ADDRESS(1441,22))-INDIRECT(ADDRESS(1442,22))</f>
        <v>0</v>
      </c>
      <c r="W1443">
        <f>INDIRECT(ADDRESS(1443,22))+INDIRECT(ADDRESS(1441,23))-INDIRECT(ADDRESS(1442,23))</f>
        <v>0</v>
      </c>
      <c r="X1443">
        <f>INDIRECT(ADDRESS(1443,23))+INDIRECT(ADDRESS(1441,24))-INDIRECT(ADDRESS(1442,24))</f>
        <v>0</v>
      </c>
      <c r="Y1443">
        <f>INDIRECT(ADDRESS(1443,24))+INDIRECT(ADDRESS(1441,25))-INDIRECT(ADDRESS(1442,25))</f>
        <v>0</v>
      </c>
      <c r="Z1443">
        <f>INDIRECT(ADDRESS(1443,25))+INDIRECT(ADDRESS(1441,26))-INDIRECT(ADDRESS(1442,26))</f>
        <v>0</v>
      </c>
      <c r="AA1443">
        <f>INDIRECT(ADDRESS(1443,26))+INDIRECT(ADDRESS(1441,27))-INDIRECT(ADDRESS(1442,27))</f>
        <v>0</v>
      </c>
      <c r="AB1443">
        <f>INDIRECT(ADDRESS(1443,27))+INDIRECT(ADDRESS(1441,28))-INDIRECT(ADDRESS(1442,28))</f>
        <v>0</v>
      </c>
      <c r="AC1443">
        <f>INDIRECT(ADDRESS(1443,28))+INDIRECT(ADDRESS(1441,29))-INDIRECT(ADDRESS(1442,29))</f>
        <v>0</v>
      </c>
      <c r="AD1443">
        <f>INDIRECT(ADDRESS(1443,29))+INDIRECT(ADDRESS(1441,30))-INDIRECT(ADDRESS(1442,30))</f>
        <v>0</v>
      </c>
      <c r="AE1443">
        <f>INDIRECT(ADDRESS(1443,30))+INDIRECT(ADDRESS(1441,31))-INDIRECT(ADDRESS(1442,31))</f>
        <v>0</v>
      </c>
      <c r="AF1443">
        <f>INDIRECT(ADDRESS(1443,31))+INDIRECT(ADDRESS(1441,32))-INDIRECT(ADDRESS(1442,32))</f>
        <v>0</v>
      </c>
      <c r="AG1443">
        <f>INDIRECT(ADDRESS(1443,32))+INDIRECT(ADDRESS(1441,33))-INDIRECT(ADDRESS(1442,33))</f>
        <v>0</v>
      </c>
      <c r="AH1443">
        <f>INDIRECT(ADDRESS(1443,33))+INDIRECT(ADDRESS(1441,34))-INDIRECT(ADDRESS(1442,34))</f>
        <v>0</v>
      </c>
      <c r="AI1443">
        <f>INDIRECT(ADDRESS(1443,34))+INDIRECT(ADDRESS(1441,35))-INDIRECT(ADDRESS(1442,35))</f>
        <v>0</v>
      </c>
      <c r="AJ1443">
        <f>INDIRECT(ADDRESS(1443,35))+INDIRECT(ADDRESS(1441,36))-INDIRECT(ADDRESS(1442,36))</f>
        <v>0</v>
      </c>
      <c r="AK1443">
        <f>INDIRECT(ADDRESS(1443,36))+INDIRECT(ADDRESS(1441,37))-INDIRECT(ADDRESS(1442,37))</f>
        <v>0</v>
      </c>
      <c r="AL1443">
        <f>INDIRECT(ADDRESS(1443,37))+INDIRECT(ADDRESS(1441,38))-INDIRECT(ADDRESS(1442,38))</f>
        <v>0</v>
      </c>
      <c r="AM1443">
        <f>INDIRECT(ADDRESS(1443,38))+INDIRECT(ADDRESS(1441,39))-INDIRECT(ADDRESS(1442,39))</f>
        <v>0</v>
      </c>
      <c r="AN1443">
        <f>INDIRECT(ADDRESS(1443,39))+INDIRECT(ADDRESS(1441,40))-INDIRECT(ADDRESS(1442,40))</f>
        <v>0</v>
      </c>
      <c r="AO1443">
        <f>SUM(INDIRECT(ADDRESS(1442,8)):INDIRECT(ADDRESS(1442,39)))</f>
        <v>0</v>
      </c>
    </row>
    <row r="1444" spans="1:41">
      <c r="A1444" t="s">
        <v>8</v>
      </c>
      <c r="B1444" t="s">
        <v>112</v>
      </c>
      <c r="C1444" t="s">
        <v>111</v>
      </c>
      <c r="E1444">
        <v>1</v>
      </c>
      <c r="I1444" t="s">
        <v>177</v>
      </c>
    </row>
    <row r="1445" spans="1:41">
      <c r="I1445" t="s">
        <v>178</v>
      </c>
      <c r="J1445">
        <f>IFERROR(VLOOKUP("906-423348-110",Out!B:AB,1+8,0),0)</f>
        <v>0</v>
      </c>
      <c r="K1445">
        <f>IFERROR(VLOOKUP("906-423348-110",Out!B:AB,2+8,0),0)</f>
        <v>0</v>
      </c>
      <c r="L1445">
        <f>IFERROR(VLOOKUP("906-423348-110",Out!B:AB,3+8,0),0)</f>
        <v>0</v>
      </c>
      <c r="M1445">
        <f>IFERROR(VLOOKUP("906-423348-110",Out!B:AB,4+8,0),0)</f>
        <v>0</v>
      </c>
      <c r="N1445">
        <f>IFERROR(VLOOKUP("906-423348-110",Out!B:AB,5+8,0),0)</f>
        <v>0</v>
      </c>
      <c r="O1445">
        <f>IFERROR(VLOOKUP("906-423348-110",Out!B:AB,6+8,0),0)</f>
        <v>0</v>
      </c>
      <c r="P1445">
        <f>IFERROR(VLOOKUP("906-423348-110",Out!B:AB,7+8,0),0)</f>
        <v>0</v>
      </c>
      <c r="Q1445">
        <f>IFERROR(VLOOKUP("906-423348-110",Out!B:AB,8+8,0),0)</f>
        <v>0</v>
      </c>
      <c r="R1445">
        <f>IFERROR(VLOOKUP("906-423348-110",Out!B:AB,9+8,0),0)</f>
        <v>0</v>
      </c>
      <c r="S1445">
        <f>IFERROR(VLOOKUP("906-423348-110",Out!B:AB,10+8,0),0)</f>
        <v>0</v>
      </c>
      <c r="T1445">
        <f>IFERROR(VLOOKUP("906-423348-110",Out!B:AB,11+8,0),0)</f>
        <v>0</v>
      </c>
      <c r="U1445">
        <f>IFERROR(VLOOKUP("906-423348-110",Out!B:AB,12+8,0),0)</f>
        <v>0</v>
      </c>
      <c r="V1445">
        <f>IFERROR(VLOOKUP("906-423348-110",Out!B:AB,13+8,0),0)</f>
        <v>0</v>
      </c>
      <c r="W1445">
        <f>IFERROR(VLOOKUP("906-423348-110",Out!B:AB,14+8,0),0)</f>
        <v>0</v>
      </c>
      <c r="X1445">
        <f>IFERROR(VLOOKUP("906-423348-110",Out!B:AB,15+8,0),0)</f>
        <v>0</v>
      </c>
      <c r="Y1445">
        <f>IFERROR(VLOOKUP("906-423348-110",Out!B:AB,16+8,0),0)</f>
        <v>0</v>
      </c>
      <c r="Z1445">
        <f>IFERROR(VLOOKUP("906-423348-110",Out!B:AB,17+8,0),0)</f>
        <v>0</v>
      </c>
      <c r="AA1445">
        <f>IFERROR(VLOOKUP("906-423348-110",Out!B:AB,18+8,0),0)</f>
        <v>0</v>
      </c>
      <c r="AB1445">
        <f>IFERROR(VLOOKUP("906-423348-110",Out!B:AB,19+8,0),0)</f>
        <v>0</v>
      </c>
      <c r="AC1445">
        <f>IFERROR(VLOOKUP("906-423348-110",Out!B:AB,20+8,0),0)</f>
        <v>0</v>
      </c>
      <c r="AD1445">
        <f>IFERROR(VLOOKUP("906-423348-110",Out!B:AB,21+8,0),0)</f>
        <v>0</v>
      </c>
      <c r="AE1445">
        <f>IFERROR(VLOOKUP("906-423348-110",Out!B:AB,22+8,0),0)</f>
        <v>0</v>
      </c>
      <c r="AF1445">
        <f>IFERROR(VLOOKUP("906-423348-110",Out!B:AB,23+8,0),0)</f>
        <v>0</v>
      </c>
      <c r="AG1445">
        <f>IFERROR(VLOOKUP("906-423348-110",Out!B:AB,24+8,0),0)</f>
        <v>0</v>
      </c>
      <c r="AH1445">
        <f>IFERROR(VLOOKUP("906-423348-110",Out!B:AB,25+8,0),0)</f>
        <v>0</v>
      </c>
      <c r="AI1445">
        <f>IFERROR(VLOOKUP("906-423348-110",Out!B:AB,26+8,0),0)</f>
        <v>0</v>
      </c>
      <c r="AJ1445">
        <f>IFERROR(VLOOKUP("906-423348-110",Out!B:AB,27+8,0),0)</f>
        <v>0</v>
      </c>
      <c r="AK1445">
        <f>IFERROR(VLOOKUP("906-423348-110",Out!B:AB,28+8,0),0)</f>
        <v>0</v>
      </c>
      <c r="AL1445">
        <f>IFERROR(VLOOKUP("906-423348-110",Out!B:AB,29+8,0),0)</f>
        <v>0</v>
      </c>
      <c r="AM1445">
        <f>IFERROR(VLOOKUP("906-423348-110",Out!B:AB,30+8,0),0)</f>
        <v>0</v>
      </c>
      <c r="AN1445">
        <f>IFERROR(VLOOKUP("906-423348-110",Out!B:AB,31+8,0),0)</f>
        <v>0</v>
      </c>
      <c r="AO1445">
        <f>SUN(INDIRECT(ADDRESS(1444,8)):INDIRECT(ADDRESS(1444,39)))</f>
        <v>0</v>
      </c>
    </row>
    <row r="1446" spans="1:41">
      <c r="H1446" t="s">
        <v>179</v>
      </c>
      <c r="J1446">
        <f>INDIRECT(ADDRESS(1446,9))+INDIRECT(ADDRESS(1444,10))-INDIRECT(ADDRESS(1445,10))</f>
        <v>0</v>
      </c>
      <c r="K1446">
        <f>INDIRECT(ADDRESS(1446,10))+INDIRECT(ADDRESS(1444,11))-INDIRECT(ADDRESS(1445,11))</f>
        <v>0</v>
      </c>
      <c r="L1446">
        <f>INDIRECT(ADDRESS(1446,11))+INDIRECT(ADDRESS(1444,12))-INDIRECT(ADDRESS(1445,12))</f>
        <v>0</v>
      </c>
      <c r="M1446">
        <f>INDIRECT(ADDRESS(1446,12))+INDIRECT(ADDRESS(1444,13))-INDIRECT(ADDRESS(1445,13))</f>
        <v>0</v>
      </c>
      <c r="N1446">
        <f>INDIRECT(ADDRESS(1446,13))+INDIRECT(ADDRESS(1444,14))-INDIRECT(ADDRESS(1445,14))</f>
        <v>0</v>
      </c>
      <c r="O1446">
        <f>INDIRECT(ADDRESS(1446,14))+INDIRECT(ADDRESS(1444,15))-INDIRECT(ADDRESS(1445,15))</f>
        <v>0</v>
      </c>
      <c r="P1446">
        <f>INDIRECT(ADDRESS(1446,15))+INDIRECT(ADDRESS(1444,16))-INDIRECT(ADDRESS(1445,16))</f>
        <v>0</v>
      </c>
      <c r="Q1446">
        <f>INDIRECT(ADDRESS(1446,16))+INDIRECT(ADDRESS(1444,17))-INDIRECT(ADDRESS(1445,17))</f>
        <v>0</v>
      </c>
      <c r="R1446">
        <f>INDIRECT(ADDRESS(1446,17))+INDIRECT(ADDRESS(1444,18))-INDIRECT(ADDRESS(1445,18))</f>
        <v>0</v>
      </c>
      <c r="S1446">
        <f>INDIRECT(ADDRESS(1446,18))+INDIRECT(ADDRESS(1444,19))-INDIRECT(ADDRESS(1445,19))</f>
        <v>0</v>
      </c>
      <c r="T1446">
        <f>INDIRECT(ADDRESS(1446,19))+INDIRECT(ADDRESS(1444,20))-INDIRECT(ADDRESS(1445,20))</f>
        <v>0</v>
      </c>
      <c r="U1446">
        <f>INDIRECT(ADDRESS(1446,20))+INDIRECT(ADDRESS(1444,21))-INDIRECT(ADDRESS(1445,21))</f>
        <v>0</v>
      </c>
      <c r="V1446">
        <f>INDIRECT(ADDRESS(1446,21))+INDIRECT(ADDRESS(1444,22))-INDIRECT(ADDRESS(1445,22))</f>
        <v>0</v>
      </c>
      <c r="W1446">
        <f>INDIRECT(ADDRESS(1446,22))+INDIRECT(ADDRESS(1444,23))-INDIRECT(ADDRESS(1445,23))</f>
        <v>0</v>
      </c>
      <c r="X1446">
        <f>INDIRECT(ADDRESS(1446,23))+INDIRECT(ADDRESS(1444,24))-INDIRECT(ADDRESS(1445,24))</f>
        <v>0</v>
      </c>
      <c r="Y1446">
        <f>INDIRECT(ADDRESS(1446,24))+INDIRECT(ADDRESS(1444,25))-INDIRECT(ADDRESS(1445,25))</f>
        <v>0</v>
      </c>
      <c r="Z1446">
        <f>INDIRECT(ADDRESS(1446,25))+INDIRECT(ADDRESS(1444,26))-INDIRECT(ADDRESS(1445,26))</f>
        <v>0</v>
      </c>
      <c r="AA1446">
        <f>INDIRECT(ADDRESS(1446,26))+INDIRECT(ADDRESS(1444,27))-INDIRECT(ADDRESS(1445,27))</f>
        <v>0</v>
      </c>
      <c r="AB1446">
        <f>INDIRECT(ADDRESS(1446,27))+INDIRECT(ADDRESS(1444,28))-INDIRECT(ADDRESS(1445,28))</f>
        <v>0</v>
      </c>
      <c r="AC1446">
        <f>INDIRECT(ADDRESS(1446,28))+INDIRECT(ADDRESS(1444,29))-INDIRECT(ADDRESS(1445,29))</f>
        <v>0</v>
      </c>
      <c r="AD1446">
        <f>INDIRECT(ADDRESS(1446,29))+INDIRECT(ADDRESS(1444,30))-INDIRECT(ADDRESS(1445,30))</f>
        <v>0</v>
      </c>
      <c r="AE1446">
        <f>INDIRECT(ADDRESS(1446,30))+INDIRECT(ADDRESS(1444,31))-INDIRECT(ADDRESS(1445,31))</f>
        <v>0</v>
      </c>
      <c r="AF1446">
        <f>INDIRECT(ADDRESS(1446,31))+INDIRECT(ADDRESS(1444,32))-INDIRECT(ADDRESS(1445,32))</f>
        <v>0</v>
      </c>
      <c r="AG1446">
        <f>INDIRECT(ADDRESS(1446,32))+INDIRECT(ADDRESS(1444,33))-INDIRECT(ADDRESS(1445,33))</f>
        <v>0</v>
      </c>
      <c r="AH1446">
        <f>INDIRECT(ADDRESS(1446,33))+INDIRECT(ADDRESS(1444,34))-INDIRECT(ADDRESS(1445,34))</f>
        <v>0</v>
      </c>
      <c r="AI1446">
        <f>INDIRECT(ADDRESS(1446,34))+INDIRECT(ADDRESS(1444,35))-INDIRECT(ADDRESS(1445,35))</f>
        <v>0</v>
      </c>
      <c r="AJ1446">
        <f>INDIRECT(ADDRESS(1446,35))+INDIRECT(ADDRESS(1444,36))-INDIRECT(ADDRESS(1445,36))</f>
        <v>0</v>
      </c>
      <c r="AK1446">
        <f>INDIRECT(ADDRESS(1446,36))+INDIRECT(ADDRESS(1444,37))-INDIRECT(ADDRESS(1445,37))</f>
        <v>0</v>
      </c>
      <c r="AL1446">
        <f>INDIRECT(ADDRESS(1446,37))+INDIRECT(ADDRESS(1444,38))-INDIRECT(ADDRESS(1445,38))</f>
        <v>0</v>
      </c>
      <c r="AM1446">
        <f>INDIRECT(ADDRESS(1446,38))+INDIRECT(ADDRESS(1444,39))-INDIRECT(ADDRESS(1445,39))</f>
        <v>0</v>
      </c>
      <c r="AN1446">
        <f>INDIRECT(ADDRESS(1446,39))+INDIRECT(ADDRESS(1444,40))-INDIRECT(ADDRESS(1445,40))</f>
        <v>0</v>
      </c>
      <c r="AO1446">
        <f>SUM(INDIRECT(ADDRESS(1445,8)):INDIRECT(ADDRESS(1445,39)))</f>
        <v>0</v>
      </c>
    </row>
    <row r="1447" spans="1:41">
      <c r="A1447" t="s">
        <v>180</v>
      </c>
      <c r="B1447" t="s">
        <v>682</v>
      </c>
      <c r="C1447" t="s">
        <v>585</v>
      </c>
      <c r="E1447">
        <v>1</v>
      </c>
      <c r="I1447" t="s">
        <v>177</v>
      </c>
    </row>
    <row r="1448" spans="1:41">
      <c r="I1448" t="s">
        <v>178</v>
      </c>
      <c r="J1448">
        <f>IFERROR(VLOOKUP("906-423348-110",B:AB,1+8,0),0)</f>
        <v>0</v>
      </c>
      <c r="K1448">
        <f>IFERROR(VLOOKUP("906-423348-110",B:AB,2+8,0),0)</f>
        <v>0</v>
      </c>
      <c r="L1448">
        <f>IFERROR(VLOOKUP("906-423348-110",B:AB,3+8,0),0)</f>
        <v>0</v>
      </c>
      <c r="M1448">
        <f>IFERROR(VLOOKUP("906-423348-110",B:AB,4+8,0),0)</f>
        <v>0</v>
      </c>
      <c r="N1448">
        <f>IFERROR(VLOOKUP("906-423348-110",B:AB,5+8,0),0)</f>
        <v>0</v>
      </c>
      <c r="O1448">
        <f>IFERROR(VLOOKUP("906-423348-110",B:AB,6+8,0),0)</f>
        <v>0</v>
      </c>
      <c r="P1448">
        <f>IFERROR(VLOOKUP("906-423348-110",B:AB,7+8,0),0)</f>
        <v>0</v>
      </c>
      <c r="Q1448">
        <f>IFERROR(VLOOKUP("906-423348-110",B:AB,8+8,0),0)</f>
        <v>0</v>
      </c>
      <c r="R1448">
        <f>IFERROR(VLOOKUP("906-423348-110",B:AB,9+8,0),0)</f>
        <v>0</v>
      </c>
      <c r="S1448">
        <f>IFERROR(VLOOKUP("906-423348-110",B:AB,10+8,0),0)</f>
        <v>0</v>
      </c>
      <c r="T1448">
        <f>IFERROR(VLOOKUP("906-423348-110",B:AB,11+8,0),0)</f>
        <v>0</v>
      </c>
      <c r="U1448">
        <f>IFERROR(VLOOKUP("906-423348-110",B:AB,12+8,0),0)</f>
        <v>0</v>
      </c>
      <c r="V1448">
        <f>IFERROR(VLOOKUP("906-423348-110",B:AB,13+8,0),0)</f>
        <v>0</v>
      </c>
      <c r="W1448">
        <f>IFERROR(VLOOKUP("906-423348-110",B:AB,14+8,0),0)</f>
        <v>0</v>
      </c>
      <c r="X1448">
        <f>IFERROR(VLOOKUP("906-423348-110",B:AB,15+8,0),0)</f>
        <v>0</v>
      </c>
      <c r="Y1448">
        <f>IFERROR(VLOOKUP("906-423348-110",B:AB,16+8,0),0)</f>
        <v>0</v>
      </c>
      <c r="Z1448">
        <f>IFERROR(VLOOKUP("906-423348-110",B:AB,17+8,0),0)</f>
        <v>0</v>
      </c>
      <c r="AA1448">
        <f>IFERROR(VLOOKUP("906-423348-110",B:AB,18+8,0),0)</f>
        <v>0</v>
      </c>
      <c r="AB1448">
        <f>IFERROR(VLOOKUP("906-423348-110",B:AB,19+8,0),0)</f>
        <v>0</v>
      </c>
      <c r="AC1448">
        <f>IFERROR(VLOOKUP("906-423348-110",B:AB,20+8,0),0)</f>
        <v>0</v>
      </c>
      <c r="AD1448">
        <f>IFERROR(VLOOKUP("906-423348-110",B:AB,21+8,0),0)</f>
        <v>0</v>
      </c>
      <c r="AE1448">
        <f>IFERROR(VLOOKUP("906-423348-110",B:AB,22+8,0),0)</f>
        <v>0</v>
      </c>
      <c r="AF1448">
        <f>IFERROR(VLOOKUP("906-423348-110",B:AB,23+8,0),0)</f>
        <v>0</v>
      </c>
      <c r="AG1448">
        <f>IFERROR(VLOOKUP("906-423348-110",B:AB,24+8,0),0)</f>
        <v>0</v>
      </c>
      <c r="AH1448">
        <f>IFERROR(VLOOKUP("906-423348-110",B:AB,25+8,0),0)</f>
        <v>0</v>
      </c>
      <c r="AI1448">
        <f>IFERROR(VLOOKUP("906-423348-110",B:AB,26+8,0),0)</f>
        <v>0</v>
      </c>
      <c r="AJ1448">
        <f>IFERROR(VLOOKUP("906-423348-110",B:AB,27+8,0),0)</f>
        <v>0</v>
      </c>
      <c r="AK1448">
        <f>IFERROR(VLOOKUP("906-423348-110",B:AB,28+8,0),0)</f>
        <v>0</v>
      </c>
      <c r="AL1448">
        <f>IFERROR(VLOOKUP("906-423348-110",B:AB,29+8,0),0)</f>
        <v>0</v>
      </c>
      <c r="AM1448">
        <f>IFERROR(VLOOKUP("906-423348-110",B:AB,30+8,0),0)</f>
        <v>0</v>
      </c>
      <c r="AN1448">
        <f>IFERROR(VLOOKUP("906-423348-110",B:AB,31+8,0),0)</f>
        <v>0</v>
      </c>
      <c r="AO1448">
        <f>SUN(INDIRECT(ADDRESS(1447,8)):INDIRECT(ADDRESS(1447,39)))</f>
        <v>0</v>
      </c>
    </row>
    <row r="1449" spans="1:41">
      <c r="H1449" t="s">
        <v>179</v>
      </c>
      <c r="J1449">
        <f>INDIRECT(ADDRESS(1449,9))+INDIRECT(ADDRESS(1447,10))-INDIRECT(ADDRESS(1448,10))</f>
        <v>0</v>
      </c>
      <c r="K1449">
        <f>INDIRECT(ADDRESS(1449,10))+INDIRECT(ADDRESS(1447,11))-INDIRECT(ADDRESS(1448,11))</f>
        <v>0</v>
      </c>
      <c r="L1449">
        <f>INDIRECT(ADDRESS(1449,11))+INDIRECT(ADDRESS(1447,12))-INDIRECT(ADDRESS(1448,12))</f>
        <v>0</v>
      </c>
      <c r="M1449">
        <f>INDIRECT(ADDRESS(1449,12))+INDIRECT(ADDRESS(1447,13))-INDIRECT(ADDRESS(1448,13))</f>
        <v>0</v>
      </c>
      <c r="N1449">
        <f>INDIRECT(ADDRESS(1449,13))+INDIRECT(ADDRESS(1447,14))-INDIRECT(ADDRESS(1448,14))</f>
        <v>0</v>
      </c>
      <c r="O1449">
        <f>INDIRECT(ADDRESS(1449,14))+INDIRECT(ADDRESS(1447,15))-INDIRECT(ADDRESS(1448,15))</f>
        <v>0</v>
      </c>
      <c r="P1449">
        <f>INDIRECT(ADDRESS(1449,15))+INDIRECT(ADDRESS(1447,16))-INDIRECT(ADDRESS(1448,16))</f>
        <v>0</v>
      </c>
      <c r="Q1449">
        <f>INDIRECT(ADDRESS(1449,16))+INDIRECT(ADDRESS(1447,17))-INDIRECT(ADDRESS(1448,17))</f>
        <v>0</v>
      </c>
      <c r="R1449">
        <f>INDIRECT(ADDRESS(1449,17))+INDIRECT(ADDRESS(1447,18))-INDIRECT(ADDRESS(1448,18))</f>
        <v>0</v>
      </c>
      <c r="S1449">
        <f>INDIRECT(ADDRESS(1449,18))+INDIRECT(ADDRESS(1447,19))-INDIRECT(ADDRESS(1448,19))</f>
        <v>0</v>
      </c>
      <c r="T1449">
        <f>INDIRECT(ADDRESS(1449,19))+INDIRECT(ADDRESS(1447,20))-INDIRECT(ADDRESS(1448,20))</f>
        <v>0</v>
      </c>
      <c r="U1449">
        <f>INDIRECT(ADDRESS(1449,20))+INDIRECT(ADDRESS(1447,21))-INDIRECT(ADDRESS(1448,21))</f>
        <v>0</v>
      </c>
      <c r="V1449">
        <f>INDIRECT(ADDRESS(1449,21))+INDIRECT(ADDRESS(1447,22))-INDIRECT(ADDRESS(1448,22))</f>
        <v>0</v>
      </c>
      <c r="W1449">
        <f>INDIRECT(ADDRESS(1449,22))+INDIRECT(ADDRESS(1447,23))-INDIRECT(ADDRESS(1448,23))</f>
        <v>0</v>
      </c>
      <c r="X1449">
        <f>INDIRECT(ADDRESS(1449,23))+INDIRECT(ADDRESS(1447,24))-INDIRECT(ADDRESS(1448,24))</f>
        <v>0</v>
      </c>
      <c r="Y1449">
        <f>INDIRECT(ADDRESS(1449,24))+INDIRECT(ADDRESS(1447,25))-INDIRECT(ADDRESS(1448,25))</f>
        <v>0</v>
      </c>
      <c r="Z1449">
        <f>INDIRECT(ADDRESS(1449,25))+INDIRECT(ADDRESS(1447,26))-INDIRECT(ADDRESS(1448,26))</f>
        <v>0</v>
      </c>
      <c r="AA1449">
        <f>INDIRECT(ADDRESS(1449,26))+INDIRECT(ADDRESS(1447,27))-INDIRECT(ADDRESS(1448,27))</f>
        <v>0</v>
      </c>
      <c r="AB1449">
        <f>INDIRECT(ADDRESS(1449,27))+INDIRECT(ADDRESS(1447,28))-INDIRECT(ADDRESS(1448,28))</f>
        <v>0</v>
      </c>
      <c r="AC1449">
        <f>INDIRECT(ADDRESS(1449,28))+INDIRECT(ADDRESS(1447,29))-INDIRECT(ADDRESS(1448,29))</f>
        <v>0</v>
      </c>
      <c r="AD1449">
        <f>INDIRECT(ADDRESS(1449,29))+INDIRECT(ADDRESS(1447,30))-INDIRECT(ADDRESS(1448,30))</f>
        <v>0</v>
      </c>
      <c r="AE1449">
        <f>INDIRECT(ADDRESS(1449,30))+INDIRECT(ADDRESS(1447,31))-INDIRECT(ADDRESS(1448,31))</f>
        <v>0</v>
      </c>
      <c r="AF1449">
        <f>INDIRECT(ADDRESS(1449,31))+INDIRECT(ADDRESS(1447,32))-INDIRECT(ADDRESS(1448,32))</f>
        <v>0</v>
      </c>
      <c r="AG1449">
        <f>INDIRECT(ADDRESS(1449,32))+INDIRECT(ADDRESS(1447,33))-INDIRECT(ADDRESS(1448,33))</f>
        <v>0</v>
      </c>
      <c r="AH1449">
        <f>INDIRECT(ADDRESS(1449,33))+INDIRECT(ADDRESS(1447,34))-INDIRECT(ADDRESS(1448,34))</f>
        <v>0</v>
      </c>
      <c r="AI1449">
        <f>INDIRECT(ADDRESS(1449,34))+INDIRECT(ADDRESS(1447,35))-INDIRECT(ADDRESS(1448,35))</f>
        <v>0</v>
      </c>
      <c r="AJ1449">
        <f>INDIRECT(ADDRESS(1449,35))+INDIRECT(ADDRESS(1447,36))-INDIRECT(ADDRESS(1448,36))</f>
        <v>0</v>
      </c>
      <c r="AK1449">
        <f>INDIRECT(ADDRESS(1449,36))+INDIRECT(ADDRESS(1447,37))-INDIRECT(ADDRESS(1448,37))</f>
        <v>0</v>
      </c>
      <c r="AL1449">
        <f>INDIRECT(ADDRESS(1449,37))+INDIRECT(ADDRESS(1447,38))-INDIRECT(ADDRESS(1448,38))</f>
        <v>0</v>
      </c>
      <c r="AM1449">
        <f>INDIRECT(ADDRESS(1449,38))+INDIRECT(ADDRESS(1447,39))-INDIRECT(ADDRESS(1448,39))</f>
        <v>0</v>
      </c>
      <c r="AN1449">
        <f>INDIRECT(ADDRESS(1449,39))+INDIRECT(ADDRESS(1447,40))-INDIRECT(ADDRESS(1448,40))</f>
        <v>0</v>
      </c>
      <c r="AO1449">
        <f>SUM(INDIRECT(ADDRESS(1448,8)):INDIRECT(ADDRESS(1448,39)))</f>
        <v>0</v>
      </c>
    </row>
    <row r="1450" spans="1:41">
      <c r="A1450" t="s">
        <v>180</v>
      </c>
      <c r="B1450" t="s">
        <v>683</v>
      </c>
      <c r="C1450" t="s">
        <v>669</v>
      </c>
      <c r="E1450">
        <v>1</v>
      </c>
      <c r="I1450" t="s">
        <v>177</v>
      </c>
    </row>
    <row r="1451" spans="1:41">
      <c r="I1451" t="s">
        <v>178</v>
      </c>
      <c r="J1451">
        <f>IFERROR(VLOOKUP("906-423348-110",B:AB,1+8,0),0)</f>
        <v>0</v>
      </c>
      <c r="K1451">
        <f>IFERROR(VLOOKUP("906-423348-110",B:AB,2+8,0),0)</f>
        <v>0</v>
      </c>
      <c r="L1451">
        <f>IFERROR(VLOOKUP("906-423348-110",B:AB,3+8,0),0)</f>
        <v>0</v>
      </c>
      <c r="M1451">
        <f>IFERROR(VLOOKUP("906-423348-110",B:AB,4+8,0),0)</f>
        <v>0</v>
      </c>
      <c r="N1451">
        <f>IFERROR(VLOOKUP("906-423348-110",B:AB,5+8,0),0)</f>
        <v>0</v>
      </c>
      <c r="O1451">
        <f>IFERROR(VLOOKUP("906-423348-110",B:AB,6+8,0),0)</f>
        <v>0</v>
      </c>
      <c r="P1451">
        <f>IFERROR(VLOOKUP("906-423348-110",B:AB,7+8,0),0)</f>
        <v>0</v>
      </c>
      <c r="Q1451">
        <f>IFERROR(VLOOKUP("906-423348-110",B:AB,8+8,0),0)</f>
        <v>0</v>
      </c>
      <c r="R1451">
        <f>IFERROR(VLOOKUP("906-423348-110",B:AB,9+8,0),0)</f>
        <v>0</v>
      </c>
      <c r="S1451">
        <f>IFERROR(VLOOKUP("906-423348-110",B:AB,10+8,0),0)</f>
        <v>0</v>
      </c>
      <c r="T1451">
        <f>IFERROR(VLOOKUP("906-423348-110",B:AB,11+8,0),0)</f>
        <v>0</v>
      </c>
      <c r="U1451">
        <f>IFERROR(VLOOKUP("906-423348-110",B:AB,12+8,0),0)</f>
        <v>0</v>
      </c>
      <c r="V1451">
        <f>IFERROR(VLOOKUP("906-423348-110",B:AB,13+8,0),0)</f>
        <v>0</v>
      </c>
      <c r="W1451">
        <f>IFERROR(VLOOKUP("906-423348-110",B:AB,14+8,0),0)</f>
        <v>0</v>
      </c>
      <c r="X1451">
        <f>IFERROR(VLOOKUP("906-423348-110",B:AB,15+8,0),0)</f>
        <v>0</v>
      </c>
      <c r="Y1451">
        <f>IFERROR(VLOOKUP("906-423348-110",B:AB,16+8,0),0)</f>
        <v>0</v>
      </c>
      <c r="Z1451">
        <f>IFERROR(VLOOKUP("906-423348-110",B:AB,17+8,0),0)</f>
        <v>0</v>
      </c>
      <c r="AA1451">
        <f>IFERROR(VLOOKUP("906-423348-110",B:AB,18+8,0),0)</f>
        <v>0</v>
      </c>
      <c r="AB1451">
        <f>IFERROR(VLOOKUP("906-423348-110",B:AB,19+8,0),0)</f>
        <v>0</v>
      </c>
      <c r="AC1451">
        <f>IFERROR(VLOOKUP("906-423348-110",B:AB,20+8,0),0)</f>
        <v>0</v>
      </c>
      <c r="AD1451">
        <f>IFERROR(VLOOKUP("906-423348-110",B:AB,21+8,0),0)</f>
        <v>0</v>
      </c>
      <c r="AE1451">
        <f>IFERROR(VLOOKUP("906-423348-110",B:AB,22+8,0),0)</f>
        <v>0</v>
      </c>
      <c r="AF1451">
        <f>IFERROR(VLOOKUP("906-423348-110",B:AB,23+8,0),0)</f>
        <v>0</v>
      </c>
      <c r="AG1451">
        <f>IFERROR(VLOOKUP("906-423348-110",B:AB,24+8,0),0)</f>
        <v>0</v>
      </c>
      <c r="AH1451">
        <f>IFERROR(VLOOKUP("906-423348-110",B:AB,25+8,0),0)</f>
        <v>0</v>
      </c>
      <c r="AI1451">
        <f>IFERROR(VLOOKUP("906-423348-110",B:AB,26+8,0),0)</f>
        <v>0</v>
      </c>
      <c r="AJ1451">
        <f>IFERROR(VLOOKUP("906-423348-110",B:AB,27+8,0),0)</f>
        <v>0</v>
      </c>
      <c r="AK1451">
        <f>IFERROR(VLOOKUP("906-423348-110",B:AB,28+8,0),0)</f>
        <v>0</v>
      </c>
      <c r="AL1451">
        <f>IFERROR(VLOOKUP("906-423348-110",B:AB,29+8,0),0)</f>
        <v>0</v>
      </c>
      <c r="AM1451">
        <f>IFERROR(VLOOKUP("906-423348-110",B:AB,30+8,0),0)</f>
        <v>0</v>
      </c>
      <c r="AN1451">
        <f>IFERROR(VLOOKUP("906-423348-110",B:AB,31+8,0),0)</f>
        <v>0</v>
      </c>
      <c r="AO1451">
        <f>SUN(INDIRECT(ADDRESS(1450,8)):INDIRECT(ADDRESS(1450,39)))</f>
        <v>0</v>
      </c>
    </row>
    <row r="1452" spans="1:41">
      <c r="H1452" t="s">
        <v>179</v>
      </c>
      <c r="J1452">
        <f>INDIRECT(ADDRESS(1452,9))+INDIRECT(ADDRESS(1450,10))-INDIRECT(ADDRESS(1451,10))</f>
        <v>0</v>
      </c>
      <c r="K1452">
        <f>INDIRECT(ADDRESS(1452,10))+INDIRECT(ADDRESS(1450,11))-INDIRECT(ADDRESS(1451,11))</f>
        <v>0</v>
      </c>
      <c r="L1452">
        <f>INDIRECT(ADDRESS(1452,11))+INDIRECT(ADDRESS(1450,12))-INDIRECT(ADDRESS(1451,12))</f>
        <v>0</v>
      </c>
      <c r="M1452">
        <f>INDIRECT(ADDRESS(1452,12))+INDIRECT(ADDRESS(1450,13))-INDIRECT(ADDRESS(1451,13))</f>
        <v>0</v>
      </c>
      <c r="N1452">
        <f>INDIRECT(ADDRESS(1452,13))+INDIRECT(ADDRESS(1450,14))-INDIRECT(ADDRESS(1451,14))</f>
        <v>0</v>
      </c>
      <c r="O1452">
        <f>INDIRECT(ADDRESS(1452,14))+INDIRECT(ADDRESS(1450,15))-INDIRECT(ADDRESS(1451,15))</f>
        <v>0</v>
      </c>
      <c r="P1452">
        <f>INDIRECT(ADDRESS(1452,15))+INDIRECT(ADDRESS(1450,16))-INDIRECT(ADDRESS(1451,16))</f>
        <v>0</v>
      </c>
      <c r="Q1452">
        <f>INDIRECT(ADDRESS(1452,16))+INDIRECT(ADDRESS(1450,17))-INDIRECT(ADDRESS(1451,17))</f>
        <v>0</v>
      </c>
      <c r="R1452">
        <f>INDIRECT(ADDRESS(1452,17))+INDIRECT(ADDRESS(1450,18))-INDIRECT(ADDRESS(1451,18))</f>
        <v>0</v>
      </c>
      <c r="S1452">
        <f>INDIRECT(ADDRESS(1452,18))+INDIRECT(ADDRESS(1450,19))-INDIRECT(ADDRESS(1451,19))</f>
        <v>0</v>
      </c>
      <c r="T1452">
        <f>INDIRECT(ADDRESS(1452,19))+INDIRECT(ADDRESS(1450,20))-INDIRECT(ADDRESS(1451,20))</f>
        <v>0</v>
      </c>
      <c r="U1452">
        <f>INDIRECT(ADDRESS(1452,20))+INDIRECT(ADDRESS(1450,21))-INDIRECT(ADDRESS(1451,21))</f>
        <v>0</v>
      </c>
      <c r="V1452">
        <f>INDIRECT(ADDRESS(1452,21))+INDIRECT(ADDRESS(1450,22))-INDIRECT(ADDRESS(1451,22))</f>
        <v>0</v>
      </c>
      <c r="W1452">
        <f>INDIRECT(ADDRESS(1452,22))+INDIRECT(ADDRESS(1450,23))-INDIRECT(ADDRESS(1451,23))</f>
        <v>0</v>
      </c>
      <c r="X1452">
        <f>INDIRECT(ADDRESS(1452,23))+INDIRECT(ADDRESS(1450,24))-INDIRECT(ADDRESS(1451,24))</f>
        <v>0</v>
      </c>
      <c r="Y1452">
        <f>INDIRECT(ADDRESS(1452,24))+INDIRECT(ADDRESS(1450,25))-INDIRECT(ADDRESS(1451,25))</f>
        <v>0</v>
      </c>
      <c r="Z1452">
        <f>INDIRECT(ADDRESS(1452,25))+INDIRECT(ADDRESS(1450,26))-INDIRECT(ADDRESS(1451,26))</f>
        <v>0</v>
      </c>
      <c r="AA1452">
        <f>INDIRECT(ADDRESS(1452,26))+INDIRECT(ADDRESS(1450,27))-INDIRECT(ADDRESS(1451,27))</f>
        <v>0</v>
      </c>
      <c r="AB1452">
        <f>INDIRECT(ADDRESS(1452,27))+INDIRECT(ADDRESS(1450,28))-INDIRECT(ADDRESS(1451,28))</f>
        <v>0</v>
      </c>
      <c r="AC1452">
        <f>INDIRECT(ADDRESS(1452,28))+INDIRECT(ADDRESS(1450,29))-INDIRECT(ADDRESS(1451,29))</f>
        <v>0</v>
      </c>
      <c r="AD1452">
        <f>INDIRECT(ADDRESS(1452,29))+INDIRECT(ADDRESS(1450,30))-INDIRECT(ADDRESS(1451,30))</f>
        <v>0</v>
      </c>
      <c r="AE1452">
        <f>INDIRECT(ADDRESS(1452,30))+INDIRECT(ADDRESS(1450,31))-INDIRECT(ADDRESS(1451,31))</f>
        <v>0</v>
      </c>
      <c r="AF1452">
        <f>INDIRECT(ADDRESS(1452,31))+INDIRECT(ADDRESS(1450,32))-INDIRECT(ADDRESS(1451,32))</f>
        <v>0</v>
      </c>
      <c r="AG1452">
        <f>INDIRECT(ADDRESS(1452,32))+INDIRECT(ADDRESS(1450,33))-INDIRECT(ADDRESS(1451,33))</f>
        <v>0</v>
      </c>
      <c r="AH1452">
        <f>INDIRECT(ADDRESS(1452,33))+INDIRECT(ADDRESS(1450,34))-INDIRECT(ADDRESS(1451,34))</f>
        <v>0</v>
      </c>
      <c r="AI1452">
        <f>INDIRECT(ADDRESS(1452,34))+INDIRECT(ADDRESS(1450,35))-INDIRECT(ADDRESS(1451,35))</f>
        <v>0</v>
      </c>
      <c r="AJ1452">
        <f>INDIRECT(ADDRESS(1452,35))+INDIRECT(ADDRESS(1450,36))-INDIRECT(ADDRESS(1451,36))</f>
        <v>0</v>
      </c>
      <c r="AK1452">
        <f>INDIRECT(ADDRESS(1452,36))+INDIRECT(ADDRESS(1450,37))-INDIRECT(ADDRESS(1451,37))</f>
        <v>0</v>
      </c>
      <c r="AL1452">
        <f>INDIRECT(ADDRESS(1452,37))+INDIRECT(ADDRESS(1450,38))-INDIRECT(ADDRESS(1451,38))</f>
        <v>0</v>
      </c>
      <c r="AM1452">
        <f>INDIRECT(ADDRESS(1452,38))+INDIRECT(ADDRESS(1450,39))-INDIRECT(ADDRESS(1451,39))</f>
        <v>0</v>
      </c>
      <c r="AN1452">
        <f>INDIRECT(ADDRESS(1452,39))+INDIRECT(ADDRESS(1450,40))-INDIRECT(ADDRESS(1451,40))</f>
        <v>0</v>
      </c>
      <c r="AO1452">
        <f>SUM(INDIRECT(ADDRESS(1451,8)):INDIRECT(ADDRESS(1451,39)))</f>
        <v>0</v>
      </c>
    </row>
    <row r="1453" spans="1:41">
      <c r="A1453" t="s">
        <v>185</v>
      </c>
      <c r="B1453" t="s">
        <v>592</v>
      </c>
      <c r="C1453" t="s">
        <v>711</v>
      </c>
      <c r="E1453">
        <v>1</v>
      </c>
      <c r="I1453" t="s">
        <v>177</v>
      </c>
    </row>
    <row r="1454" spans="1:41">
      <c r="I1454" t="s">
        <v>178</v>
      </c>
      <c r="J1454">
        <f>IFERROR(VLOOKUP("906-423348-110",B:AB,1+8,0),0)</f>
        <v>0</v>
      </c>
      <c r="K1454">
        <f>IFERROR(VLOOKUP("906-423348-110",B:AB,2+8,0),0)</f>
        <v>0</v>
      </c>
      <c r="L1454">
        <f>IFERROR(VLOOKUP("906-423348-110",B:AB,3+8,0),0)</f>
        <v>0</v>
      </c>
      <c r="M1454">
        <f>IFERROR(VLOOKUP("906-423348-110",B:AB,4+8,0),0)</f>
        <v>0</v>
      </c>
      <c r="N1454">
        <f>IFERROR(VLOOKUP("906-423348-110",B:AB,5+8,0),0)</f>
        <v>0</v>
      </c>
      <c r="O1454">
        <f>IFERROR(VLOOKUP("906-423348-110",B:AB,6+8,0),0)</f>
        <v>0</v>
      </c>
      <c r="P1454">
        <f>IFERROR(VLOOKUP("906-423348-110",B:AB,7+8,0),0)</f>
        <v>0</v>
      </c>
      <c r="Q1454">
        <f>IFERROR(VLOOKUP("906-423348-110",B:AB,8+8,0),0)</f>
        <v>0</v>
      </c>
      <c r="R1454">
        <f>IFERROR(VLOOKUP("906-423348-110",B:AB,9+8,0),0)</f>
        <v>0</v>
      </c>
      <c r="S1454">
        <f>IFERROR(VLOOKUP("906-423348-110",B:AB,10+8,0),0)</f>
        <v>0</v>
      </c>
      <c r="T1454">
        <f>IFERROR(VLOOKUP("906-423348-110",B:AB,11+8,0),0)</f>
        <v>0</v>
      </c>
      <c r="U1454">
        <f>IFERROR(VLOOKUP("906-423348-110",B:AB,12+8,0),0)</f>
        <v>0</v>
      </c>
      <c r="V1454">
        <f>IFERROR(VLOOKUP("906-423348-110",B:AB,13+8,0),0)</f>
        <v>0</v>
      </c>
      <c r="W1454">
        <f>IFERROR(VLOOKUP("906-423348-110",B:AB,14+8,0),0)</f>
        <v>0</v>
      </c>
      <c r="X1454">
        <f>IFERROR(VLOOKUP("906-423348-110",B:AB,15+8,0),0)</f>
        <v>0</v>
      </c>
      <c r="Y1454">
        <f>IFERROR(VLOOKUP("906-423348-110",B:AB,16+8,0),0)</f>
        <v>0</v>
      </c>
      <c r="Z1454">
        <f>IFERROR(VLOOKUP("906-423348-110",B:AB,17+8,0),0)</f>
        <v>0</v>
      </c>
      <c r="AA1454">
        <f>IFERROR(VLOOKUP("906-423348-110",B:AB,18+8,0),0)</f>
        <v>0</v>
      </c>
      <c r="AB1454">
        <f>IFERROR(VLOOKUP("906-423348-110",B:AB,19+8,0),0)</f>
        <v>0</v>
      </c>
      <c r="AC1454">
        <f>IFERROR(VLOOKUP("906-423348-110",B:AB,20+8,0),0)</f>
        <v>0</v>
      </c>
      <c r="AD1454">
        <f>IFERROR(VLOOKUP("906-423348-110",B:AB,21+8,0),0)</f>
        <v>0</v>
      </c>
      <c r="AE1454">
        <f>IFERROR(VLOOKUP("906-423348-110",B:AB,22+8,0),0)</f>
        <v>0</v>
      </c>
      <c r="AF1454">
        <f>IFERROR(VLOOKUP("906-423348-110",B:AB,23+8,0),0)</f>
        <v>0</v>
      </c>
      <c r="AG1454">
        <f>IFERROR(VLOOKUP("906-423348-110",B:AB,24+8,0),0)</f>
        <v>0</v>
      </c>
      <c r="AH1454">
        <f>IFERROR(VLOOKUP("906-423348-110",B:AB,25+8,0),0)</f>
        <v>0</v>
      </c>
      <c r="AI1454">
        <f>IFERROR(VLOOKUP("906-423348-110",B:AB,26+8,0),0)</f>
        <v>0</v>
      </c>
      <c r="AJ1454">
        <f>IFERROR(VLOOKUP("906-423348-110",B:AB,27+8,0),0)</f>
        <v>0</v>
      </c>
      <c r="AK1454">
        <f>IFERROR(VLOOKUP("906-423348-110",B:AB,28+8,0),0)</f>
        <v>0</v>
      </c>
      <c r="AL1454">
        <f>IFERROR(VLOOKUP("906-423348-110",B:AB,29+8,0),0)</f>
        <v>0</v>
      </c>
      <c r="AM1454">
        <f>IFERROR(VLOOKUP("906-423348-110",B:AB,30+8,0),0)</f>
        <v>0</v>
      </c>
      <c r="AN1454">
        <f>IFERROR(VLOOKUP("906-423348-110",B:AB,31+8,0),0)</f>
        <v>0</v>
      </c>
      <c r="AO1454">
        <f>SUN(INDIRECT(ADDRESS(1453,8)):INDIRECT(ADDRESS(1453,39)))</f>
        <v>0</v>
      </c>
    </row>
    <row r="1455" spans="1:41">
      <c r="H1455" t="s">
        <v>179</v>
      </c>
      <c r="J1455">
        <f>INDIRECT(ADDRESS(1455,9))+INDIRECT(ADDRESS(1453,10))-INDIRECT(ADDRESS(1454,10))</f>
        <v>0</v>
      </c>
      <c r="K1455">
        <f>INDIRECT(ADDRESS(1455,10))+INDIRECT(ADDRESS(1453,11))-INDIRECT(ADDRESS(1454,11))</f>
        <v>0</v>
      </c>
      <c r="L1455">
        <f>INDIRECT(ADDRESS(1455,11))+INDIRECT(ADDRESS(1453,12))-INDIRECT(ADDRESS(1454,12))</f>
        <v>0</v>
      </c>
      <c r="M1455">
        <f>INDIRECT(ADDRESS(1455,12))+INDIRECT(ADDRESS(1453,13))-INDIRECT(ADDRESS(1454,13))</f>
        <v>0</v>
      </c>
      <c r="N1455">
        <f>INDIRECT(ADDRESS(1455,13))+INDIRECT(ADDRESS(1453,14))-INDIRECT(ADDRESS(1454,14))</f>
        <v>0</v>
      </c>
      <c r="O1455">
        <f>INDIRECT(ADDRESS(1455,14))+INDIRECT(ADDRESS(1453,15))-INDIRECT(ADDRESS(1454,15))</f>
        <v>0</v>
      </c>
      <c r="P1455">
        <f>INDIRECT(ADDRESS(1455,15))+INDIRECT(ADDRESS(1453,16))-INDIRECT(ADDRESS(1454,16))</f>
        <v>0</v>
      </c>
      <c r="Q1455">
        <f>INDIRECT(ADDRESS(1455,16))+INDIRECT(ADDRESS(1453,17))-INDIRECT(ADDRESS(1454,17))</f>
        <v>0</v>
      </c>
      <c r="R1455">
        <f>INDIRECT(ADDRESS(1455,17))+INDIRECT(ADDRESS(1453,18))-INDIRECT(ADDRESS(1454,18))</f>
        <v>0</v>
      </c>
      <c r="S1455">
        <f>INDIRECT(ADDRESS(1455,18))+INDIRECT(ADDRESS(1453,19))-INDIRECT(ADDRESS(1454,19))</f>
        <v>0</v>
      </c>
      <c r="T1455">
        <f>INDIRECT(ADDRESS(1455,19))+INDIRECT(ADDRESS(1453,20))-INDIRECT(ADDRESS(1454,20))</f>
        <v>0</v>
      </c>
      <c r="U1455">
        <f>INDIRECT(ADDRESS(1455,20))+INDIRECT(ADDRESS(1453,21))-INDIRECT(ADDRESS(1454,21))</f>
        <v>0</v>
      </c>
      <c r="V1455">
        <f>INDIRECT(ADDRESS(1455,21))+INDIRECT(ADDRESS(1453,22))-INDIRECT(ADDRESS(1454,22))</f>
        <v>0</v>
      </c>
      <c r="W1455">
        <f>INDIRECT(ADDRESS(1455,22))+INDIRECT(ADDRESS(1453,23))-INDIRECT(ADDRESS(1454,23))</f>
        <v>0</v>
      </c>
      <c r="X1455">
        <f>INDIRECT(ADDRESS(1455,23))+INDIRECT(ADDRESS(1453,24))-INDIRECT(ADDRESS(1454,24))</f>
        <v>0</v>
      </c>
      <c r="Y1455">
        <f>INDIRECT(ADDRESS(1455,24))+INDIRECT(ADDRESS(1453,25))-INDIRECT(ADDRESS(1454,25))</f>
        <v>0</v>
      </c>
      <c r="Z1455">
        <f>INDIRECT(ADDRESS(1455,25))+INDIRECT(ADDRESS(1453,26))-INDIRECT(ADDRESS(1454,26))</f>
        <v>0</v>
      </c>
      <c r="AA1455">
        <f>INDIRECT(ADDRESS(1455,26))+INDIRECT(ADDRESS(1453,27))-INDIRECT(ADDRESS(1454,27))</f>
        <v>0</v>
      </c>
      <c r="AB1455">
        <f>INDIRECT(ADDRESS(1455,27))+INDIRECT(ADDRESS(1453,28))-INDIRECT(ADDRESS(1454,28))</f>
        <v>0</v>
      </c>
      <c r="AC1455">
        <f>INDIRECT(ADDRESS(1455,28))+INDIRECT(ADDRESS(1453,29))-INDIRECT(ADDRESS(1454,29))</f>
        <v>0</v>
      </c>
      <c r="AD1455">
        <f>INDIRECT(ADDRESS(1455,29))+INDIRECT(ADDRESS(1453,30))-INDIRECT(ADDRESS(1454,30))</f>
        <v>0</v>
      </c>
      <c r="AE1455">
        <f>INDIRECT(ADDRESS(1455,30))+INDIRECT(ADDRESS(1453,31))-INDIRECT(ADDRESS(1454,31))</f>
        <v>0</v>
      </c>
      <c r="AF1455">
        <f>INDIRECT(ADDRESS(1455,31))+INDIRECT(ADDRESS(1453,32))-INDIRECT(ADDRESS(1454,32))</f>
        <v>0</v>
      </c>
      <c r="AG1455">
        <f>INDIRECT(ADDRESS(1455,32))+INDIRECT(ADDRESS(1453,33))-INDIRECT(ADDRESS(1454,33))</f>
        <v>0</v>
      </c>
      <c r="AH1455">
        <f>INDIRECT(ADDRESS(1455,33))+INDIRECT(ADDRESS(1453,34))-INDIRECT(ADDRESS(1454,34))</f>
        <v>0</v>
      </c>
      <c r="AI1455">
        <f>INDIRECT(ADDRESS(1455,34))+INDIRECT(ADDRESS(1453,35))-INDIRECT(ADDRESS(1454,35))</f>
        <v>0</v>
      </c>
      <c r="AJ1455">
        <f>INDIRECT(ADDRESS(1455,35))+INDIRECT(ADDRESS(1453,36))-INDIRECT(ADDRESS(1454,36))</f>
        <v>0</v>
      </c>
      <c r="AK1455">
        <f>INDIRECT(ADDRESS(1455,36))+INDIRECT(ADDRESS(1453,37))-INDIRECT(ADDRESS(1454,37))</f>
        <v>0</v>
      </c>
      <c r="AL1455">
        <f>INDIRECT(ADDRESS(1455,37))+INDIRECT(ADDRESS(1453,38))-INDIRECT(ADDRESS(1454,38))</f>
        <v>0</v>
      </c>
      <c r="AM1455">
        <f>INDIRECT(ADDRESS(1455,38))+INDIRECT(ADDRESS(1453,39))-INDIRECT(ADDRESS(1454,39))</f>
        <v>0</v>
      </c>
      <c r="AN1455">
        <f>INDIRECT(ADDRESS(1455,39))+INDIRECT(ADDRESS(1453,40))-INDIRECT(ADDRESS(1454,40))</f>
        <v>0</v>
      </c>
      <c r="AO1455">
        <f>SUM(INDIRECT(ADDRESS(1454,8)):INDIRECT(ADDRESS(1454,39)))</f>
        <v>0</v>
      </c>
    </row>
    <row r="1456" spans="1:41">
      <c r="A1456" t="s">
        <v>185</v>
      </c>
      <c r="B1456" t="s">
        <v>684</v>
      </c>
      <c r="C1456" t="s">
        <v>712</v>
      </c>
      <c r="E1456">
        <v>1</v>
      </c>
      <c r="I1456" t="s">
        <v>177</v>
      </c>
    </row>
    <row r="1457" spans="1:41">
      <c r="I1457" t="s">
        <v>178</v>
      </c>
      <c r="J1457">
        <f>IFERROR(VLOOKUP("906-423348-110",B:AB,1+8,0),0)</f>
        <v>0</v>
      </c>
      <c r="K1457">
        <f>IFERROR(VLOOKUP("906-423348-110",B:AB,2+8,0),0)</f>
        <v>0</v>
      </c>
      <c r="L1457">
        <f>IFERROR(VLOOKUP("906-423348-110",B:AB,3+8,0),0)</f>
        <v>0</v>
      </c>
      <c r="M1457">
        <f>IFERROR(VLOOKUP("906-423348-110",B:AB,4+8,0),0)</f>
        <v>0</v>
      </c>
      <c r="N1457">
        <f>IFERROR(VLOOKUP("906-423348-110",B:AB,5+8,0),0)</f>
        <v>0</v>
      </c>
      <c r="O1457">
        <f>IFERROR(VLOOKUP("906-423348-110",B:AB,6+8,0),0)</f>
        <v>0</v>
      </c>
      <c r="P1457">
        <f>IFERROR(VLOOKUP("906-423348-110",B:AB,7+8,0),0)</f>
        <v>0</v>
      </c>
      <c r="Q1457">
        <f>IFERROR(VLOOKUP("906-423348-110",B:AB,8+8,0),0)</f>
        <v>0</v>
      </c>
      <c r="R1457">
        <f>IFERROR(VLOOKUP("906-423348-110",B:AB,9+8,0),0)</f>
        <v>0</v>
      </c>
      <c r="S1457">
        <f>IFERROR(VLOOKUP("906-423348-110",B:AB,10+8,0),0)</f>
        <v>0</v>
      </c>
      <c r="T1457">
        <f>IFERROR(VLOOKUP("906-423348-110",B:AB,11+8,0),0)</f>
        <v>0</v>
      </c>
      <c r="U1457">
        <f>IFERROR(VLOOKUP("906-423348-110",B:AB,12+8,0),0)</f>
        <v>0</v>
      </c>
      <c r="V1457">
        <f>IFERROR(VLOOKUP("906-423348-110",B:AB,13+8,0),0)</f>
        <v>0</v>
      </c>
      <c r="W1457">
        <f>IFERROR(VLOOKUP("906-423348-110",B:AB,14+8,0),0)</f>
        <v>0</v>
      </c>
      <c r="X1457">
        <f>IFERROR(VLOOKUP("906-423348-110",B:AB,15+8,0),0)</f>
        <v>0</v>
      </c>
      <c r="Y1457">
        <f>IFERROR(VLOOKUP("906-423348-110",B:AB,16+8,0),0)</f>
        <v>0</v>
      </c>
      <c r="Z1457">
        <f>IFERROR(VLOOKUP("906-423348-110",B:AB,17+8,0),0)</f>
        <v>0</v>
      </c>
      <c r="AA1457">
        <f>IFERROR(VLOOKUP("906-423348-110",B:AB,18+8,0),0)</f>
        <v>0</v>
      </c>
      <c r="AB1457">
        <f>IFERROR(VLOOKUP("906-423348-110",B:AB,19+8,0),0)</f>
        <v>0</v>
      </c>
      <c r="AC1457">
        <f>IFERROR(VLOOKUP("906-423348-110",B:AB,20+8,0),0)</f>
        <v>0</v>
      </c>
      <c r="AD1457">
        <f>IFERROR(VLOOKUP("906-423348-110",B:AB,21+8,0),0)</f>
        <v>0</v>
      </c>
      <c r="AE1457">
        <f>IFERROR(VLOOKUP("906-423348-110",B:AB,22+8,0),0)</f>
        <v>0</v>
      </c>
      <c r="AF1457">
        <f>IFERROR(VLOOKUP("906-423348-110",B:AB,23+8,0),0)</f>
        <v>0</v>
      </c>
      <c r="AG1457">
        <f>IFERROR(VLOOKUP("906-423348-110",B:AB,24+8,0),0)</f>
        <v>0</v>
      </c>
      <c r="AH1457">
        <f>IFERROR(VLOOKUP("906-423348-110",B:AB,25+8,0),0)</f>
        <v>0</v>
      </c>
      <c r="AI1457">
        <f>IFERROR(VLOOKUP("906-423348-110",B:AB,26+8,0),0)</f>
        <v>0</v>
      </c>
      <c r="AJ1457">
        <f>IFERROR(VLOOKUP("906-423348-110",B:AB,27+8,0),0)</f>
        <v>0</v>
      </c>
      <c r="AK1457">
        <f>IFERROR(VLOOKUP("906-423348-110",B:AB,28+8,0),0)</f>
        <v>0</v>
      </c>
      <c r="AL1457">
        <f>IFERROR(VLOOKUP("906-423348-110",B:AB,29+8,0),0)</f>
        <v>0</v>
      </c>
      <c r="AM1457">
        <f>IFERROR(VLOOKUP("906-423348-110",B:AB,30+8,0),0)</f>
        <v>0</v>
      </c>
      <c r="AN1457">
        <f>IFERROR(VLOOKUP("906-423348-110",B:AB,31+8,0),0)</f>
        <v>0</v>
      </c>
      <c r="AO1457">
        <f>SUN(INDIRECT(ADDRESS(1456,8)):INDIRECT(ADDRESS(1456,39)))</f>
        <v>0</v>
      </c>
    </row>
    <row r="1458" spans="1:41">
      <c r="H1458" t="s">
        <v>179</v>
      </c>
      <c r="J1458">
        <f>INDIRECT(ADDRESS(1458,9))+INDIRECT(ADDRESS(1456,10))-INDIRECT(ADDRESS(1457,10))</f>
        <v>0</v>
      </c>
      <c r="K1458">
        <f>INDIRECT(ADDRESS(1458,10))+INDIRECT(ADDRESS(1456,11))-INDIRECT(ADDRESS(1457,11))</f>
        <v>0</v>
      </c>
      <c r="L1458">
        <f>INDIRECT(ADDRESS(1458,11))+INDIRECT(ADDRESS(1456,12))-INDIRECT(ADDRESS(1457,12))</f>
        <v>0</v>
      </c>
      <c r="M1458">
        <f>INDIRECT(ADDRESS(1458,12))+INDIRECT(ADDRESS(1456,13))-INDIRECT(ADDRESS(1457,13))</f>
        <v>0</v>
      </c>
      <c r="N1458">
        <f>INDIRECT(ADDRESS(1458,13))+INDIRECT(ADDRESS(1456,14))-INDIRECT(ADDRESS(1457,14))</f>
        <v>0</v>
      </c>
      <c r="O1458">
        <f>INDIRECT(ADDRESS(1458,14))+INDIRECT(ADDRESS(1456,15))-INDIRECT(ADDRESS(1457,15))</f>
        <v>0</v>
      </c>
      <c r="P1458">
        <f>INDIRECT(ADDRESS(1458,15))+INDIRECT(ADDRESS(1456,16))-INDIRECT(ADDRESS(1457,16))</f>
        <v>0</v>
      </c>
      <c r="Q1458">
        <f>INDIRECT(ADDRESS(1458,16))+INDIRECT(ADDRESS(1456,17))-INDIRECT(ADDRESS(1457,17))</f>
        <v>0</v>
      </c>
      <c r="R1458">
        <f>INDIRECT(ADDRESS(1458,17))+INDIRECT(ADDRESS(1456,18))-INDIRECT(ADDRESS(1457,18))</f>
        <v>0</v>
      </c>
      <c r="S1458">
        <f>INDIRECT(ADDRESS(1458,18))+INDIRECT(ADDRESS(1456,19))-INDIRECT(ADDRESS(1457,19))</f>
        <v>0</v>
      </c>
      <c r="T1458">
        <f>INDIRECT(ADDRESS(1458,19))+INDIRECT(ADDRESS(1456,20))-INDIRECT(ADDRESS(1457,20))</f>
        <v>0</v>
      </c>
      <c r="U1458">
        <f>INDIRECT(ADDRESS(1458,20))+INDIRECT(ADDRESS(1456,21))-INDIRECT(ADDRESS(1457,21))</f>
        <v>0</v>
      </c>
      <c r="V1458">
        <f>INDIRECT(ADDRESS(1458,21))+INDIRECT(ADDRESS(1456,22))-INDIRECT(ADDRESS(1457,22))</f>
        <v>0</v>
      </c>
      <c r="W1458">
        <f>INDIRECT(ADDRESS(1458,22))+INDIRECT(ADDRESS(1456,23))-INDIRECT(ADDRESS(1457,23))</f>
        <v>0</v>
      </c>
      <c r="X1458">
        <f>INDIRECT(ADDRESS(1458,23))+INDIRECT(ADDRESS(1456,24))-INDIRECT(ADDRESS(1457,24))</f>
        <v>0</v>
      </c>
      <c r="Y1458">
        <f>INDIRECT(ADDRESS(1458,24))+INDIRECT(ADDRESS(1456,25))-INDIRECT(ADDRESS(1457,25))</f>
        <v>0</v>
      </c>
      <c r="Z1458">
        <f>INDIRECT(ADDRESS(1458,25))+INDIRECT(ADDRESS(1456,26))-INDIRECT(ADDRESS(1457,26))</f>
        <v>0</v>
      </c>
      <c r="AA1458">
        <f>INDIRECT(ADDRESS(1458,26))+INDIRECT(ADDRESS(1456,27))-INDIRECT(ADDRESS(1457,27))</f>
        <v>0</v>
      </c>
      <c r="AB1458">
        <f>INDIRECT(ADDRESS(1458,27))+INDIRECT(ADDRESS(1456,28))-INDIRECT(ADDRESS(1457,28))</f>
        <v>0</v>
      </c>
      <c r="AC1458">
        <f>INDIRECT(ADDRESS(1458,28))+INDIRECT(ADDRESS(1456,29))-INDIRECT(ADDRESS(1457,29))</f>
        <v>0</v>
      </c>
      <c r="AD1458">
        <f>INDIRECT(ADDRESS(1458,29))+INDIRECT(ADDRESS(1456,30))-INDIRECT(ADDRESS(1457,30))</f>
        <v>0</v>
      </c>
      <c r="AE1458">
        <f>INDIRECT(ADDRESS(1458,30))+INDIRECT(ADDRESS(1456,31))-INDIRECT(ADDRESS(1457,31))</f>
        <v>0</v>
      </c>
      <c r="AF1458">
        <f>INDIRECT(ADDRESS(1458,31))+INDIRECT(ADDRESS(1456,32))-INDIRECT(ADDRESS(1457,32))</f>
        <v>0</v>
      </c>
      <c r="AG1458">
        <f>INDIRECT(ADDRESS(1458,32))+INDIRECT(ADDRESS(1456,33))-INDIRECT(ADDRESS(1457,33))</f>
        <v>0</v>
      </c>
      <c r="AH1458">
        <f>INDIRECT(ADDRESS(1458,33))+INDIRECT(ADDRESS(1456,34))-INDIRECT(ADDRESS(1457,34))</f>
        <v>0</v>
      </c>
      <c r="AI1458">
        <f>INDIRECT(ADDRESS(1458,34))+INDIRECT(ADDRESS(1456,35))-INDIRECT(ADDRESS(1457,35))</f>
        <v>0</v>
      </c>
      <c r="AJ1458">
        <f>INDIRECT(ADDRESS(1458,35))+INDIRECT(ADDRESS(1456,36))-INDIRECT(ADDRESS(1457,36))</f>
        <v>0</v>
      </c>
      <c r="AK1458">
        <f>INDIRECT(ADDRESS(1458,36))+INDIRECT(ADDRESS(1456,37))-INDIRECT(ADDRESS(1457,37))</f>
        <v>0</v>
      </c>
      <c r="AL1458">
        <f>INDIRECT(ADDRESS(1458,37))+INDIRECT(ADDRESS(1456,38))-INDIRECT(ADDRESS(1457,38))</f>
        <v>0</v>
      </c>
      <c r="AM1458">
        <f>INDIRECT(ADDRESS(1458,38))+INDIRECT(ADDRESS(1456,39))-INDIRECT(ADDRESS(1457,39))</f>
        <v>0</v>
      </c>
      <c r="AN1458">
        <f>INDIRECT(ADDRESS(1458,39))+INDIRECT(ADDRESS(1456,40))-INDIRECT(ADDRESS(1457,40))</f>
        <v>0</v>
      </c>
      <c r="AO1458">
        <f>SUM(INDIRECT(ADDRESS(1457,8)):INDIRECT(ADDRESS(1457,39)))</f>
        <v>0</v>
      </c>
    </row>
    <row r="1459" spans="1:41">
      <c r="A1459" t="s">
        <v>185</v>
      </c>
      <c r="B1459" t="s">
        <v>588</v>
      </c>
      <c r="C1459" t="s">
        <v>713</v>
      </c>
      <c r="E1459">
        <v>2</v>
      </c>
      <c r="I1459" t="s">
        <v>177</v>
      </c>
    </row>
    <row r="1460" spans="1:41">
      <c r="I1460" t="s">
        <v>178</v>
      </c>
      <c r="J1460">
        <f>IFERROR(VLOOKUP("906-423348-110",B:AB,1+8,0),0)</f>
        <v>0</v>
      </c>
      <c r="K1460">
        <f>IFERROR(VLOOKUP("906-423348-110",B:AB,2+8,0),0)</f>
        <v>0</v>
      </c>
      <c r="L1460">
        <f>IFERROR(VLOOKUP("906-423348-110",B:AB,3+8,0),0)</f>
        <v>0</v>
      </c>
      <c r="M1460">
        <f>IFERROR(VLOOKUP("906-423348-110",B:AB,4+8,0),0)</f>
        <v>0</v>
      </c>
      <c r="N1460">
        <f>IFERROR(VLOOKUP("906-423348-110",B:AB,5+8,0),0)</f>
        <v>0</v>
      </c>
      <c r="O1460">
        <f>IFERROR(VLOOKUP("906-423348-110",B:AB,6+8,0),0)</f>
        <v>0</v>
      </c>
      <c r="P1460">
        <f>IFERROR(VLOOKUP("906-423348-110",B:AB,7+8,0),0)</f>
        <v>0</v>
      </c>
      <c r="Q1460">
        <f>IFERROR(VLOOKUP("906-423348-110",B:AB,8+8,0),0)</f>
        <v>0</v>
      </c>
      <c r="R1460">
        <f>IFERROR(VLOOKUP("906-423348-110",B:AB,9+8,0),0)</f>
        <v>0</v>
      </c>
      <c r="S1460">
        <f>IFERROR(VLOOKUP("906-423348-110",B:AB,10+8,0),0)</f>
        <v>0</v>
      </c>
      <c r="T1460">
        <f>IFERROR(VLOOKUP("906-423348-110",B:AB,11+8,0),0)</f>
        <v>0</v>
      </c>
      <c r="U1460">
        <f>IFERROR(VLOOKUP("906-423348-110",B:AB,12+8,0),0)</f>
        <v>0</v>
      </c>
      <c r="V1460">
        <f>IFERROR(VLOOKUP("906-423348-110",B:AB,13+8,0),0)</f>
        <v>0</v>
      </c>
      <c r="W1460">
        <f>IFERROR(VLOOKUP("906-423348-110",B:AB,14+8,0),0)</f>
        <v>0</v>
      </c>
      <c r="X1460">
        <f>IFERROR(VLOOKUP("906-423348-110",B:AB,15+8,0),0)</f>
        <v>0</v>
      </c>
      <c r="Y1460">
        <f>IFERROR(VLOOKUP("906-423348-110",B:AB,16+8,0),0)</f>
        <v>0</v>
      </c>
      <c r="Z1460">
        <f>IFERROR(VLOOKUP("906-423348-110",B:AB,17+8,0),0)</f>
        <v>0</v>
      </c>
      <c r="AA1460">
        <f>IFERROR(VLOOKUP("906-423348-110",B:AB,18+8,0),0)</f>
        <v>0</v>
      </c>
      <c r="AB1460">
        <f>IFERROR(VLOOKUP("906-423348-110",B:AB,19+8,0),0)</f>
        <v>0</v>
      </c>
      <c r="AC1460">
        <f>IFERROR(VLOOKUP("906-423348-110",B:AB,20+8,0),0)</f>
        <v>0</v>
      </c>
      <c r="AD1460">
        <f>IFERROR(VLOOKUP("906-423348-110",B:AB,21+8,0),0)</f>
        <v>0</v>
      </c>
      <c r="AE1460">
        <f>IFERROR(VLOOKUP("906-423348-110",B:AB,22+8,0),0)</f>
        <v>0</v>
      </c>
      <c r="AF1460">
        <f>IFERROR(VLOOKUP("906-423348-110",B:AB,23+8,0),0)</f>
        <v>0</v>
      </c>
      <c r="AG1460">
        <f>IFERROR(VLOOKUP("906-423348-110",B:AB,24+8,0),0)</f>
        <v>0</v>
      </c>
      <c r="AH1460">
        <f>IFERROR(VLOOKUP("906-423348-110",B:AB,25+8,0),0)</f>
        <v>0</v>
      </c>
      <c r="AI1460">
        <f>IFERROR(VLOOKUP("906-423348-110",B:AB,26+8,0),0)</f>
        <v>0</v>
      </c>
      <c r="AJ1460">
        <f>IFERROR(VLOOKUP("906-423348-110",B:AB,27+8,0),0)</f>
        <v>0</v>
      </c>
      <c r="AK1460">
        <f>IFERROR(VLOOKUP("906-423348-110",B:AB,28+8,0),0)</f>
        <v>0</v>
      </c>
      <c r="AL1460">
        <f>IFERROR(VLOOKUP("906-423348-110",B:AB,29+8,0),0)</f>
        <v>0</v>
      </c>
      <c r="AM1460">
        <f>IFERROR(VLOOKUP("906-423348-110",B:AB,30+8,0),0)</f>
        <v>0</v>
      </c>
      <c r="AN1460">
        <f>IFERROR(VLOOKUP("906-423348-110",B:AB,31+8,0),0)</f>
        <v>0</v>
      </c>
      <c r="AO1460">
        <f>SUN(INDIRECT(ADDRESS(1459,8)):INDIRECT(ADDRESS(1459,39)))</f>
        <v>0</v>
      </c>
    </row>
    <row r="1461" spans="1:41">
      <c r="H1461" t="s">
        <v>179</v>
      </c>
      <c r="J1461">
        <f>INDIRECT(ADDRESS(1461,9))+INDIRECT(ADDRESS(1459,10))-INDIRECT(ADDRESS(1460,10))</f>
        <v>0</v>
      </c>
      <c r="K1461">
        <f>INDIRECT(ADDRESS(1461,10))+INDIRECT(ADDRESS(1459,11))-INDIRECT(ADDRESS(1460,11))</f>
        <v>0</v>
      </c>
      <c r="L1461">
        <f>INDIRECT(ADDRESS(1461,11))+INDIRECT(ADDRESS(1459,12))-INDIRECT(ADDRESS(1460,12))</f>
        <v>0</v>
      </c>
      <c r="M1461">
        <f>INDIRECT(ADDRESS(1461,12))+INDIRECT(ADDRESS(1459,13))-INDIRECT(ADDRESS(1460,13))</f>
        <v>0</v>
      </c>
      <c r="N1461">
        <f>INDIRECT(ADDRESS(1461,13))+INDIRECT(ADDRESS(1459,14))-INDIRECT(ADDRESS(1460,14))</f>
        <v>0</v>
      </c>
      <c r="O1461">
        <f>INDIRECT(ADDRESS(1461,14))+INDIRECT(ADDRESS(1459,15))-INDIRECT(ADDRESS(1460,15))</f>
        <v>0</v>
      </c>
      <c r="P1461">
        <f>INDIRECT(ADDRESS(1461,15))+INDIRECT(ADDRESS(1459,16))-INDIRECT(ADDRESS(1460,16))</f>
        <v>0</v>
      </c>
      <c r="Q1461">
        <f>INDIRECT(ADDRESS(1461,16))+INDIRECT(ADDRESS(1459,17))-INDIRECT(ADDRESS(1460,17))</f>
        <v>0</v>
      </c>
      <c r="R1461">
        <f>INDIRECT(ADDRESS(1461,17))+INDIRECT(ADDRESS(1459,18))-INDIRECT(ADDRESS(1460,18))</f>
        <v>0</v>
      </c>
      <c r="S1461">
        <f>INDIRECT(ADDRESS(1461,18))+INDIRECT(ADDRESS(1459,19))-INDIRECT(ADDRESS(1460,19))</f>
        <v>0</v>
      </c>
      <c r="T1461">
        <f>INDIRECT(ADDRESS(1461,19))+INDIRECT(ADDRESS(1459,20))-INDIRECT(ADDRESS(1460,20))</f>
        <v>0</v>
      </c>
      <c r="U1461">
        <f>INDIRECT(ADDRESS(1461,20))+INDIRECT(ADDRESS(1459,21))-INDIRECT(ADDRESS(1460,21))</f>
        <v>0</v>
      </c>
      <c r="V1461">
        <f>INDIRECT(ADDRESS(1461,21))+INDIRECT(ADDRESS(1459,22))-INDIRECT(ADDRESS(1460,22))</f>
        <v>0</v>
      </c>
      <c r="W1461">
        <f>INDIRECT(ADDRESS(1461,22))+INDIRECT(ADDRESS(1459,23))-INDIRECT(ADDRESS(1460,23))</f>
        <v>0</v>
      </c>
      <c r="X1461">
        <f>INDIRECT(ADDRESS(1461,23))+INDIRECT(ADDRESS(1459,24))-INDIRECT(ADDRESS(1460,24))</f>
        <v>0</v>
      </c>
      <c r="Y1461">
        <f>INDIRECT(ADDRESS(1461,24))+INDIRECT(ADDRESS(1459,25))-INDIRECT(ADDRESS(1460,25))</f>
        <v>0</v>
      </c>
      <c r="Z1461">
        <f>INDIRECT(ADDRESS(1461,25))+INDIRECT(ADDRESS(1459,26))-INDIRECT(ADDRESS(1460,26))</f>
        <v>0</v>
      </c>
      <c r="AA1461">
        <f>INDIRECT(ADDRESS(1461,26))+INDIRECT(ADDRESS(1459,27))-INDIRECT(ADDRESS(1460,27))</f>
        <v>0</v>
      </c>
      <c r="AB1461">
        <f>INDIRECT(ADDRESS(1461,27))+INDIRECT(ADDRESS(1459,28))-INDIRECT(ADDRESS(1460,28))</f>
        <v>0</v>
      </c>
      <c r="AC1461">
        <f>INDIRECT(ADDRESS(1461,28))+INDIRECT(ADDRESS(1459,29))-INDIRECT(ADDRESS(1460,29))</f>
        <v>0</v>
      </c>
      <c r="AD1461">
        <f>INDIRECT(ADDRESS(1461,29))+INDIRECT(ADDRESS(1459,30))-INDIRECT(ADDRESS(1460,30))</f>
        <v>0</v>
      </c>
      <c r="AE1461">
        <f>INDIRECT(ADDRESS(1461,30))+INDIRECT(ADDRESS(1459,31))-INDIRECT(ADDRESS(1460,31))</f>
        <v>0</v>
      </c>
      <c r="AF1461">
        <f>INDIRECT(ADDRESS(1461,31))+INDIRECT(ADDRESS(1459,32))-INDIRECT(ADDRESS(1460,32))</f>
        <v>0</v>
      </c>
      <c r="AG1461">
        <f>INDIRECT(ADDRESS(1461,32))+INDIRECT(ADDRESS(1459,33))-INDIRECT(ADDRESS(1460,33))</f>
        <v>0</v>
      </c>
      <c r="AH1461">
        <f>INDIRECT(ADDRESS(1461,33))+INDIRECT(ADDRESS(1459,34))-INDIRECT(ADDRESS(1460,34))</f>
        <v>0</v>
      </c>
      <c r="AI1461">
        <f>INDIRECT(ADDRESS(1461,34))+INDIRECT(ADDRESS(1459,35))-INDIRECT(ADDRESS(1460,35))</f>
        <v>0</v>
      </c>
      <c r="AJ1461">
        <f>INDIRECT(ADDRESS(1461,35))+INDIRECT(ADDRESS(1459,36))-INDIRECT(ADDRESS(1460,36))</f>
        <v>0</v>
      </c>
      <c r="AK1461">
        <f>INDIRECT(ADDRESS(1461,36))+INDIRECT(ADDRESS(1459,37))-INDIRECT(ADDRESS(1460,37))</f>
        <v>0</v>
      </c>
      <c r="AL1461">
        <f>INDIRECT(ADDRESS(1461,37))+INDIRECT(ADDRESS(1459,38))-INDIRECT(ADDRESS(1460,38))</f>
        <v>0</v>
      </c>
      <c r="AM1461">
        <f>INDIRECT(ADDRESS(1461,38))+INDIRECT(ADDRESS(1459,39))-INDIRECT(ADDRESS(1460,39))</f>
        <v>0</v>
      </c>
      <c r="AN1461">
        <f>INDIRECT(ADDRESS(1461,39))+INDIRECT(ADDRESS(1459,40))-INDIRECT(ADDRESS(1460,40))</f>
        <v>0</v>
      </c>
      <c r="AO1461">
        <f>SUM(INDIRECT(ADDRESS(1460,8)):INDIRECT(ADDRESS(1460,39)))</f>
        <v>0</v>
      </c>
    </row>
    <row r="1462" spans="1:41">
      <c r="A1462" t="s">
        <v>185</v>
      </c>
      <c r="B1462" t="s">
        <v>714</v>
      </c>
      <c r="C1462" t="s">
        <v>715</v>
      </c>
      <c r="E1462">
        <v>1</v>
      </c>
      <c r="I1462" t="s">
        <v>177</v>
      </c>
    </row>
    <row r="1463" spans="1:41">
      <c r="I1463" t="s">
        <v>178</v>
      </c>
      <c r="J1463">
        <f>IFERROR(VLOOKUP("906-423348-110",B:AB,1+8,0),0)</f>
        <v>0</v>
      </c>
      <c r="K1463">
        <f>IFERROR(VLOOKUP("906-423348-110",B:AB,2+8,0),0)</f>
        <v>0</v>
      </c>
      <c r="L1463">
        <f>IFERROR(VLOOKUP("906-423348-110",B:AB,3+8,0),0)</f>
        <v>0</v>
      </c>
      <c r="M1463">
        <f>IFERROR(VLOOKUP("906-423348-110",B:AB,4+8,0),0)</f>
        <v>0</v>
      </c>
      <c r="N1463">
        <f>IFERROR(VLOOKUP("906-423348-110",B:AB,5+8,0),0)</f>
        <v>0</v>
      </c>
      <c r="O1463">
        <f>IFERROR(VLOOKUP("906-423348-110",B:AB,6+8,0),0)</f>
        <v>0</v>
      </c>
      <c r="P1463">
        <f>IFERROR(VLOOKUP("906-423348-110",B:AB,7+8,0),0)</f>
        <v>0</v>
      </c>
      <c r="Q1463">
        <f>IFERROR(VLOOKUP("906-423348-110",B:AB,8+8,0),0)</f>
        <v>0</v>
      </c>
      <c r="R1463">
        <f>IFERROR(VLOOKUP("906-423348-110",B:AB,9+8,0),0)</f>
        <v>0</v>
      </c>
      <c r="S1463">
        <f>IFERROR(VLOOKUP("906-423348-110",B:AB,10+8,0),0)</f>
        <v>0</v>
      </c>
      <c r="T1463">
        <f>IFERROR(VLOOKUP("906-423348-110",B:AB,11+8,0),0)</f>
        <v>0</v>
      </c>
      <c r="U1463">
        <f>IFERROR(VLOOKUP("906-423348-110",B:AB,12+8,0),0)</f>
        <v>0</v>
      </c>
      <c r="V1463">
        <f>IFERROR(VLOOKUP("906-423348-110",B:AB,13+8,0),0)</f>
        <v>0</v>
      </c>
      <c r="W1463">
        <f>IFERROR(VLOOKUP("906-423348-110",B:AB,14+8,0),0)</f>
        <v>0</v>
      </c>
      <c r="X1463">
        <f>IFERROR(VLOOKUP("906-423348-110",B:AB,15+8,0),0)</f>
        <v>0</v>
      </c>
      <c r="Y1463">
        <f>IFERROR(VLOOKUP("906-423348-110",B:AB,16+8,0),0)</f>
        <v>0</v>
      </c>
      <c r="Z1463">
        <f>IFERROR(VLOOKUP("906-423348-110",B:AB,17+8,0),0)</f>
        <v>0</v>
      </c>
      <c r="AA1463">
        <f>IFERROR(VLOOKUP("906-423348-110",B:AB,18+8,0),0)</f>
        <v>0</v>
      </c>
      <c r="AB1463">
        <f>IFERROR(VLOOKUP("906-423348-110",B:AB,19+8,0),0)</f>
        <v>0</v>
      </c>
      <c r="AC1463">
        <f>IFERROR(VLOOKUP("906-423348-110",B:AB,20+8,0),0)</f>
        <v>0</v>
      </c>
      <c r="AD1463">
        <f>IFERROR(VLOOKUP("906-423348-110",B:AB,21+8,0),0)</f>
        <v>0</v>
      </c>
      <c r="AE1463">
        <f>IFERROR(VLOOKUP("906-423348-110",B:AB,22+8,0),0)</f>
        <v>0</v>
      </c>
      <c r="AF1463">
        <f>IFERROR(VLOOKUP("906-423348-110",B:AB,23+8,0),0)</f>
        <v>0</v>
      </c>
      <c r="AG1463">
        <f>IFERROR(VLOOKUP("906-423348-110",B:AB,24+8,0),0)</f>
        <v>0</v>
      </c>
      <c r="AH1463">
        <f>IFERROR(VLOOKUP("906-423348-110",B:AB,25+8,0),0)</f>
        <v>0</v>
      </c>
      <c r="AI1463">
        <f>IFERROR(VLOOKUP("906-423348-110",B:AB,26+8,0),0)</f>
        <v>0</v>
      </c>
      <c r="AJ1463">
        <f>IFERROR(VLOOKUP("906-423348-110",B:AB,27+8,0),0)</f>
        <v>0</v>
      </c>
      <c r="AK1463">
        <f>IFERROR(VLOOKUP("906-423348-110",B:AB,28+8,0),0)</f>
        <v>0</v>
      </c>
      <c r="AL1463">
        <f>IFERROR(VLOOKUP("906-423348-110",B:AB,29+8,0),0)</f>
        <v>0</v>
      </c>
      <c r="AM1463">
        <f>IFERROR(VLOOKUP("906-423348-110",B:AB,30+8,0),0)</f>
        <v>0</v>
      </c>
      <c r="AN1463">
        <f>IFERROR(VLOOKUP("906-423348-110",B:AB,31+8,0),0)</f>
        <v>0</v>
      </c>
      <c r="AO1463">
        <f>SUN(INDIRECT(ADDRESS(1462,8)):INDIRECT(ADDRESS(1462,39)))</f>
        <v>0</v>
      </c>
    </row>
    <row r="1464" spans="1:41">
      <c r="H1464" t="s">
        <v>179</v>
      </c>
      <c r="J1464">
        <f>INDIRECT(ADDRESS(1464,9))+INDIRECT(ADDRESS(1462,10))-INDIRECT(ADDRESS(1463,10))</f>
        <v>0</v>
      </c>
      <c r="K1464">
        <f>INDIRECT(ADDRESS(1464,10))+INDIRECT(ADDRESS(1462,11))-INDIRECT(ADDRESS(1463,11))</f>
        <v>0</v>
      </c>
      <c r="L1464">
        <f>INDIRECT(ADDRESS(1464,11))+INDIRECT(ADDRESS(1462,12))-INDIRECT(ADDRESS(1463,12))</f>
        <v>0</v>
      </c>
      <c r="M1464">
        <f>INDIRECT(ADDRESS(1464,12))+INDIRECT(ADDRESS(1462,13))-INDIRECT(ADDRESS(1463,13))</f>
        <v>0</v>
      </c>
      <c r="N1464">
        <f>INDIRECT(ADDRESS(1464,13))+INDIRECT(ADDRESS(1462,14))-INDIRECT(ADDRESS(1463,14))</f>
        <v>0</v>
      </c>
      <c r="O1464">
        <f>INDIRECT(ADDRESS(1464,14))+INDIRECT(ADDRESS(1462,15))-INDIRECT(ADDRESS(1463,15))</f>
        <v>0</v>
      </c>
      <c r="P1464">
        <f>INDIRECT(ADDRESS(1464,15))+INDIRECT(ADDRESS(1462,16))-INDIRECT(ADDRESS(1463,16))</f>
        <v>0</v>
      </c>
      <c r="Q1464">
        <f>INDIRECT(ADDRESS(1464,16))+INDIRECT(ADDRESS(1462,17))-INDIRECT(ADDRESS(1463,17))</f>
        <v>0</v>
      </c>
      <c r="R1464">
        <f>INDIRECT(ADDRESS(1464,17))+INDIRECT(ADDRESS(1462,18))-INDIRECT(ADDRESS(1463,18))</f>
        <v>0</v>
      </c>
      <c r="S1464">
        <f>INDIRECT(ADDRESS(1464,18))+INDIRECT(ADDRESS(1462,19))-INDIRECT(ADDRESS(1463,19))</f>
        <v>0</v>
      </c>
      <c r="T1464">
        <f>INDIRECT(ADDRESS(1464,19))+INDIRECT(ADDRESS(1462,20))-INDIRECT(ADDRESS(1463,20))</f>
        <v>0</v>
      </c>
      <c r="U1464">
        <f>INDIRECT(ADDRESS(1464,20))+INDIRECT(ADDRESS(1462,21))-INDIRECT(ADDRESS(1463,21))</f>
        <v>0</v>
      </c>
      <c r="V1464">
        <f>INDIRECT(ADDRESS(1464,21))+INDIRECT(ADDRESS(1462,22))-INDIRECT(ADDRESS(1463,22))</f>
        <v>0</v>
      </c>
      <c r="W1464">
        <f>INDIRECT(ADDRESS(1464,22))+INDIRECT(ADDRESS(1462,23))-INDIRECT(ADDRESS(1463,23))</f>
        <v>0</v>
      </c>
      <c r="X1464">
        <f>INDIRECT(ADDRESS(1464,23))+INDIRECT(ADDRESS(1462,24))-INDIRECT(ADDRESS(1463,24))</f>
        <v>0</v>
      </c>
      <c r="Y1464">
        <f>INDIRECT(ADDRESS(1464,24))+INDIRECT(ADDRESS(1462,25))-INDIRECT(ADDRESS(1463,25))</f>
        <v>0</v>
      </c>
      <c r="Z1464">
        <f>INDIRECT(ADDRESS(1464,25))+INDIRECT(ADDRESS(1462,26))-INDIRECT(ADDRESS(1463,26))</f>
        <v>0</v>
      </c>
      <c r="AA1464">
        <f>INDIRECT(ADDRESS(1464,26))+INDIRECT(ADDRESS(1462,27))-INDIRECT(ADDRESS(1463,27))</f>
        <v>0</v>
      </c>
      <c r="AB1464">
        <f>INDIRECT(ADDRESS(1464,27))+INDIRECT(ADDRESS(1462,28))-INDIRECT(ADDRESS(1463,28))</f>
        <v>0</v>
      </c>
      <c r="AC1464">
        <f>INDIRECT(ADDRESS(1464,28))+INDIRECT(ADDRESS(1462,29))-INDIRECT(ADDRESS(1463,29))</f>
        <v>0</v>
      </c>
      <c r="AD1464">
        <f>INDIRECT(ADDRESS(1464,29))+INDIRECT(ADDRESS(1462,30))-INDIRECT(ADDRESS(1463,30))</f>
        <v>0</v>
      </c>
      <c r="AE1464">
        <f>INDIRECT(ADDRESS(1464,30))+INDIRECT(ADDRESS(1462,31))-INDIRECT(ADDRESS(1463,31))</f>
        <v>0</v>
      </c>
      <c r="AF1464">
        <f>INDIRECT(ADDRESS(1464,31))+INDIRECT(ADDRESS(1462,32))-INDIRECT(ADDRESS(1463,32))</f>
        <v>0</v>
      </c>
      <c r="AG1464">
        <f>INDIRECT(ADDRESS(1464,32))+INDIRECT(ADDRESS(1462,33))-INDIRECT(ADDRESS(1463,33))</f>
        <v>0</v>
      </c>
      <c r="AH1464">
        <f>INDIRECT(ADDRESS(1464,33))+INDIRECT(ADDRESS(1462,34))-INDIRECT(ADDRESS(1463,34))</f>
        <v>0</v>
      </c>
      <c r="AI1464">
        <f>INDIRECT(ADDRESS(1464,34))+INDIRECT(ADDRESS(1462,35))-INDIRECT(ADDRESS(1463,35))</f>
        <v>0</v>
      </c>
      <c r="AJ1464">
        <f>INDIRECT(ADDRESS(1464,35))+INDIRECT(ADDRESS(1462,36))-INDIRECT(ADDRESS(1463,36))</f>
        <v>0</v>
      </c>
      <c r="AK1464">
        <f>INDIRECT(ADDRESS(1464,36))+INDIRECT(ADDRESS(1462,37))-INDIRECT(ADDRESS(1463,37))</f>
        <v>0</v>
      </c>
      <c r="AL1464">
        <f>INDIRECT(ADDRESS(1464,37))+INDIRECT(ADDRESS(1462,38))-INDIRECT(ADDRESS(1463,38))</f>
        <v>0</v>
      </c>
      <c r="AM1464">
        <f>INDIRECT(ADDRESS(1464,38))+INDIRECT(ADDRESS(1462,39))-INDIRECT(ADDRESS(1463,39))</f>
        <v>0</v>
      </c>
      <c r="AN1464">
        <f>INDIRECT(ADDRESS(1464,39))+INDIRECT(ADDRESS(1462,40))-INDIRECT(ADDRESS(1463,40))</f>
        <v>0</v>
      </c>
      <c r="AO1464">
        <f>SUM(INDIRECT(ADDRESS(1463,8)):INDIRECT(ADDRESS(1463,39)))</f>
        <v>0</v>
      </c>
    </row>
    <row r="1465" spans="1:41">
      <c r="A1465" t="s">
        <v>185</v>
      </c>
      <c r="B1465" t="s">
        <v>674</v>
      </c>
      <c r="C1465" t="s">
        <v>716</v>
      </c>
      <c r="E1465">
        <v>1</v>
      </c>
      <c r="I1465" t="s">
        <v>177</v>
      </c>
    </row>
    <row r="1466" spans="1:41">
      <c r="I1466" t="s">
        <v>178</v>
      </c>
      <c r="J1466">
        <f>IFERROR(VLOOKUP("906-423348-110",B:AB,1+8,0),0)</f>
        <v>0</v>
      </c>
      <c r="K1466">
        <f>IFERROR(VLOOKUP("906-423348-110",B:AB,2+8,0),0)</f>
        <v>0</v>
      </c>
      <c r="L1466">
        <f>IFERROR(VLOOKUP("906-423348-110",B:AB,3+8,0),0)</f>
        <v>0</v>
      </c>
      <c r="M1466">
        <f>IFERROR(VLOOKUP("906-423348-110",B:AB,4+8,0),0)</f>
        <v>0</v>
      </c>
      <c r="N1466">
        <f>IFERROR(VLOOKUP("906-423348-110",B:AB,5+8,0),0)</f>
        <v>0</v>
      </c>
      <c r="O1466">
        <f>IFERROR(VLOOKUP("906-423348-110",B:AB,6+8,0),0)</f>
        <v>0</v>
      </c>
      <c r="P1466">
        <f>IFERROR(VLOOKUP("906-423348-110",B:AB,7+8,0),0)</f>
        <v>0</v>
      </c>
      <c r="Q1466">
        <f>IFERROR(VLOOKUP("906-423348-110",B:AB,8+8,0),0)</f>
        <v>0</v>
      </c>
      <c r="R1466">
        <f>IFERROR(VLOOKUP("906-423348-110",B:AB,9+8,0),0)</f>
        <v>0</v>
      </c>
      <c r="S1466">
        <f>IFERROR(VLOOKUP("906-423348-110",B:AB,10+8,0),0)</f>
        <v>0</v>
      </c>
      <c r="T1466">
        <f>IFERROR(VLOOKUP("906-423348-110",B:AB,11+8,0),0)</f>
        <v>0</v>
      </c>
      <c r="U1466">
        <f>IFERROR(VLOOKUP("906-423348-110",B:AB,12+8,0),0)</f>
        <v>0</v>
      </c>
      <c r="V1466">
        <f>IFERROR(VLOOKUP("906-423348-110",B:AB,13+8,0),0)</f>
        <v>0</v>
      </c>
      <c r="W1466">
        <f>IFERROR(VLOOKUP("906-423348-110",B:AB,14+8,0),0)</f>
        <v>0</v>
      </c>
      <c r="X1466">
        <f>IFERROR(VLOOKUP("906-423348-110",B:AB,15+8,0),0)</f>
        <v>0</v>
      </c>
      <c r="Y1466">
        <f>IFERROR(VLOOKUP("906-423348-110",B:AB,16+8,0),0)</f>
        <v>0</v>
      </c>
      <c r="Z1466">
        <f>IFERROR(VLOOKUP("906-423348-110",B:AB,17+8,0),0)</f>
        <v>0</v>
      </c>
      <c r="AA1466">
        <f>IFERROR(VLOOKUP("906-423348-110",B:AB,18+8,0),0)</f>
        <v>0</v>
      </c>
      <c r="AB1466">
        <f>IFERROR(VLOOKUP("906-423348-110",B:AB,19+8,0),0)</f>
        <v>0</v>
      </c>
      <c r="AC1466">
        <f>IFERROR(VLOOKUP("906-423348-110",B:AB,20+8,0),0)</f>
        <v>0</v>
      </c>
      <c r="AD1466">
        <f>IFERROR(VLOOKUP("906-423348-110",B:AB,21+8,0),0)</f>
        <v>0</v>
      </c>
      <c r="AE1466">
        <f>IFERROR(VLOOKUP("906-423348-110",B:AB,22+8,0),0)</f>
        <v>0</v>
      </c>
      <c r="AF1466">
        <f>IFERROR(VLOOKUP("906-423348-110",B:AB,23+8,0),0)</f>
        <v>0</v>
      </c>
      <c r="AG1466">
        <f>IFERROR(VLOOKUP("906-423348-110",B:AB,24+8,0),0)</f>
        <v>0</v>
      </c>
      <c r="AH1466">
        <f>IFERROR(VLOOKUP("906-423348-110",B:AB,25+8,0),0)</f>
        <v>0</v>
      </c>
      <c r="AI1466">
        <f>IFERROR(VLOOKUP("906-423348-110",B:AB,26+8,0),0)</f>
        <v>0</v>
      </c>
      <c r="AJ1466">
        <f>IFERROR(VLOOKUP("906-423348-110",B:AB,27+8,0),0)</f>
        <v>0</v>
      </c>
      <c r="AK1466">
        <f>IFERROR(VLOOKUP("906-423348-110",B:AB,28+8,0),0)</f>
        <v>0</v>
      </c>
      <c r="AL1466">
        <f>IFERROR(VLOOKUP("906-423348-110",B:AB,29+8,0),0)</f>
        <v>0</v>
      </c>
      <c r="AM1466">
        <f>IFERROR(VLOOKUP("906-423348-110",B:AB,30+8,0),0)</f>
        <v>0</v>
      </c>
      <c r="AN1466">
        <f>IFERROR(VLOOKUP("906-423348-110",B:AB,31+8,0),0)</f>
        <v>0</v>
      </c>
      <c r="AO1466">
        <f>SUN(INDIRECT(ADDRESS(1465,8)):INDIRECT(ADDRESS(1465,39)))</f>
        <v>0</v>
      </c>
    </row>
    <row r="1467" spans="1:41">
      <c r="H1467" t="s">
        <v>179</v>
      </c>
      <c r="J1467">
        <f>INDIRECT(ADDRESS(1467,9))+INDIRECT(ADDRESS(1465,10))-INDIRECT(ADDRESS(1466,10))</f>
        <v>0</v>
      </c>
      <c r="K1467">
        <f>INDIRECT(ADDRESS(1467,10))+INDIRECT(ADDRESS(1465,11))-INDIRECT(ADDRESS(1466,11))</f>
        <v>0</v>
      </c>
      <c r="L1467">
        <f>INDIRECT(ADDRESS(1467,11))+INDIRECT(ADDRESS(1465,12))-INDIRECT(ADDRESS(1466,12))</f>
        <v>0</v>
      </c>
      <c r="M1467">
        <f>INDIRECT(ADDRESS(1467,12))+INDIRECT(ADDRESS(1465,13))-INDIRECT(ADDRESS(1466,13))</f>
        <v>0</v>
      </c>
      <c r="N1467">
        <f>INDIRECT(ADDRESS(1467,13))+INDIRECT(ADDRESS(1465,14))-INDIRECT(ADDRESS(1466,14))</f>
        <v>0</v>
      </c>
      <c r="O1467">
        <f>INDIRECT(ADDRESS(1467,14))+INDIRECT(ADDRESS(1465,15))-INDIRECT(ADDRESS(1466,15))</f>
        <v>0</v>
      </c>
      <c r="P1467">
        <f>INDIRECT(ADDRESS(1467,15))+INDIRECT(ADDRESS(1465,16))-INDIRECT(ADDRESS(1466,16))</f>
        <v>0</v>
      </c>
      <c r="Q1467">
        <f>INDIRECT(ADDRESS(1467,16))+INDIRECT(ADDRESS(1465,17))-INDIRECT(ADDRESS(1466,17))</f>
        <v>0</v>
      </c>
      <c r="R1467">
        <f>INDIRECT(ADDRESS(1467,17))+INDIRECT(ADDRESS(1465,18))-INDIRECT(ADDRESS(1466,18))</f>
        <v>0</v>
      </c>
      <c r="S1467">
        <f>INDIRECT(ADDRESS(1467,18))+INDIRECT(ADDRESS(1465,19))-INDIRECT(ADDRESS(1466,19))</f>
        <v>0</v>
      </c>
      <c r="T1467">
        <f>INDIRECT(ADDRESS(1467,19))+INDIRECT(ADDRESS(1465,20))-INDIRECT(ADDRESS(1466,20))</f>
        <v>0</v>
      </c>
      <c r="U1467">
        <f>INDIRECT(ADDRESS(1467,20))+INDIRECT(ADDRESS(1465,21))-INDIRECT(ADDRESS(1466,21))</f>
        <v>0</v>
      </c>
      <c r="V1467">
        <f>INDIRECT(ADDRESS(1467,21))+INDIRECT(ADDRESS(1465,22))-INDIRECT(ADDRESS(1466,22))</f>
        <v>0</v>
      </c>
      <c r="W1467">
        <f>INDIRECT(ADDRESS(1467,22))+INDIRECT(ADDRESS(1465,23))-INDIRECT(ADDRESS(1466,23))</f>
        <v>0</v>
      </c>
      <c r="X1467">
        <f>INDIRECT(ADDRESS(1467,23))+INDIRECT(ADDRESS(1465,24))-INDIRECT(ADDRESS(1466,24))</f>
        <v>0</v>
      </c>
      <c r="Y1467">
        <f>INDIRECT(ADDRESS(1467,24))+INDIRECT(ADDRESS(1465,25))-INDIRECT(ADDRESS(1466,25))</f>
        <v>0</v>
      </c>
      <c r="Z1467">
        <f>INDIRECT(ADDRESS(1467,25))+INDIRECT(ADDRESS(1465,26))-INDIRECT(ADDRESS(1466,26))</f>
        <v>0</v>
      </c>
      <c r="AA1467">
        <f>INDIRECT(ADDRESS(1467,26))+INDIRECT(ADDRESS(1465,27))-INDIRECT(ADDRESS(1466,27))</f>
        <v>0</v>
      </c>
      <c r="AB1467">
        <f>INDIRECT(ADDRESS(1467,27))+INDIRECT(ADDRESS(1465,28))-INDIRECT(ADDRESS(1466,28))</f>
        <v>0</v>
      </c>
      <c r="AC1467">
        <f>INDIRECT(ADDRESS(1467,28))+INDIRECT(ADDRESS(1465,29))-INDIRECT(ADDRESS(1466,29))</f>
        <v>0</v>
      </c>
      <c r="AD1467">
        <f>INDIRECT(ADDRESS(1467,29))+INDIRECT(ADDRESS(1465,30))-INDIRECT(ADDRESS(1466,30))</f>
        <v>0</v>
      </c>
      <c r="AE1467">
        <f>INDIRECT(ADDRESS(1467,30))+INDIRECT(ADDRESS(1465,31))-INDIRECT(ADDRESS(1466,31))</f>
        <v>0</v>
      </c>
      <c r="AF1467">
        <f>INDIRECT(ADDRESS(1467,31))+INDIRECT(ADDRESS(1465,32))-INDIRECT(ADDRESS(1466,32))</f>
        <v>0</v>
      </c>
      <c r="AG1467">
        <f>INDIRECT(ADDRESS(1467,32))+INDIRECT(ADDRESS(1465,33))-INDIRECT(ADDRESS(1466,33))</f>
        <v>0</v>
      </c>
      <c r="AH1467">
        <f>INDIRECT(ADDRESS(1467,33))+INDIRECT(ADDRESS(1465,34))-INDIRECT(ADDRESS(1466,34))</f>
        <v>0</v>
      </c>
      <c r="AI1467">
        <f>INDIRECT(ADDRESS(1467,34))+INDIRECT(ADDRESS(1465,35))-INDIRECT(ADDRESS(1466,35))</f>
        <v>0</v>
      </c>
      <c r="AJ1467">
        <f>INDIRECT(ADDRESS(1467,35))+INDIRECT(ADDRESS(1465,36))-INDIRECT(ADDRESS(1466,36))</f>
        <v>0</v>
      </c>
      <c r="AK1467">
        <f>INDIRECT(ADDRESS(1467,36))+INDIRECT(ADDRESS(1465,37))-INDIRECT(ADDRESS(1466,37))</f>
        <v>0</v>
      </c>
      <c r="AL1467">
        <f>INDIRECT(ADDRESS(1467,37))+INDIRECT(ADDRESS(1465,38))-INDIRECT(ADDRESS(1466,38))</f>
        <v>0</v>
      </c>
      <c r="AM1467">
        <f>INDIRECT(ADDRESS(1467,38))+INDIRECT(ADDRESS(1465,39))-INDIRECT(ADDRESS(1466,39))</f>
        <v>0</v>
      </c>
      <c r="AN1467">
        <f>INDIRECT(ADDRESS(1467,39))+INDIRECT(ADDRESS(1465,40))-INDIRECT(ADDRESS(1466,40))</f>
        <v>0</v>
      </c>
      <c r="AO1467">
        <f>SUM(INDIRECT(ADDRESS(1466,8)):INDIRECT(ADDRESS(1466,39)))</f>
        <v>0</v>
      </c>
    </row>
    <row r="1468" spans="1:41">
      <c r="A1468" t="s">
        <v>185</v>
      </c>
      <c r="B1468" t="s">
        <v>676</v>
      </c>
      <c r="C1468" t="s">
        <v>716</v>
      </c>
      <c r="E1468">
        <v>1</v>
      </c>
      <c r="I1468" t="s">
        <v>177</v>
      </c>
    </row>
    <row r="1469" spans="1:41">
      <c r="I1469" t="s">
        <v>178</v>
      </c>
      <c r="J1469">
        <f>IFERROR(VLOOKUP("906-423348-110",B:AB,1+8,0),0)</f>
        <v>0</v>
      </c>
      <c r="K1469">
        <f>IFERROR(VLOOKUP("906-423348-110",B:AB,2+8,0),0)</f>
        <v>0</v>
      </c>
      <c r="L1469">
        <f>IFERROR(VLOOKUP("906-423348-110",B:AB,3+8,0),0)</f>
        <v>0</v>
      </c>
      <c r="M1469">
        <f>IFERROR(VLOOKUP("906-423348-110",B:AB,4+8,0),0)</f>
        <v>0</v>
      </c>
      <c r="N1469">
        <f>IFERROR(VLOOKUP("906-423348-110",B:AB,5+8,0),0)</f>
        <v>0</v>
      </c>
      <c r="O1469">
        <f>IFERROR(VLOOKUP("906-423348-110",B:AB,6+8,0),0)</f>
        <v>0</v>
      </c>
      <c r="P1469">
        <f>IFERROR(VLOOKUP("906-423348-110",B:AB,7+8,0),0)</f>
        <v>0</v>
      </c>
      <c r="Q1469">
        <f>IFERROR(VLOOKUP("906-423348-110",B:AB,8+8,0),0)</f>
        <v>0</v>
      </c>
      <c r="R1469">
        <f>IFERROR(VLOOKUP("906-423348-110",B:AB,9+8,0),0)</f>
        <v>0</v>
      </c>
      <c r="S1469">
        <f>IFERROR(VLOOKUP("906-423348-110",B:AB,10+8,0),0)</f>
        <v>0</v>
      </c>
      <c r="T1469">
        <f>IFERROR(VLOOKUP("906-423348-110",B:AB,11+8,0),0)</f>
        <v>0</v>
      </c>
      <c r="U1469">
        <f>IFERROR(VLOOKUP("906-423348-110",B:AB,12+8,0),0)</f>
        <v>0</v>
      </c>
      <c r="V1469">
        <f>IFERROR(VLOOKUP("906-423348-110",B:AB,13+8,0),0)</f>
        <v>0</v>
      </c>
      <c r="W1469">
        <f>IFERROR(VLOOKUP("906-423348-110",B:AB,14+8,0),0)</f>
        <v>0</v>
      </c>
      <c r="X1469">
        <f>IFERROR(VLOOKUP("906-423348-110",B:AB,15+8,0),0)</f>
        <v>0</v>
      </c>
      <c r="Y1469">
        <f>IFERROR(VLOOKUP("906-423348-110",B:AB,16+8,0),0)</f>
        <v>0</v>
      </c>
      <c r="Z1469">
        <f>IFERROR(VLOOKUP("906-423348-110",B:AB,17+8,0),0)</f>
        <v>0</v>
      </c>
      <c r="AA1469">
        <f>IFERROR(VLOOKUP("906-423348-110",B:AB,18+8,0),0)</f>
        <v>0</v>
      </c>
      <c r="AB1469">
        <f>IFERROR(VLOOKUP("906-423348-110",B:AB,19+8,0),0)</f>
        <v>0</v>
      </c>
      <c r="AC1469">
        <f>IFERROR(VLOOKUP("906-423348-110",B:AB,20+8,0),0)</f>
        <v>0</v>
      </c>
      <c r="AD1469">
        <f>IFERROR(VLOOKUP("906-423348-110",B:AB,21+8,0),0)</f>
        <v>0</v>
      </c>
      <c r="AE1469">
        <f>IFERROR(VLOOKUP("906-423348-110",B:AB,22+8,0),0)</f>
        <v>0</v>
      </c>
      <c r="AF1469">
        <f>IFERROR(VLOOKUP("906-423348-110",B:AB,23+8,0),0)</f>
        <v>0</v>
      </c>
      <c r="AG1469">
        <f>IFERROR(VLOOKUP("906-423348-110",B:AB,24+8,0),0)</f>
        <v>0</v>
      </c>
      <c r="AH1469">
        <f>IFERROR(VLOOKUP("906-423348-110",B:AB,25+8,0),0)</f>
        <v>0</v>
      </c>
      <c r="AI1469">
        <f>IFERROR(VLOOKUP("906-423348-110",B:AB,26+8,0),0)</f>
        <v>0</v>
      </c>
      <c r="AJ1469">
        <f>IFERROR(VLOOKUP("906-423348-110",B:AB,27+8,0),0)</f>
        <v>0</v>
      </c>
      <c r="AK1469">
        <f>IFERROR(VLOOKUP("906-423348-110",B:AB,28+8,0),0)</f>
        <v>0</v>
      </c>
      <c r="AL1469">
        <f>IFERROR(VLOOKUP("906-423348-110",B:AB,29+8,0),0)</f>
        <v>0</v>
      </c>
      <c r="AM1469">
        <f>IFERROR(VLOOKUP("906-423348-110",B:AB,30+8,0),0)</f>
        <v>0</v>
      </c>
      <c r="AN1469">
        <f>IFERROR(VLOOKUP("906-423348-110",B:AB,31+8,0),0)</f>
        <v>0</v>
      </c>
      <c r="AO1469">
        <f>SUN(INDIRECT(ADDRESS(1468,8)):INDIRECT(ADDRESS(1468,39)))</f>
        <v>0</v>
      </c>
    </row>
    <row r="1470" spans="1:41">
      <c r="H1470" t="s">
        <v>179</v>
      </c>
      <c r="J1470">
        <f>INDIRECT(ADDRESS(1470,9))+INDIRECT(ADDRESS(1468,10))-INDIRECT(ADDRESS(1469,10))</f>
        <v>0</v>
      </c>
      <c r="K1470">
        <f>INDIRECT(ADDRESS(1470,10))+INDIRECT(ADDRESS(1468,11))-INDIRECT(ADDRESS(1469,11))</f>
        <v>0</v>
      </c>
      <c r="L1470">
        <f>INDIRECT(ADDRESS(1470,11))+INDIRECT(ADDRESS(1468,12))-INDIRECT(ADDRESS(1469,12))</f>
        <v>0</v>
      </c>
      <c r="M1470">
        <f>INDIRECT(ADDRESS(1470,12))+INDIRECT(ADDRESS(1468,13))-INDIRECT(ADDRESS(1469,13))</f>
        <v>0</v>
      </c>
      <c r="N1470">
        <f>INDIRECT(ADDRESS(1470,13))+INDIRECT(ADDRESS(1468,14))-INDIRECT(ADDRESS(1469,14))</f>
        <v>0</v>
      </c>
      <c r="O1470">
        <f>INDIRECT(ADDRESS(1470,14))+INDIRECT(ADDRESS(1468,15))-INDIRECT(ADDRESS(1469,15))</f>
        <v>0</v>
      </c>
      <c r="P1470">
        <f>INDIRECT(ADDRESS(1470,15))+INDIRECT(ADDRESS(1468,16))-INDIRECT(ADDRESS(1469,16))</f>
        <v>0</v>
      </c>
      <c r="Q1470">
        <f>INDIRECT(ADDRESS(1470,16))+INDIRECT(ADDRESS(1468,17))-INDIRECT(ADDRESS(1469,17))</f>
        <v>0</v>
      </c>
      <c r="R1470">
        <f>INDIRECT(ADDRESS(1470,17))+INDIRECT(ADDRESS(1468,18))-INDIRECT(ADDRESS(1469,18))</f>
        <v>0</v>
      </c>
      <c r="S1470">
        <f>INDIRECT(ADDRESS(1470,18))+INDIRECT(ADDRESS(1468,19))-INDIRECT(ADDRESS(1469,19))</f>
        <v>0</v>
      </c>
      <c r="T1470">
        <f>INDIRECT(ADDRESS(1470,19))+INDIRECT(ADDRESS(1468,20))-INDIRECT(ADDRESS(1469,20))</f>
        <v>0</v>
      </c>
      <c r="U1470">
        <f>INDIRECT(ADDRESS(1470,20))+INDIRECT(ADDRESS(1468,21))-INDIRECT(ADDRESS(1469,21))</f>
        <v>0</v>
      </c>
      <c r="V1470">
        <f>INDIRECT(ADDRESS(1470,21))+INDIRECT(ADDRESS(1468,22))-INDIRECT(ADDRESS(1469,22))</f>
        <v>0</v>
      </c>
      <c r="W1470">
        <f>INDIRECT(ADDRESS(1470,22))+INDIRECT(ADDRESS(1468,23))-INDIRECT(ADDRESS(1469,23))</f>
        <v>0</v>
      </c>
      <c r="X1470">
        <f>INDIRECT(ADDRESS(1470,23))+INDIRECT(ADDRESS(1468,24))-INDIRECT(ADDRESS(1469,24))</f>
        <v>0</v>
      </c>
      <c r="Y1470">
        <f>INDIRECT(ADDRESS(1470,24))+INDIRECT(ADDRESS(1468,25))-INDIRECT(ADDRESS(1469,25))</f>
        <v>0</v>
      </c>
      <c r="Z1470">
        <f>INDIRECT(ADDRESS(1470,25))+INDIRECT(ADDRESS(1468,26))-INDIRECT(ADDRESS(1469,26))</f>
        <v>0</v>
      </c>
      <c r="AA1470">
        <f>INDIRECT(ADDRESS(1470,26))+INDIRECT(ADDRESS(1468,27))-INDIRECT(ADDRESS(1469,27))</f>
        <v>0</v>
      </c>
      <c r="AB1470">
        <f>INDIRECT(ADDRESS(1470,27))+INDIRECT(ADDRESS(1468,28))-INDIRECT(ADDRESS(1469,28))</f>
        <v>0</v>
      </c>
      <c r="AC1470">
        <f>INDIRECT(ADDRESS(1470,28))+INDIRECT(ADDRESS(1468,29))-INDIRECT(ADDRESS(1469,29))</f>
        <v>0</v>
      </c>
      <c r="AD1470">
        <f>INDIRECT(ADDRESS(1470,29))+INDIRECT(ADDRESS(1468,30))-INDIRECT(ADDRESS(1469,30))</f>
        <v>0</v>
      </c>
      <c r="AE1470">
        <f>INDIRECT(ADDRESS(1470,30))+INDIRECT(ADDRESS(1468,31))-INDIRECT(ADDRESS(1469,31))</f>
        <v>0</v>
      </c>
      <c r="AF1470">
        <f>INDIRECT(ADDRESS(1470,31))+INDIRECT(ADDRESS(1468,32))-INDIRECT(ADDRESS(1469,32))</f>
        <v>0</v>
      </c>
      <c r="AG1470">
        <f>INDIRECT(ADDRESS(1470,32))+INDIRECT(ADDRESS(1468,33))-INDIRECT(ADDRESS(1469,33))</f>
        <v>0</v>
      </c>
      <c r="AH1470">
        <f>INDIRECT(ADDRESS(1470,33))+INDIRECT(ADDRESS(1468,34))-INDIRECT(ADDRESS(1469,34))</f>
        <v>0</v>
      </c>
      <c r="AI1470">
        <f>INDIRECT(ADDRESS(1470,34))+INDIRECT(ADDRESS(1468,35))-INDIRECT(ADDRESS(1469,35))</f>
        <v>0</v>
      </c>
      <c r="AJ1470">
        <f>INDIRECT(ADDRESS(1470,35))+INDIRECT(ADDRESS(1468,36))-INDIRECT(ADDRESS(1469,36))</f>
        <v>0</v>
      </c>
      <c r="AK1470">
        <f>INDIRECT(ADDRESS(1470,36))+INDIRECT(ADDRESS(1468,37))-INDIRECT(ADDRESS(1469,37))</f>
        <v>0</v>
      </c>
      <c r="AL1470">
        <f>INDIRECT(ADDRESS(1470,37))+INDIRECT(ADDRESS(1468,38))-INDIRECT(ADDRESS(1469,38))</f>
        <v>0</v>
      </c>
      <c r="AM1470">
        <f>INDIRECT(ADDRESS(1470,38))+INDIRECT(ADDRESS(1468,39))-INDIRECT(ADDRESS(1469,39))</f>
        <v>0</v>
      </c>
      <c r="AN1470">
        <f>INDIRECT(ADDRESS(1470,39))+INDIRECT(ADDRESS(1468,40))-INDIRECT(ADDRESS(1469,40))</f>
        <v>0</v>
      </c>
      <c r="AO1470">
        <f>SUM(INDIRECT(ADDRESS(1469,8)):INDIRECT(ADDRESS(1469,39)))</f>
        <v>0</v>
      </c>
    </row>
    <row r="1471" spans="1:41">
      <c r="A1471" t="s">
        <v>185</v>
      </c>
      <c r="B1471" t="s">
        <v>689</v>
      </c>
      <c r="C1471" t="s">
        <v>716</v>
      </c>
      <c r="E1471">
        <v>1</v>
      </c>
      <c r="I1471" t="s">
        <v>177</v>
      </c>
    </row>
    <row r="1472" spans="1:41">
      <c r="I1472" t="s">
        <v>178</v>
      </c>
      <c r="J1472">
        <f>IFERROR(VLOOKUP("906-423348-110",B:AB,1+8,0),0)</f>
        <v>0</v>
      </c>
      <c r="K1472">
        <f>IFERROR(VLOOKUP("906-423348-110",B:AB,2+8,0),0)</f>
        <v>0</v>
      </c>
      <c r="L1472">
        <f>IFERROR(VLOOKUP("906-423348-110",B:AB,3+8,0),0)</f>
        <v>0</v>
      </c>
      <c r="M1472">
        <f>IFERROR(VLOOKUP("906-423348-110",B:AB,4+8,0),0)</f>
        <v>0</v>
      </c>
      <c r="N1472">
        <f>IFERROR(VLOOKUP("906-423348-110",B:AB,5+8,0),0)</f>
        <v>0</v>
      </c>
      <c r="O1472">
        <f>IFERROR(VLOOKUP("906-423348-110",B:AB,6+8,0),0)</f>
        <v>0</v>
      </c>
      <c r="P1472">
        <f>IFERROR(VLOOKUP("906-423348-110",B:AB,7+8,0),0)</f>
        <v>0</v>
      </c>
      <c r="Q1472">
        <f>IFERROR(VLOOKUP("906-423348-110",B:AB,8+8,0),0)</f>
        <v>0</v>
      </c>
      <c r="R1472">
        <f>IFERROR(VLOOKUP("906-423348-110",B:AB,9+8,0),0)</f>
        <v>0</v>
      </c>
      <c r="S1472">
        <f>IFERROR(VLOOKUP("906-423348-110",B:AB,10+8,0),0)</f>
        <v>0</v>
      </c>
      <c r="T1472">
        <f>IFERROR(VLOOKUP("906-423348-110",B:AB,11+8,0),0)</f>
        <v>0</v>
      </c>
      <c r="U1472">
        <f>IFERROR(VLOOKUP("906-423348-110",B:AB,12+8,0),0)</f>
        <v>0</v>
      </c>
      <c r="V1472">
        <f>IFERROR(VLOOKUP("906-423348-110",B:AB,13+8,0),0)</f>
        <v>0</v>
      </c>
      <c r="W1472">
        <f>IFERROR(VLOOKUP("906-423348-110",B:AB,14+8,0),0)</f>
        <v>0</v>
      </c>
      <c r="X1472">
        <f>IFERROR(VLOOKUP("906-423348-110",B:AB,15+8,0),0)</f>
        <v>0</v>
      </c>
      <c r="Y1472">
        <f>IFERROR(VLOOKUP("906-423348-110",B:AB,16+8,0),0)</f>
        <v>0</v>
      </c>
      <c r="Z1472">
        <f>IFERROR(VLOOKUP("906-423348-110",B:AB,17+8,0),0)</f>
        <v>0</v>
      </c>
      <c r="AA1472">
        <f>IFERROR(VLOOKUP("906-423348-110",B:AB,18+8,0),0)</f>
        <v>0</v>
      </c>
      <c r="AB1472">
        <f>IFERROR(VLOOKUP("906-423348-110",B:AB,19+8,0),0)</f>
        <v>0</v>
      </c>
      <c r="AC1472">
        <f>IFERROR(VLOOKUP("906-423348-110",B:AB,20+8,0),0)</f>
        <v>0</v>
      </c>
      <c r="AD1472">
        <f>IFERROR(VLOOKUP("906-423348-110",B:AB,21+8,0),0)</f>
        <v>0</v>
      </c>
      <c r="AE1472">
        <f>IFERROR(VLOOKUP("906-423348-110",B:AB,22+8,0),0)</f>
        <v>0</v>
      </c>
      <c r="AF1472">
        <f>IFERROR(VLOOKUP("906-423348-110",B:AB,23+8,0),0)</f>
        <v>0</v>
      </c>
      <c r="AG1472">
        <f>IFERROR(VLOOKUP("906-423348-110",B:AB,24+8,0),0)</f>
        <v>0</v>
      </c>
      <c r="AH1472">
        <f>IFERROR(VLOOKUP("906-423348-110",B:AB,25+8,0),0)</f>
        <v>0</v>
      </c>
      <c r="AI1472">
        <f>IFERROR(VLOOKUP("906-423348-110",B:AB,26+8,0),0)</f>
        <v>0</v>
      </c>
      <c r="AJ1472">
        <f>IFERROR(VLOOKUP("906-423348-110",B:AB,27+8,0),0)</f>
        <v>0</v>
      </c>
      <c r="AK1472">
        <f>IFERROR(VLOOKUP("906-423348-110",B:AB,28+8,0),0)</f>
        <v>0</v>
      </c>
      <c r="AL1472">
        <f>IFERROR(VLOOKUP("906-423348-110",B:AB,29+8,0),0)</f>
        <v>0</v>
      </c>
      <c r="AM1472">
        <f>IFERROR(VLOOKUP("906-423348-110",B:AB,30+8,0),0)</f>
        <v>0</v>
      </c>
      <c r="AN1472">
        <f>IFERROR(VLOOKUP("906-423348-110",B:AB,31+8,0),0)</f>
        <v>0</v>
      </c>
      <c r="AO1472">
        <f>SUN(INDIRECT(ADDRESS(1471,8)):INDIRECT(ADDRESS(1471,39)))</f>
        <v>0</v>
      </c>
    </row>
    <row r="1473" spans="1:41">
      <c r="H1473" t="s">
        <v>179</v>
      </c>
      <c r="J1473">
        <f>INDIRECT(ADDRESS(1473,9))+INDIRECT(ADDRESS(1471,10))-INDIRECT(ADDRESS(1472,10))</f>
        <v>0</v>
      </c>
      <c r="K1473">
        <f>INDIRECT(ADDRESS(1473,10))+INDIRECT(ADDRESS(1471,11))-INDIRECT(ADDRESS(1472,11))</f>
        <v>0</v>
      </c>
      <c r="L1473">
        <f>INDIRECT(ADDRESS(1473,11))+INDIRECT(ADDRESS(1471,12))-INDIRECT(ADDRESS(1472,12))</f>
        <v>0</v>
      </c>
      <c r="M1473">
        <f>INDIRECT(ADDRESS(1473,12))+INDIRECT(ADDRESS(1471,13))-INDIRECT(ADDRESS(1472,13))</f>
        <v>0</v>
      </c>
      <c r="N1473">
        <f>INDIRECT(ADDRESS(1473,13))+INDIRECT(ADDRESS(1471,14))-INDIRECT(ADDRESS(1472,14))</f>
        <v>0</v>
      </c>
      <c r="O1473">
        <f>INDIRECT(ADDRESS(1473,14))+INDIRECT(ADDRESS(1471,15))-INDIRECT(ADDRESS(1472,15))</f>
        <v>0</v>
      </c>
      <c r="P1473">
        <f>INDIRECT(ADDRESS(1473,15))+INDIRECT(ADDRESS(1471,16))-INDIRECT(ADDRESS(1472,16))</f>
        <v>0</v>
      </c>
      <c r="Q1473">
        <f>INDIRECT(ADDRESS(1473,16))+INDIRECT(ADDRESS(1471,17))-INDIRECT(ADDRESS(1472,17))</f>
        <v>0</v>
      </c>
      <c r="R1473">
        <f>INDIRECT(ADDRESS(1473,17))+INDIRECT(ADDRESS(1471,18))-INDIRECT(ADDRESS(1472,18))</f>
        <v>0</v>
      </c>
      <c r="S1473">
        <f>INDIRECT(ADDRESS(1473,18))+INDIRECT(ADDRESS(1471,19))-INDIRECT(ADDRESS(1472,19))</f>
        <v>0</v>
      </c>
      <c r="T1473">
        <f>INDIRECT(ADDRESS(1473,19))+INDIRECT(ADDRESS(1471,20))-INDIRECT(ADDRESS(1472,20))</f>
        <v>0</v>
      </c>
      <c r="U1473">
        <f>INDIRECT(ADDRESS(1473,20))+INDIRECT(ADDRESS(1471,21))-INDIRECT(ADDRESS(1472,21))</f>
        <v>0</v>
      </c>
      <c r="V1473">
        <f>INDIRECT(ADDRESS(1473,21))+INDIRECT(ADDRESS(1471,22))-INDIRECT(ADDRESS(1472,22))</f>
        <v>0</v>
      </c>
      <c r="W1473">
        <f>INDIRECT(ADDRESS(1473,22))+INDIRECT(ADDRESS(1471,23))-INDIRECT(ADDRESS(1472,23))</f>
        <v>0</v>
      </c>
      <c r="X1473">
        <f>INDIRECT(ADDRESS(1473,23))+INDIRECT(ADDRESS(1471,24))-INDIRECT(ADDRESS(1472,24))</f>
        <v>0</v>
      </c>
      <c r="Y1473">
        <f>INDIRECT(ADDRESS(1473,24))+INDIRECT(ADDRESS(1471,25))-INDIRECT(ADDRESS(1472,25))</f>
        <v>0</v>
      </c>
      <c r="Z1473">
        <f>INDIRECT(ADDRESS(1473,25))+INDIRECT(ADDRESS(1471,26))-INDIRECT(ADDRESS(1472,26))</f>
        <v>0</v>
      </c>
      <c r="AA1473">
        <f>INDIRECT(ADDRESS(1473,26))+INDIRECT(ADDRESS(1471,27))-INDIRECT(ADDRESS(1472,27))</f>
        <v>0</v>
      </c>
      <c r="AB1473">
        <f>INDIRECT(ADDRESS(1473,27))+INDIRECT(ADDRESS(1471,28))-INDIRECT(ADDRESS(1472,28))</f>
        <v>0</v>
      </c>
      <c r="AC1473">
        <f>INDIRECT(ADDRESS(1473,28))+INDIRECT(ADDRESS(1471,29))-INDIRECT(ADDRESS(1472,29))</f>
        <v>0</v>
      </c>
      <c r="AD1473">
        <f>INDIRECT(ADDRESS(1473,29))+INDIRECT(ADDRESS(1471,30))-INDIRECT(ADDRESS(1472,30))</f>
        <v>0</v>
      </c>
      <c r="AE1473">
        <f>INDIRECT(ADDRESS(1473,30))+INDIRECT(ADDRESS(1471,31))-INDIRECT(ADDRESS(1472,31))</f>
        <v>0</v>
      </c>
      <c r="AF1473">
        <f>INDIRECT(ADDRESS(1473,31))+INDIRECT(ADDRESS(1471,32))-INDIRECT(ADDRESS(1472,32))</f>
        <v>0</v>
      </c>
      <c r="AG1473">
        <f>INDIRECT(ADDRESS(1473,32))+INDIRECT(ADDRESS(1471,33))-INDIRECT(ADDRESS(1472,33))</f>
        <v>0</v>
      </c>
      <c r="AH1473">
        <f>INDIRECT(ADDRESS(1473,33))+INDIRECT(ADDRESS(1471,34))-INDIRECT(ADDRESS(1472,34))</f>
        <v>0</v>
      </c>
      <c r="AI1473">
        <f>INDIRECT(ADDRESS(1473,34))+INDIRECT(ADDRESS(1471,35))-INDIRECT(ADDRESS(1472,35))</f>
        <v>0</v>
      </c>
      <c r="AJ1473">
        <f>INDIRECT(ADDRESS(1473,35))+INDIRECT(ADDRESS(1471,36))-INDIRECT(ADDRESS(1472,36))</f>
        <v>0</v>
      </c>
      <c r="AK1473">
        <f>INDIRECT(ADDRESS(1473,36))+INDIRECT(ADDRESS(1471,37))-INDIRECT(ADDRESS(1472,37))</f>
        <v>0</v>
      </c>
      <c r="AL1473">
        <f>INDIRECT(ADDRESS(1473,37))+INDIRECT(ADDRESS(1471,38))-INDIRECT(ADDRESS(1472,38))</f>
        <v>0</v>
      </c>
      <c r="AM1473">
        <f>INDIRECT(ADDRESS(1473,38))+INDIRECT(ADDRESS(1471,39))-INDIRECT(ADDRESS(1472,39))</f>
        <v>0</v>
      </c>
      <c r="AN1473">
        <f>INDIRECT(ADDRESS(1473,39))+INDIRECT(ADDRESS(1471,40))-INDIRECT(ADDRESS(1472,40))</f>
        <v>0</v>
      </c>
      <c r="AO1473">
        <f>SUM(INDIRECT(ADDRESS(1472,8)):INDIRECT(ADDRESS(1472,39)))</f>
        <v>0</v>
      </c>
    </row>
    <row r="1474" spans="1:41">
      <c r="A1474" t="s">
        <v>185</v>
      </c>
      <c r="B1474" t="s">
        <v>680</v>
      </c>
      <c r="C1474" t="s">
        <v>717</v>
      </c>
      <c r="E1474">
        <v>1</v>
      </c>
      <c r="I1474" t="s">
        <v>177</v>
      </c>
    </row>
    <row r="1475" spans="1:41">
      <c r="I1475" t="s">
        <v>178</v>
      </c>
      <c r="J1475">
        <f>IFERROR(VLOOKUP("906-423348-110",B:AB,1+8,0),0)</f>
        <v>0</v>
      </c>
      <c r="K1475">
        <f>IFERROR(VLOOKUP("906-423348-110",B:AB,2+8,0),0)</f>
        <v>0</v>
      </c>
      <c r="L1475">
        <f>IFERROR(VLOOKUP("906-423348-110",B:AB,3+8,0),0)</f>
        <v>0</v>
      </c>
      <c r="M1475">
        <f>IFERROR(VLOOKUP("906-423348-110",B:AB,4+8,0),0)</f>
        <v>0</v>
      </c>
      <c r="N1475">
        <f>IFERROR(VLOOKUP("906-423348-110",B:AB,5+8,0),0)</f>
        <v>0</v>
      </c>
      <c r="O1475">
        <f>IFERROR(VLOOKUP("906-423348-110",B:AB,6+8,0),0)</f>
        <v>0</v>
      </c>
      <c r="P1475">
        <f>IFERROR(VLOOKUP("906-423348-110",B:AB,7+8,0),0)</f>
        <v>0</v>
      </c>
      <c r="Q1475">
        <f>IFERROR(VLOOKUP("906-423348-110",B:AB,8+8,0),0)</f>
        <v>0</v>
      </c>
      <c r="R1475">
        <f>IFERROR(VLOOKUP("906-423348-110",B:AB,9+8,0),0)</f>
        <v>0</v>
      </c>
      <c r="S1475">
        <f>IFERROR(VLOOKUP("906-423348-110",B:AB,10+8,0),0)</f>
        <v>0</v>
      </c>
      <c r="T1475">
        <f>IFERROR(VLOOKUP("906-423348-110",B:AB,11+8,0),0)</f>
        <v>0</v>
      </c>
      <c r="U1475">
        <f>IFERROR(VLOOKUP("906-423348-110",B:AB,12+8,0),0)</f>
        <v>0</v>
      </c>
      <c r="V1475">
        <f>IFERROR(VLOOKUP("906-423348-110",B:AB,13+8,0),0)</f>
        <v>0</v>
      </c>
      <c r="W1475">
        <f>IFERROR(VLOOKUP("906-423348-110",B:AB,14+8,0),0)</f>
        <v>0</v>
      </c>
      <c r="X1475">
        <f>IFERROR(VLOOKUP("906-423348-110",B:AB,15+8,0),0)</f>
        <v>0</v>
      </c>
      <c r="Y1475">
        <f>IFERROR(VLOOKUP("906-423348-110",B:AB,16+8,0),0)</f>
        <v>0</v>
      </c>
      <c r="Z1475">
        <f>IFERROR(VLOOKUP("906-423348-110",B:AB,17+8,0),0)</f>
        <v>0</v>
      </c>
      <c r="AA1475">
        <f>IFERROR(VLOOKUP("906-423348-110",B:AB,18+8,0),0)</f>
        <v>0</v>
      </c>
      <c r="AB1475">
        <f>IFERROR(VLOOKUP("906-423348-110",B:AB,19+8,0),0)</f>
        <v>0</v>
      </c>
      <c r="AC1475">
        <f>IFERROR(VLOOKUP("906-423348-110",B:AB,20+8,0),0)</f>
        <v>0</v>
      </c>
      <c r="AD1475">
        <f>IFERROR(VLOOKUP("906-423348-110",B:AB,21+8,0),0)</f>
        <v>0</v>
      </c>
      <c r="AE1475">
        <f>IFERROR(VLOOKUP("906-423348-110",B:AB,22+8,0),0)</f>
        <v>0</v>
      </c>
      <c r="AF1475">
        <f>IFERROR(VLOOKUP("906-423348-110",B:AB,23+8,0),0)</f>
        <v>0</v>
      </c>
      <c r="AG1475">
        <f>IFERROR(VLOOKUP("906-423348-110",B:AB,24+8,0),0)</f>
        <v>0</v>
      </c>
      <c r="AH1475">
        <f>IFERROR(VLOOKUP("906-423348-110",B:AB,25+8,0),0)</f>
        <v>0</v>
      </c>
      <c r="AI1475">
        <f>IFERROR(VLOOKUP("906-423348-110",B:AB,26+8,0),0)</f>
        <v>0</v>
      </c>
      <c r="AJ1475">
        <f>IFERROR(VLOOKUP("906-423348-110",B:AB,27+8,0),0)</f>
        <v>0</v>
      </c>
      <c r="AK1475">
        <f>IFERROR(VLOOKUP("906-423348-110",B:AB,28+8,0),0)</f>
        <v>0</v>
      </c>
      <c r="AL1475">
        <f>IFERROR(VLOOKUP("906-423348-110",B:AB,29+8,0),0)</f>
        <v>0</v>
      </c>
      <c r="AM1475">
        <f>IFERROR(VLOOKUP("906-423348-110",B:AB,30+8,0),0)</f>
        <v>0</v>
      </c>
      <c r="AN1475">
        <f>IFERROR(VLOOKUP("906-423348-110",B:AB,31+8,0),0)</f>
        <v>0</v>
      </c>
      <c r="AO1475">
        <f>SUN(INDIRECT(ADDRESS(1474,8)):INDIRECT(ADDRESS(1474,39)))</f>
        <v>0</v>
      </c>
    </row>
    <row r="1476" spans="1:41">
      <c r="H1476" t="s">
        <v>179</v>
      </c>
      <c r="J1476">
        <f>INDIRECT(ADDRESS(1476,9))+INDIRECT(ADDRESS(1474,10))-INDIRECT(ADDRESS(1475,10))</f>
        <v>0</v>
      </c>
      <c r="K1476">
        <f>INDIRECT(ADDRESS(1476,10))+INDIRECT(ADDRESS(1474,11))-INDIRECT(ADDRESS(1475,11))</f>
        <v>0</v>
      </c>
      <c r="L1476">
        <f>INDIRECT(ADDRESS(1476,11))+INDIRECT(ADDRESS(1474,12))-INDIRECT(ADDRESS(1475,12))</f>
        <v>0</v>
      </c>
      <c r="M1476">
        <f>INDIRECT(ADDRESS(1476,12))+INDIRECT(ADDRESS(1474,13))-INDIRECT(ADDRESS(1475,13))</f>
        <v>0</v>
      </c>
      <c r="N1476">
        <f>INDIRECT(ADDRESS(1476,13))+INDIRECT(ADDRESS(1474,14))-INDIRECT(ADDRESS(1475,14))</f>
        <v>0</v>
      </c>
      <c r="O1476">
        <f>INDIRECT(ADDRESS(1476,14))+INDIRECT(ADDRESS(1474,15))-INDIRECT(ADDRESS(1475,15))</f>
        <v>0</v>
      </c>
      <c r="P1476">
        <f>INDIRECT(ADDRESS(1476,15))+INDIRECT(ADDRESS(1474,16))-INDIRECT(ADDRESS(1475,16))</f>
        <v>0</v>
      </c>
      <c r="Q1476">
        <f>INDIRECT(ADDRESS(1476,16))+INDIRECT(ADDRESS(1474,17))-INDIRECT(ADDRESS(1475,17))</f>
        <v>0</v>
      </c>
      <c r="R1476">
        <f>INDIRECT(ADDRESS(1476,17))+INDIRECT(ADDRESS(1474,18))-INDIRECT(ADDRESS(1475,18))</f>
        <v>0</v>
      </c>
      <c r="S1476">
        <f>INDIRECT(ADDRESS(1476,18))+INDIRECT(ADDRESS(1474,19))-INDIRECT(ADDRESS(1475,19))</f>
        <v>0</v>
      </c>
      <c r="T1476">
        <f>INDIRECT(ADDRESS(1476,19))+INDIRECT(ADDRESS(1474,20))-INDIRECT(ADDRESS(1475,20))</f>
        <v>0</v>
      </c>
      <c r="U1476">
        <f>INDIRECT(ADDRESS(1476,20))+INDIRECT(ADDRESS(1474,21))-INDIRECT(ADDRESS(1475,21))</f>
        <v>0</v>
      </c>
      <c r="V1476">
        <f>INDIRECT(ADDRESS(1476,21))+INDIRECT(ADDRESS(1474,22))-INDIRECT(ADDRESS(1475,22))</f>
        <v>0</v>
      </c>
      <c r="W1476">
        <f>INDIRECT(ADDRESS(1476,22))+INDIRECT(ADDRESS(1474,23))-INDIRECT(ADDRESS(1475,23))</f>
        <v>0</v>
      </c>
      <c r="X1476">
        <f>INDIRECT(ADDRESS(1476,23))+INDIRECT(ADDRESS(1474,24))-INDIRECT(ADDRESS(1475,24))</f>
        <v>0</v>
      </c>
      <c r="Y1476">
        <f>INDIRECT(ADDRESS(1476,24))+INDIRECT(ADDRESS(1474,25))-INDIRECT(ADDRESS(1475,25))</f>
        <v>0</v>
      </c>
      <c r="Z1476">
        <f>INDIRECT(ADDRESS(1476,25))+INDIRECT(ADDRESS(1474,26))-INDIRECT(ADDRESS(1475,26))</f>
        <v>0</v>
      </c>
      <c r="AA1476">
        <f>INDIRECT(ADDRESS(1476,26))+INDIRECT(ADDRESS(1474,27))-INDIRECT(ADDRESS(1475,27))</f>
        <v>0</v>
      </c>
      <c r="AB1476">
        <f>INDIRECT(ADDRESS(1476,27))+INDIRECT(ADDRESS(1474,28))-INDIRECT(ADDRESS(1475,28))</f>
        <v>0</v>
      </c>
      <c r="AC1476">
        <f>INDIRECT(ADDRESS(1476,28))+INDIRECT(ADDRESS(1474,29))-INDIRECT(ADDRESS(1475,29))</f>
        <v>0</v>
      </c>
      <c r="AD1476">
        <f>INDIRECT(ADDRESS(1476,29))+INDIRECT(ADDRESS(1474,30))-INDIRECT(ADDRESS(1475,30))</f>
        <v>0</v>
      </c>
      <c r="AE1476">
        <f>INDIRECT(ADDRESS(1476,30))+INDIRECT(ADDRESS(1474,31))-INDIRECT(ADDRESS(1475,31))</f>
        <v>0</v>
      </c>
      <c r="AF1476">
        <f>INDIRECT(ADDRESS(1476,31))+INDIRECT(ADDRESS(1474,32))-INDIRECT(ADDRESS(1475,32))</f>
        <v>0</v>
      </c>
      <c r="AG1476">
        <f>INDIRECT(ADDRESS(1476,32))+INDIRECT(ADDRESS(1474,33))-INDIRECT(ADDRESS(1475,33))</f>
        <v>0</v>
      </c>
      <c r="AH1476">
        <f>INDIRECT(ADDRESS(1476,33))+INDIRECT(ADDRESS(1474,34))-INDIRECT(ADDRESS(1475,34))</f>
        <v>0</v>
      </c>
      <c r="AI1476">
        <f>INDIRECT(ADDRESS(1476,34))+INDIRECT(ADDRESS(1474,35))-INDIRECT(ADDRESS(1475,35))</f>
        <v>0</v>
      </c>
      <c r="AJ1476">
        <f>INDIRECT(ADDRESS(1476,35))+INDIRECT(ADDRESS(1474,36))-INDIRECT(ADDRESS(1475,36))</f>
        <v>0</v>
      </c>
      <c r="AK1476">
        <f>INDIRECT(ADDRESS(1476,36))+INDIRECT(ADDRESS(1474,37))-INDIRECT(ADDRESS(1475,37))</f>
        <v>0</v>
      </c>
      <c r="AL1476">
        <f>INDIRECT(ADDRESS(1476,37))+INDIRECT(ADDRESS(1474,38))-INDIRECT(ADDRESS(1475,38))</f>
        <v>0</v>
      </c>
      <c r="AM1476">
        <f>INDIRECT(ADDRESS(1476,38))+INDIRECT(ADDRESS(1474,39))-INDIRECT(ADDRESS(1475,39))</f>
        <v>0</v>
      </c>
      <c r="AN1476">
        <f>INDIRECT(ADDRESS(1476,39))+INDIRECT(ADDRESS(1474,40))-INDIRECT(ADDRESS(1475,40))</f>
        <v>0</v>
      </c>
      <c r="AO1476">
        <f>SUM(INDIRECT(ADDRESS(1475,8)):INDIRECT(ADDRESS(1475,39)))</f>
        <v>0</v>
      </c>
    </row>
    <row r="1477" spans="1:41">
      <c r="A1477" t="s">
        <v>185</v>
      </c>
      <c r="B1477" t="s">
        <v>672</v>
      </c>
      <c r="C1477" t="s">
        <v>716</v>
      </c>
      <c r="E1477">
        <v>1</v>
      </c>
      <c r="I1477" t="s">
        <v>177</v>
      </c>
    </row>
    <row r="1478" spans="1:41">
      <c r="I1478" t="s">
        <v>178</v>
      </c>
      <c r="J1478">
        <f>IFERROR(VLOOKUP("906-423348-110",B:AB,1+8,0),0)</f>
        <v>0</v>
      </c>
      <c r="K1478">
        <f>IFERROR(VLOOKUP("906-423348-110",B:AB,2+8,0),0)</f>
        <v>0</v>
      </c>
      <c r="L1478">
        <f>IFERROR(VLOOKUP("906-423348-110",B:AB,3+8,0),0)</f>
        <v>0</v>
      </c>
      <c r="M1478">
        <f>IFERROR(VLOOKUP("906-423348-110",B:AB,4+8,0),0)</f>
        <v>0</v>
      </c>
      <c r="N1478">
        <f>IFERROR(VLOOKUP("906-423348-110",B:AB,5+8,0),0)</f>
        <v>0</v>
      </c>
      <c r="O1478">
        <f>IFERROR(VLOOKUP("906-423348-110",B:AB,6+8,0),0)</f>
        <v>0</v>
      </c>
      <c r="P1478">
        <f>IFERROR(VLOOKUP("906-423348-110",B:AB,7+8,0),0)</f>
        <v>0</v>
      </c>
      <c r="Q1478">
        <f>IFERROR(VLOOKUP("906-423348-110",B:AB,8+8,0),0)</f>
        <v>0</v>
      </c>
      <c r="R1478">
        <f>IFERROR(VLOOKUP("906-423348-110",B:AB,9+8,0),0)</f>
        <v>0</v>
      </c>
      <c r="S1478">
        <f>IFERROR(VLOOKUP("906-423348-110",B:AB,10+8,0),0)</f>
        <v>0</v>
      </c>
      <c r="T1478">
        <f>IFERROR(VLOOKUP("906-423348-110",B:AB,11+8,0),0)</f>
        <v>0</v>
      </c>
      <c r="U1478">
        <f>IFERROR(VLOOKUP("906-423348-110",B:AB,12+8,0),0)</f>
        <v>0</v>
      </c>
      <c r="V1478">
        <f>IFERROR(VLOOKUP("906-423348-110",B:AB,13+8,0),0)</f>
        <v>0</v>
      </c>
      <c r="W1478">
        <f>IFERROR(VLOOKUP("906-423348-110",B:AB,14+8,0),0)</f>
        <v>0</v>
      </c>
      <c r="X1478">
        <f>IFERROR(VLOOKUP("906-423348-110",B:AB,15+8,0),0)</f>
        <v>0</v>
      </c>
      <c r="Y1478">
        <f>IFERROR(VLOOKUP("906-423348-110",B:AB,16+8,0),0)</f>
        <v>0</v>
      </c>
      <c r="Z1478">
        <f>IFERROR(VLOOKUP("906-423348-110",B:AB,17+8,0),0)</f>
        <v>0</v>
      </c>
      <c r="AA1478">
        <f>IFERROR(VLOOKUP("906-423348-110",B:AB,18+8,0),0)</f>
        <v>0</v>
      </c>
      <c r="AB1478">
        <f>IFERROR(VLOOKUP("906-423348-110",B:AB,19+8,0),0)</f>
        <v>0</v>
      </c>
      <c r="AC1478">
        <f>IFERROR(VLOOKUP("906-423348-110",B:AB,20+8,0),0)</f>
        <v>0</v>
      </c>
      <c r="AD1478">
        <f>IFERROR(VLOOKUP("906-423348-110",B:AB,21+8,0),0)</f>
        <v>0</v>
      </c>
      <c r="AE1478">
        <f>IFERROR(VLOOKUP("906-423348-110",B:AB,22+8,0),0)</f>
        <v>0</v>
      </c>
      <c r="AF1478">
        <f>IFERROR(VLOOKUP("906-423348-110",B:AB,23+8,0),0)</f>
        <v>0</v>
      </c>
      <c r="AG1478">
        <f>IFERROR(VLOOKUP("906-423348-110",B:AB,24+8,0),0)</f>
        <v>0</v>
      </c>
      <c r="AH1478">
        <f>IFERROR(VLOOKUP("906-423348-110",B:AB,25+8,0),0)</f>
        <v>0</v>
      </c>
      <c r="AI1478">
        <f>IFERROR(VLOOKUP("906-423348-110",B:AB,26+8,0),0)</f>
        <v>0</v>
      </c>
      <c r="AJ1478">
        <f>IFERROR(VLOOKUP("906-423348-110",B:AB,27+8,0),0)</f>
        <v>0</v>
      </c>
      <c r="AK1478">
        <f>IFERROR(VLOOKUP("906-423348-110",B:AB,28+8,0),0)</f>
        <v>0</v>
      </c>
      <c r="AL1478">
        <f>IFERROR(VLOOKUP("906-423348-110",B:AB,29+8,0),0)</f>
        <v>0</v>
      </c>
      <c r="AM1478">
        <f>IFERROR(VLOOKUP("906-423348-110",B:AB,30+8,0),0)</f>
        <v>0</v>
      </c>
      <c r="AN1478">
        <f>IFERROR(VLOOKUP("906-423348-110",B:AB,31+8,0),0)</f>
        <v>0</v>
      </c>
      <c r="AO1478">
        <f>SUN(INDIRECT(ADDRESS(1477,8)):INDIRECT(ADDRESS(1477,39)))</f>
        <v>0</v>
      </c>
    </row>
    <row r="1479" spans="1:41">
      <c r="H1479" t="s">
        <v>179</v>
      </c>
      <c r="J1479">
        <f>INDIRECT(ADDRESS(1479,9))+INDIRECT(ADDRESS(1477,10))-INDIRECT(ADDRESS(1478,10))</f>
        <v>0</v>
      </c>
      <c r="K1479">
        <f>INDIRECT(ADDRESS(1479,10))+INDIRECT(ADDRESS(1477,11))-INDIRECT(ADDRESS(1478,11))</f>
        <v>0</v>
      </c>
      <c r="L1479">
        <f>INDIRECT(ADDRESS(1479,11))+INDIRECT(ADDRESS(1477,12))-INDIRECT(ADDRESS(1478,12))</f>
        <v>0</v>
      </c>
      <c r="M1479">
        <f>INDIRECT(ADDRESS(1479,12))+INDIRECT(ADDRESS(1477,13))-INDIRECT(ADDRESS(1478,13))</f>
        <v>0</v>
      </c>
      <c r="N1479">
        <f>INDIRECT(ADDRESS(1479,13))+INDIRECT(ADDRESS(1477,14))-INDIRECT(ADDRESS(1478,14))</f>
        <v>0</v>
      </c>
      <c r="O1479">
        <f>INDIRECT(ADDRESS(1479,14))+INDIRECT(ADDRESS(1477,15))-INDIRECT(ADDRESS(1478,15))</f>
        <v>0</v>
      </c>
      <c r="P1479">
        <f>INDIRECT(ADDRESS(1479,15))+INDIRECT(ADDRESS(1477,16))-INDIRECT(ADDRESS(1478,16))</f>
        <v>0</v>
      </c>
      <c r="Q1479">
        <f>INDIRECT(ADDRESS(1479,16))+INDIRECT(ADDRESS(1477,17))-INDIRECT(ADDRESS(1478,17))</f>
        <v>0</v>
      </c>
      <c r="R1479">
        <f>INDIRECT(ADDRESS(1479,17))+INDIRECT(ADDRESS(1477,18))-INDIRECT(ADDRESS(1478,18))</f>
        <v>0</v>
      </c>
      <c r="S1479">
        <f>INDIRECT(ADDRESS(1479,18))+INDIRECT(ADDRESS(1477,19))-INDIRECT(ADDRESS(1478,19))</f>
        <v>0</v>
      </c>
      <c r="T1479">
        <f>INDIRECT(ADDRESS(1479,19))+INDIRECT(ADDRESS(1477,20))-INDIRECT(ADDRESS(1478,20))</f>
        <v>0</v>
      </c>
      <c r="U1479">
        <f>INDIRECT(ADDRESS(1479,20))+INDIRECT(ADDRESS(1477,21))-INDIRECT(ADDRESS(1478,21))</f>
        <v>0</v>
      </c>
      <c r="V1479">
        <f>INDIRECT(ADDRESS(1479,21))+INDIRECT(ADDRESS(1477,22))-INDIRECT(ADDRESS(1478,22))</f>
        <v>0</v>
      </c>
      <c r="W1479">
        <f>INDIRECT(ADDRESS(1479,22))+INDIRECT(ADDRESS(1477,23))-INDIRECT(ADDRESS(1478,23))</f>
        <v>0</v>
      </c>
      <c r="X1479">
        <f>INDIRECT(ADDRESS(1479,23))+INDIRECT(ADDRESS(1477,24))-INDIRECT(ADDRESS(1478,24))</f>
        <v>0</v>
      </c>
      <c r="Y1479">
        <f>INDIRECT(ADDRESS(1479,24))+INDIRECT(ADDRESS(1477,25))-INDIRECT(ADDRESS(1478,25))</f>
        <v>0</v>
      </c>
      <c r="Z1479">
        <f>INDIRECT(ADDRESS(1479,25))+INDIRECT(ADDRESS(1477,26))-INDIRECT(ADDRESS(1478,26))</f>
        <v>0</v>
      </c>
      <c r="AA1479">
        <f>INDIRECT(ADDRESS(1479,26))+INDIRECT(ADDRESS(1477,27))-INDIRECT(ADDRESS(1478,27))</f>
        <v>0</v>
      </c>
      <c r="AB1479">
        <f>INDIRECT(ADDRESS(1479,27))+INDIRECT(ADDRESS(1477,28))-INDIRECT(ADDRESS(1478,28))</f>
        <v>0</v>
      </c>
      <c r="AC1479">
        <f>INDIRECT(ADDRESS(1479,28))+INDIRECT(ADDRESS(1477,29))-INDIRECT(ADDRESS(1478,29))</f>
        <v>0</v>
      </c>
      <c r="AD1479">
        <f>INDIRECT(ADDRESS(1479,29))+INDIRECT(ADDRESS(1477,30))-INDIRECT(ADDRESS(1478,30))</f>
        <v>0</v>
      </c>
      <c r="AE1479">
        <f>INDIRECT(ADDRESS(1479,30))+INDIRECT(ADDRESS(1477,31))-INDIRECT(ADDRESS(1478,31))</f>
        <v>0</v>
      </c>
      <c r="AF1479">
        <f>INDIRECT(ADDRESS(1479,31))+INDIRECT(ADDRESS(1477,32))-INDIRECT(ADDRESS(1478,32))</f>
        <v>0</v>
      </c>
      <c r="AG1479">
        <f>INDIRECT(ADDRESS(1479,32))+INDIRECT(ADDRESS(1477,33))-INDIRECT(ADDRESS(1478,33))</f>
        <v>0</v>
      </c>
      <c r="AH1479">
        <f>INDIRECT(ADDRESS(1479,33))+INDIRECT(ADDRESS(1477,34))-INDIRECT(ADDRESS(1478,34))</f>
        <v>0</v>
      </c>
      <c r="AI1479">
        <f>INDIRECT(ADDRESS(1479,34))+INDIRECT(ADDRESS(1477,35))-INDIRECT(ADDRESS(1478,35))</f>
        <v>0</v>
      </c>
      <c r="AJ1479">
        <f>INDIRECT(ADDRESS(1479,35))+INDIRECT(ADDRESS(1477,36))-INDIRECT(ADDRESS(1478,36))</f>
        <v>0</v>
      </c>
      <c r="AK1479">
        <f>INDIRECT(ADDRESS(1479,36))+INDIRECT(ADDRESS(1477,37))-INDIRECT(ADDRESS(1478,37))</f>
        <v>0</v>
      </c>
      <c r="AL1479">
        <f>INDIRECT(ADDRESS(1479,37))+INDIRECT(ADDRESS(1477,38))-INDIRECT(ADDRESS(1478,38))</f>
        <v>0</v>
      </c>
      <c r="AM1479">
        <f>INDIRECT(ADDRESS(1479,38))+INDIRECT(ADDRESS(1477,39))-INDIRECT(ADDRESS(1478,39))</f>
        <v>0</v>
      </c>
      <c r="AN1479">
        <f>INDIRECT(ADDRESS(1479,39))+INDIRECT(ADDRESS(1477,40))-INDIRECT(ADDRESS(1478,40))</f>
        <v>0</v>
      </c>
      <c r="AO1479">
        <f>SUM(INDIRECT(ADDRESS(1478,8)):INDIRECT(ADDRESS(1478,39)))</f>
        <v>0</v>
      </c>
    </row>
    <row r="1480" spans="1:41">
      <c r="A1480" t="s">
        <v>206</v>
      </c>
      <c r="B1480" t="s">
        <v>672</v>
      </c>
      <c r="C1480" t="s">
        <v>206</v>
      </c>
      <c r="E1480">
        <v>0.063</v>
      </c>
      <c r="I1480" t="s">
        <v>177</v>
      </c>
    </row>
    <row r="1481" spans="1:41">
      <c r="I1481" t="s">
        <v>178</v>
      </c>
      <c r="J1481">
        <f>IFERROR(VLOOKUP("906-423348-110",B:AB,1+8,0),0)</f>
        <v>0</v>
      </c>
      <c r="K1481">
        <f>IFERROR(VLOOKUP("906-423348-110",B:AB,2+8,0),0)</f>
        <v>0</v>
      </c>
      <c r="L1481">
        <f>IFERROR(VLOOKUP("906-423348-110",B:AB,3+8,0),0)</f>
        <v>0</v>
      </c>
      <c r="M1481">
        <f>IFERROR(VLOOKUP("906-423348-110",B:AB,4+8,0),0)</f>
        <v>0</v>
      </c>
      <c r="N1481">
        <f>IFERROR(VLOOKUP("906-423348-110",B:AB,5+8,0),0)</f>
        <v>0</v>
      </c>
      <c r="O1481">
        <f>IFERROR(VLOOKUP("906-423348-110",B:AB,6+8,0),0)</f>
        <v>0</v>
      </c>
      <c r="P1481">
        <f>IFERROR(VLOOKUP("906-423348-110",B:AB,7+8,0),0)</f>
        <v>0</v>
      </c>
      <c r="Q1481">
        <f>IFERROR(VLOOKUP("906-423348-110",B:AB,8+8,0),0)</f>
        <v>0</v>
      </c>
      <c r="R1481">
        <f>IFERROR(VLOOKUP("906-423348-110",B:AB,9+8,0),0)</f>
        <v>0</v>
      </c>
      <c r="S1481">
        <f>IFERROR(VLOOKUP("906-423348-110",B:AB,10+8,0),0)</f>
        <v>0</v>
      </c>
      <c r="T1481">
        <f>IFERROR(VLOOKUP("906-423348-110",B:AB,11+8,0),0)</f>
        <v>0</v>
      </c>
      <c r="U1481">
        <f>IFERROR(VLOOKUP("906-423348-110",B:AB,12+8,0),0)</f>
        <v>0</v>
      </c>
      <c r="V1481">
        <f>IFERROR(VLOOKUP("906-423348-110",B:AB,13+8,0),0)</f>
        <v>0</v>
      </c>
      <c r="W1481">
        <f>IFERROR(VLOOKUP("906-423348-110",B:AB,14+8,0),0)</f>
        <v>0</v>
      </c>
      <c r="X1481">
        <f>IFERROR(VLOOKUP("906-423348-110",B:AB,15+8,0),0)</f>
        <v>0</v>
      </c>
      <c r="Y1481">
        <f>IFERROR(VLOOKUP("906-423348-110",B:AB,16+8,0),0)</f>
        <v>0</v>
      </c>
      <c r="Z1481">
        <f>IFERROR(VLOOKUP("906-423348-110",B:AB,17+8,0),0)</f>
        <v>0</v>
      </c>
      <c r="AA1481">
        <f>IFERROR(VLOOKUP("906-423348-110",B:AB,18+8,0),0)</f>
        <v>0</v>
      </c>
      <c r="AB1481">
        <f>IFERROR(VLOOKUP("906-423348-110",B:AB,19+8,0),0)</f>
        <v>0</v>
      </c>
      <c r="AC1481">
        <f>IFERROR(VLOOKUP("906-423348-110",B:AB,20+8,0),0)</f>
        <v>0</v>
      </c>
      <c r="AD1481">
        <f>IFERROR(VLOOKUP("906-423348-110",B:AB,21+8,0),0)</f>
        <v>0</v>
      </c>
      <c r="AE1481">
        <f>IFERROR(VLOOKUP("906-423348-110",B:AB,22+8,0),0)</f>
        <v>0</v>
      </c>
      <c r="AF1481">
        <f>IFERROR(VLOOKUP("906-423348-110",B:AB,23+8,0),0)</f>
        <v>0</v>
      </c>
      <c r="AG1481">
        <f>IFERROR(VLOOKUP("906-423348-110",B:AB,24+8,0),0)</f>
        <v>0</v>
      </c>
      <c r="AH1481">
        <f>IFERROR(VLOOKUP("906-423348-110",B:AB,25+8,0),0)</f>
        <v>0</v>
      </c>
      <c r="AI1481">
        <f>IFERROR(VLOOKUP("906-423348-110",B:AB,26+8,0),0)</f>
        <v>0</v>
      </c>
      <c r="AJ1481">
        <f>IFERROR(VLOOKUP("906-423348-110",B:AB,27+8,0),0)</f>
        <v>0</v>
      </c>
      <c r="AK1481">
        <f>IFERROR(VLOOKUP("906-423348-110",B:AB,28+8,0),0)</f>
        <v>0</v>
      </c>
      <c r="AL1481">
        <f>IFERROR(VLOOKUP("906-423348-110",B:AB,29+8,0),0)</f>
        <v>0</v>
      </c>
      <c r="AM1481">
        <f>IFERROR(VLOOKUP("906-423348-110",B:AB,30+8,0),0)</f>
        <v>0</v>
      </c>
      <c r="AN1481">
        <f>IFERROR(VLOOKUP("906-423348-110",B:AB,31+8,0),0)</f>
        <v>0</v>
      </c>
      <c r="AO1481">
        <f>SUN(INDIRECT(ADDRESS(1480,8)):INDIRECT(ADDRESS(1480,39)))</f>
        <v>0</v>
      </c>
    </row>
    <row r="1482" spans="1:41">
      <c r="H1482" t="s">
        <v>179</v>
      </c>
      <c r="J1482">
        <f>INDIRECT(ADDRESS(1482,9))+INDIRECT(ADDRESS(1480,10))-INDIRECT(ADDRESS(1481,10))</f>
        <v>0</v>
      </c>
      <c r="K1482">
        <f>INDIRECT(ADDRESS(1482,10))+INDIRECT(ADDRESS(1480,11))-INDIRECT(ADDRESS(1481,11))</f>
        <v>0</v>
      </c>
      <c r="L1482">
        <f>INDIRECT(ADDRESS(1482,11))+INDIRECT(ADDRESS(1480,12))-INDIRECT(ADDRESS(1481,12))</f>
        <v>0</v>
      </c>
      <c r="M1482">
        <f>INDIRECT(ADDRESS(1482,12))+INDIRECT(ADDRESS(1480,13))-INDIRECT(ADDRESS(1481,13))</f>
        <v>0</v>
      </c>
      <c r="N1482">
        <f>INDIRECT(ADDRESS(1482,13))+INDIRECT(ADDRESS(1480,14))-INDIRECT(ADDRESS(1481,14))</f>
        <v>0</v>
      </c>
      <c r="O1482">
        <f>INDIRECT(ADDRESS(1482,14))+INDIRECT(ADDRESS(1480,15))-INDIRECT(ADDRESS(1481,15))</f>
        <v>0</v>
      </c>
      <c r="P1482">
        <f>INDIRECT(ADDRESS(1482,15))+INDIRECT(ADDRESS(1480,16))-INDIRECT(ADDRESS(1481,16))</f>
        <v>0</v>
      </c>
      <c r="Q1482">
        <f>INDIRECT(ADDRESS(1482,16))+INDIRECT(ADDRESS(1480,17))-INDIRECT(ADDRESS(1481,17))</f>
        <v>0</v>
      </c>
      <c r="R1482">
        <f>INDIRECT(ADDRESS(1482,17))+INDIRECT(ADDRESS(1480,18))-INDIRECT(ADDRESS(1481,18))</f>
        <v>0</v>
      </c>
      <c r="S1482">
        <f>INDIRECT(ADDRESS(1482,18))+INDIRECT(ADDRESS(1480,19))-INDIRECT(ADDRESS(1481,19))</f>
        <v>0</v>
      </c>
      <c r="T1482">
        <f>INDIRECT(ADDRESS(1482,19))+INDIRECT(ADDRESS(1480,20))-INDIRECT(ADDRESS(1481,20))</f>
        <v>0</v>
      </c>
      <c r="U1482">
        <f>INDIRECT(ADDRESS(1482,20))+INDIRECT(ADDRESS(1480,21))-INDIRECT(ADDRESS(1481,21))</f>
        <v>0</v>
      </c>
      <c r="V1482">
        <f>INDIRECT(ADDRESS(1482,21))+INDIRECT(ADDRESS(1480,22))-INDIRECT(ADDRESS(1481,22))</f>
        <v>0</v>
      </c>
      <c r="W1482">
        <f>INDIRECT(ADDRESS(1482,22))+INDIRECT(ADDRESS(1480,23))-INDIRECT(ADDRESS(1481,23))</f>
        <v>0</v>
      </c>
      <c r="X1482">
        <f>INDIRECT(ADDRESS(1482,23))+INDIRECT(ADDRESS(1480,24))-INDIRECT(ADDRESS(1481,24))</f>
        <v>0</v>
      </c>
      <c r="Y1482">
        <f>INDIRECT(ADDRESS(1482,24))+INDIRECT(ADDRESS(1480,25))-INDIRECT(ADDRESS(1481,25))</f>
        <v>0</v>
      </c>
      <c r="Z1482">
        <f>INDIRECT(ADDRESS(1482,25))+INDIRECT(ADDRESS(1480,26))-INDIRECT(ADDRESS(1481,26))</f>
        <v>0</v>
      </c>
      <c r="AA1482">
        <f>INDIRECT(ADDRESS(1482,26))+INDIRECT(ADDRESS(1480,27))-INDIRECT(ADDRESS(1481,27))</f>
        <v>0</v>
      </c>
      <c r="AB1482">
        <f>INDIRECT(ADDRESS(1482,27))+INDIRECT(ADDRESS(1480,28))-INDIRECT(ADDRESS(1481,28))</f>
        <v>0</v>
      </c>
      <c r="AC1482">
        <f>INDIRECT(ADDRESS(1482,28))+INDIRECT(ADDRESS(1480,29))-INDIRECT(ADDRESS(1481,29))</f>
        <v>0</v>
      </c>
      <c r="AD1482">
        <f>INDIRECT(ADDRESS(1482,29))+INDIRECT(ADDRESS(1480,30))-INDIRECT(ADDRESS(1481,30))</f>
        <v>0</v>
      </c>
      <c r="AE1482">
        <f>INDIRECT(ADDRESS(1482,30))+INDIRECT(ADDRESS(1480,31))-INDIRECT(ADDRESS(1481,31))</f>
        <v>0</v>
      </c>
      <c r="AF1482">
        <f>INDIRECT(ADDRESS(1482,31))+INDIRECT(ADDRESS(1480,32))-INDIRECT(ADDRESS(1481,32))</f>
        <v>0</v>
      </c>
      <c r="AG1482">
        <f>INDIRECT(ADDRESS(1482,32))+INDIRECT(ADDRESS(1480,33))-INDIRECT(ADDRESS(1481,33))</f>
        <v>0</v>
      </c>
      <c r="AH1482">
        <f>INDIRECT(ADDRESS(1482,33))+INDIRECT(ADDRESS(1480,34))-INDIRECT(ADDRESS(1481,34))</f>
        <v>0</v>
      </c>
      <c r="AI1482">
        <f>INDIRECT(ADDRESS(1482,34))+INDIRECT(ADDRESS(1480,35))-INDIRECT(ADDRESS(1481,35))</f>
        <v>0</v>
      </c>
      <c r="AJ1482">
        <f>INDIRECT(ADDRESS(1482,35))+INDIRECT(ADDRESS(1480,36))-INDIRECT(ADDRESS(1481,36))</f>
        <v>0</v>
      </c>
      <c r="AK1482">
        <f>INDIRECT(ADDRESS(1482,36))+INDIRECT(ADDRESS(1480,37))-INDIRECT(ADDRESS(1481,37))</f>
        <v>0</v>
      </c>
      <c r="AL1482">
        <f>INDIRECT(ADDRESS(1482,37))+INDIRECT(ADDRESS(1480,38))-INDIRECT(ADDRESS(1481,38))</f>
        <v>0</v>
      </c>
      <c r="AM1482">
        <f>INDIRECT(ADDRESS(1482,38))+INDIRECT(ADDRESS(1480,39))-INDIRECT(ADDRESS(1481,39))</f>
        <v>0</v>
      </c>
      <c r="AN1482">
        <f>INDIRECT(ADDRESS(1482,39))+INDIRECT(ADDRESS(1480,40))-INDIRECT(ADDRESS(1481,40))</f>
        <v>0</v>
      </c>
      <c r="AO1482">
        <f>SUM(INDIRECT(ADDRESS(1481,8)):INDIRECT(ADDRESS(1481,39)))</f>
        <v>0</v>
      </c>
    </row>
    <row r="1483" spans="1:41">
      <c r="A1483" t="s">
        <v>8</v>
      </c>
      <c r="B1483" t="s">
        <v>110</v>
      </c>
      <c r="C1483" t="s">
        <v>111</v>
      </c>
      <c r="E1483">
        <v>1</v>
      </c>
      <c r="I1483" t="s">
        <v>177</v>
      </c>
    </row>
    <row r="1484" spans="1:41">
      <c r="I1484" t="s">
        <v>178</v>
      </c>
      <c r="J1484">
        <f>IFERROR(VLOOKUP("906-424348-110",Out!B:AB,1+8,0),0)</f>
        <v>0</v>
      </c>
      <c r="K1484">
        <f>IFERROR(VLOOKUP("906-424348-110",Out!B:AB,2+8,0),0)</f>
        <v>0</v>
      </c>
      <c r="L1484">
        <f>IFERROR(VLOOKUP("906-424348-110",Out!B:AB,3+8,0),0)</f>
        <v>0</v>
      </c>
      <c r="M1484">
        <f>IFERROR(VLOOKUP("906-424348-110",Out!B:AB,4+8,0),0)</f>
        <v>0</v>
      </c>
      <c r="N1484">
        <f>IFERROR(VLOOKUP("906-424348-110",Out!B:AB,5+8,0),0)</f>
        <v>0</v>
      </c>
      <c r="O1484">
        <f>IFERROR(VLOOKUP("906-424348-110",Out!B:AB,6+8,0),0)</f>
        <v>0</v>
      </c>
      <c r="P1484">
        <f>IFERROR(VLOOKUP("906-424348-110",Out!B:AB,7+8,0),0)</f>
        <v>0</v>
      </c>
      <c r="Q1484">
        <f>IFERROR(VLOOKUP("906-424348-110",Out!B:AB,8+8,0),0)</f>
        <v>0</v>
      </c>
      <c r="R1484">
        <f>IFERROR(VLOOKUP("906-424348-110",Out!B:AB,9+8,0),0)</f>
        <v>0</v>
      </c>
      <c r="S1484">
        <f>IFERROR(VLOOKUP("906-424348-110",Out!B:AB,10+8,0),0)</f>
        <v>0</v>
      </c>
      <c r="T1484">
        <f>IFERROR(VLOOKUP("906-424348-110",Out!B:AB,11+8,0),0)</f>
        <v>0</v>
      </c>
      <c r="U1484">
        <f>IFERROR(VLOOKUP("906-424348-110",Out!B:AB,12+8,0),0)</f>
        <v>0</v>
      </c>
      <c r="V1484">
        <f>IFERROR(VLOOKUP("906-424348-110",Out!B:AB,13+8,0),0)</f>
        <v>0</v>
      </c>
      <c r="W1484">
        <f>IFERROR(VLOOKUP("906-424348-110",Out!B:AB,14+8,0),0)</f>
        <v>0</v>
      </c>
      <c r="X1484">
        <f>IFERROR(VLOOKUP("906-424348-110",Out!B:AB,15+8,0),0)</f>
        <v>0</v>
      </c>
      <c r="Y1484">
        <f>IFERROR(VLOOKUP("906-424348-110",Out!B:AB,16+8,0),0)</f>
        <v>0</v>
      </c>
      <c r="Z1484">
        <f>IFERROR(VLOOKUP("906-424348-110",Out!B:AB,17+8,0),0)</f>
        <v>0</v>
      </c>
      <c r="AA1484">
        <f>IFERROR(VLOOKUP("906-424348-110",Out!B:AB,18+8,0),0)</f>
        <v>0</v>
      </c>
      <c r="AB1484">
        <f>IFERROR(VLOOKUP("906-424348-110",Out!B:AB,19+8,0),0)</f>
        <v>0</v>
      </c>
      <c r="AC1484">
        <f>IFERROR(VLOOKUP("906-424348-110",Out!B:AB,20+8,0),0)</f>
        <v>0</v>
      </c>
      <c r="AD1484">
        <f>IFERROR(VLOOKUP("906-424348-110",Out!B:AB,21+8,0),0)</f>
        <v>0</v>
      </c>
      <c r="AE1484">
        <f>IFERROR(VLOOKUP("906-424348-110",Out!B:AB,22+8,0),0)</f>
        <v>0</v>
      </c>
      <c r="AF1484">
        <f>IFERROR(VLOOKUP("906-424348-110",Out!B:AB,23+8,0),0)</f>
        <v>0</v>
      </c>
      <c r="AG1484">
        <f>IFERROR(VLOOKUP("906-424348-110",Out!B:AB,24+8,0),0)</f>
        <v>0</v>
      </c>
      <c r="AH1484">
        <f>IFERROR(VLOOKUP("906-424348-110",Out!B:AB,25+8,0),0)</f>
        <v>0</v>
      </c>
      <c r="AI1484">
        <f>IFERROR(VLOOKUP("906-424348-110",Out!B:AB,26+8,0),0)</f>
        <v>0</v>
      </c>
      <c r="AJ1484">
        <f>IFERROR(VLOOKUP("906-424348-110",Out!B:AB,27+8,0),0)</f>
        <v>0</v>
      </c>
      <c r="AK1484">
        <f>IFERROR(VLOOKUP("906-424348-110",Out!B:AB,28+8,0),0)</f>
        <v>0</v>
      </c>
      <c r="AL1484">
        <f>IFERROR(VLOOKUP("906-424348-110",Out!B:AB,29+8,0),0)</f>
        <v>0</v>
      </c>
      <c r="AM1484">
        <f>IFERROR(VLOOKUP("906-424348-110",Out!B:AB,30+8,0),0)</f>
        <v>0</v>
      </c>
      <c r="AN1484">
        <f>IFERROR(VLOOKUP("906-424348-110",Out!B:AB,31+8,0),0)</f>
        <v>0</v>
      </c>
      <c r="AO1484">
        <f>SUN(INDIRECT(ADDRESS(1483,8)):INDIRECT(ADDRESS(1483,39)))</f>
        <v>0</v>
      </c>
    </row>
    <row r="1485" spans="1:41">
      <c r="H1485" t="s">
        <v>179</v>
      </c>
      <c r="J1485">
        <f>INDIRECT(ADDRESS(1485,9))+INDIRECT(ADDRESS(1483,10))-INDIRECT(ADDRESS(1484,10))</f>
        <v>0</v>
      </c>
      <c r="K1485">
        <f>INDIRECT(ADDRESS(1485,10))+INDIRECT(ADDRESS(1483,11))-INDIRECT(ADDRESS(1484,11))</f>
        <v>0</v>
      </c>
      <c r="L1485">
        <f>INDIRECT(ADDRESS(1485,11))+INDIRECT(ADDRESS(1483,12))-INDIRECT(ADDRESS(1484,12))</f>
        <v>0</v>
      </c>
      <c r="M1485">
        <f>INDIRECT(ADDRESS(1485,12))+INDIRECT(ADDRESS(1483,13))-INDIRECT(ADDRESS(1484,13))</f>
        <v>0</v>
      </c>
      <c r="N1485">
        <f>INDIRECT(ADDRESS(1485,13))+INDIRECT(ADDRESS(1483,14))-INDIRECT(ADDRESS(1484,14))</f>
        <v>0</v>
      </c>
      <c r="O1485">
        <f>INDIRECT(ADDRESS(1485,14))+INDIRECT(ADDRESS(1483,15))-INDIRECT(ADDRESS(1484,15))</f>
        <v>0</v>
      </c>
      <c r="P1485">
        <f>INDIRECT(ADDRESS(1485,15))+INDIRECT(ADDRESS(1483,16))-INDIRECT(ADDRESS(1484,16))</f>
        <v>0</v>
      </c>
      <c r="Q1485">
        <f>INDIRECT(ADDRESS(1485,16))+INDIRECT(ADDRESS(1483,17))-INDIRECT(ADDRESS(1484,17))</f>
        <v>0</v>
      </c>
      <c r="R1485">
        <f>INDIRECT(ADDRESS(1485,17))+INDIRECT(ADDRESS(1483,18))-INDIRECT(ADDRESS(1484,18))</f>
        <v>0</v>
      </c>
      <c r="S1485">
        <f>INDIRECT(ADDRESS(1485,18))+INDIRECT(ADDRESS(1483,19))-INDIRECT(ADDRESS(1484,19))</f>
        <v>0</v>
      </c>
      <c r="T1485">
        <f>INDIRECT(ADDRESS(1485,19))+INDIRECT(ADDRESS(1483,20))-INDIRECT(ADDRESS(1484,20))</f>
        <v>0</v>
      </c>
      <c r="U1485">
        <f>INDIRECT(ADDRESS(1485,20))+INDIRECT(ADDRESS(1483,21))-INDIRECT(ADDRESS(1484,21))</f>
        <v>0</v>
      </c>
      <c r="V1485">
        <f>INDIRECT(ADDRESS(1485,21))+INDIRECT(ADDRESS(1483,22))-INDIRECT(ADDRESS(1484,22))</f>
        <v>0</v>
      </c>
      <c r="W1485">
        <f>INDIRECT(ADDRESS(1485,22))+INDIRECT(ADDRESS(1483,23))-INDIRECT(ADDRESS(1484,23))</f>
        <v>0</v>
      </c>
      <c r="X1485">
        <f>INDIRECT(ADDRESS(1485,23))+INDIRECT(ADDRESS(1483,24))-INDIRECT(ADDRESS(1484,24))</f>
        <v>0</v>
      </c>
      <c r="Y1485">
        <f>INDIRECT(ADDRESS(1485,24))+INDIRECT(ADDRESS(1483,25))-INDIRECT(ADDRESS(1484,25))</f>
        <v>0</v>
      </c>
      <c r="Z1485">
        <f>INDIRECT(ADDRESS(1485,25))+INDIRECT(ADDRESS(1483,26))-INDIRECT(ADDRESS(1484,26))</f>
        <v>0</v>
      </c>
      <c r="AA1485">
        <f>INDIRECT(ADDRESS(1485,26))+INDIRECT(ADDRESS(1483,27))-INDIRECT(ADDRESS(1484,27))</f>
        <v>0</v>
      </c>
      <c r="AB1485">
        <f>INDIRECT(ADDRESS(1485,27))+INDIRECT(ADDRESS(1483,28))-INDIRECT(ADDRESS(1484,28))</f>
        <v>0</v>
      </c>
      <c r="AC1485">
        <f>INDIRECT(ADDRESS(1485,28))+INDIRECT(ADDRESS(1483,29))-INDIRECT(ADDRESS(1484,29))</f>
        <v>0</v>
      </c>
      <c r="AD1485">
        <f>INDIRECT(ADDRESS(1485,29))+INDIRECT(ADDRESS(1483,30))-INDIRECT(ADDRESS(1484,30))</f>
        <v>0</v>
      </c>
      <c r="AE1485">
        <f>INDIRECT(ADDRESS(1485,30))+INDIRECT(ADDRESS(1483,31))-INDIRECT(ADDRESS(1484,31))</f>
        <v>0</v>
      </c>
      <c r="AF1485">
        <f>INDIRECT(ADDRESS(1485,31))+INDIRECT(ADDRESS(1483,32))-INDIRECT(ADDRESS(1484,32))</f>
        <v>0</v>
      </c>
      <c r="AG1485">
        <f>INDIRECT(ADDRESS(1485,32))+INDIRECT(ADDRESS(1483,33))-INDIRECT(ADDRESS(1484,33))</f>
        <v>0</v>
      </c>
      <c r="AH1485">
        <f>INDIRECT(ADDRESS(1485,33))+INDIRECT(ADDRESS(1483,34))-INDIRECT(ADDRESS(1484,34))</f>
        <v>0</v>
      </c>
      <c r="AI1485">
        <f>INDIRECT(ADDRESS(1485,34))+INDIRECT(ADDRESS(1483,35))-INDIRECT(ADDRESS(1484,35))</f>
        <v>0</v>
      </c>
      <c r="AJ1485">
        <f>INDIRECT(ADDRESS(1485,35))+INDIRECT(ADDRESS(1483,36))-INDIRECT(ADDRESS(1484,36))</f>
        <v>0</v>
      </c>
      <c r="AK1485">
        <f>INDIRECT(ADDRESS(1485,36))+INDIRECT(ADDRESS(1483,37))-INDIRECT(ADDRESS(1484,37))</f>
        <v>0</v>
      </c>
      <c r="AL1485">
        <f>INDIRECT(ADDRESS(1485,37))+INDIRECT(ADDRESS(1483,38))-INDIRECT(ADDRESS(1484,38))</f>
        <v>0</v>
      </c>
      <c r="AM1485">
        <f>INDIRECT(ADDRESS(1485,38))+INDIRECT(ADDRESS(1483,39))-INDIRECT(ADDRESS(1484,39))</f>
        <v>0</v>
      </c>
      <c r="AN1485">
        <f>INDIRECT(ADDRESS(1485,39))+INDIRECT(ADDRESS(1483,40))-INDIRECT(ADDRESS(1484,40))</f>
        <v>0</v>
      </c>
      <c r="AO1485">
        <f>SUM(INDIRECT(ADDRESS(1484,8)):INDIRECT(ADDRESS(1484,39)))</f>
        <v>0</v>
      </c>
    </row>
    <row r="1486" spans="1:41">
      <c r="A1486" t="s">
        <v>180</v>
      </c>
      <c r="B1486" t="s">
        <v>667</v>
      </c>
      <c r="C1486" t="s">
        <v>585</v>
      </c>
      <c r="E1486">
        <v>1</v>
      </c>
      <c r="I1486" t="s">
        <v>177</v>
      </c>
    </row>
    <row r="1487" spans="1:41">
      <c r="I1487" t="s">
        <v>178</v>
      </c>
      <c r="J1487">
        <f>IFERROR(VLOOKUP("906-424348-110",B:AB,1+8,0),0)</f>
        <v>0</v>
      </c>
      <c r="K1487">
        <f>IFERROR(VLOOKUP("906-424348-110",B:AB,2+8,0),0)</f>
        <v>0</v>
      </c>
      <c r="L1487">
        <f>IFERROR(VLOOKUP("906-424348-110",B:AB,3+8,0),0)</f>
        <v>0</v>
      </c>
      <c r="M1487">
        <f>IFERROR(VLOOKUP("906-424348-110",B:AB,4+8,0),0)</f>
        <v>0</v>
      </c>
      <c r="N1487">
        <f>IFERROR(VLOOKUP("906-424348-110",B:AB,5+8,0),0)</f>
        <v>0</v>
      </c>
      <c r="O1487">
        <f>IFERROR(VLOOKUP("906-424348-110",B:AB,6+8,0),0)</f>
        <v>0</v>
      </c>
      <c r="P1487">
        <f>IFERROR(VLOOKUP("906-424348-110",B:AB,7+8,0),0)</f>
        <v>0</v>
      </c>
      <c r="Q1487">
        <f>IFERROR(VLOOKUP("906-424348-110",B:AB,8+8,0),0)</f>
        <v>0</v>
      </c>
      <c r="R1487">
        <f>IFERROR(VLOOKUP("906-424348-110",B:AB,9+8,0),0)</f>
        <v>0</v>
      </c>
      <c r="S1487">
        <f>IFERROR(VLOOKUP("906-424348-110",B:AB,10+8,0),0)</f>
        <v>0</v>
      </c>
      <c r="T1487">
        <f>IFERROR(VLOOKUP("906-424348-110",B:AB,11+8,0),0)</f>
        <v>0</v>
      </c>
      <c r="U1487">
        <f>IFERROR(VLOOKUP("906-424348-110",B:AB,12+8,0),0)</f>
        <v>0</v>
      </c>
      <c r="V1487">
        <f>IFERROR(VLOOKUP("906-424348-110",B:AB,13+8,0),0)</f>
        <v>0</v>
      </c>
      <c r="W1487">
        <f>IFERROR(VLOOKUP("906-424348-110",B:AB,14+8,0),0)</f>
        <v>0</v>
      </c>
      <c r="X1487">
        <f>IFERROR(VLOOKUP("906-424348-110",B:AB,15+8,0),0)</f>
        <v>0</v>
      </c>
      <c r="Y1487">
        <f>IFERROR(VLOOKUP("906-424348-110",B:AB,16+8,0),0)</f>
        <v>0</v>
      </c>
      <c r="Z1487">
        <f>IFERROR(VLOOKUP("906-424348-110",B:AB,17+8,0),0)</f>
        <v>0</v>
      </c>
      <c r="AA1487">
        <f>IFERROR(VLOOKUP("906-424348-110",B:AB,18+8,0),0)</f>
        <v>0</v>
      </c>
      <c r="AB1487">
        <f>IFERROR(VLOOKUP("906-424348-110",B:AB,19+8,0),0)</f>
        <v>0</v>
      </c>
      <c r="AC1487">
        <f>IFERROR(VLOOKUP("906-424348-110",B:AB,20+8,0),0)</f>
        <v>0</v>
      </c>
      <c r="AD1487">
        <f>IFERROR(VLOOKUP("906-424348-110",B:AB,21+8,0),0)</f>
        <v>0</v>
      </c>
      <c r="AE1487">
        <f>IFERROR(VLOOKUP("906-424348-110",B:AB,22+8,0),0)</f>
        <v>0</v>
      </c>
      <c r="AF1487">
        <f>IFERROR(VLOOKUP("906-424348-110",B:AB,23+8,0),0)</f>
        <v>0</v>
      </c>
      <c r="AG1487">
        <f>IFERROR(VLOOKUP("906-424348-110",B:AB,24+8,0),0)</f>
        <v>0</v>
      </c>
      <c r="AH1487">
        <f>IFERROR(VLOOKUP("906-424348-110",B:AB,25+8,0),0)</f>
        <v>0</v>
      </c>
      <c r="AI1487">
        <f>IFERROR(VLOOKUP("906-424348-110",B:AB,26+8,0),0)</f>
        <v>0</v>
      </c>
      <c r="AJ1487">
        <f>IFERROR(VLOOKUP("906-424348-110",B:AB,27+8,0),0)</f>
        <v>0</v>
      </c>
      <c r="AK1487">
        <f>IFERROR(VLOOKUP("906-424348-110",B:AB,28+8,0),0)</f>
        <v>0</v>
      </c>
      <c r="AL1487">
        <f>IFERROR(VLOOKUP("906-424348-110",B:AB,29+8,0),0)</f>
        <v>0</v>
      </c>
      <c r="AM1487">
        <f>IFERROR(VLOOKUP("906-424348-110",B:AB,30+8,0),0)</f>
        <v>0</v>
      </c>
      <c r="AN1487">
        <f>IFERROR(VLOOKUP("906-424348-110",B:AB,31+8,0),0)</f>
        <v>0</v>
      </c>
      <c r="AO1487">
        <f>SUN(INDIRECT(ADDRESS(1486,8)):INDIRECT(ADDRESS(1486,39)))</f>
        <v>0</v>
      </c>
    </row>
    <row r="1488" spans="1:41">
      <c r="H1488" t="s">
        <v>179</v>
      </c>
      <c r="J1488">
        <f>INDIRECT(ADDRESS(1488,9))+INDIRECT(ADDRESS(1486,10))-INDIRECT(ADDRESS(1487,10))</f>
        <v>0</v>
      </c>
      <c r="K1488">
        <f>INDIRECT(ADDRESS(1488,10))+INDIRECT(ADDRESS(1486,11))-INDIRECT(ADDRESS(1487,11))</f>
        <v>0</v>
      </c>
      <c r="L1488">
        <f>INDIRECT(ADDRESS(1488,11))+INDIRECT(ADDRESS(1486,12))-INDIRECT(ADDRESS(1487,12))</f>
        <v>0</v>
      </c>
      <c r="M1488">
        <f>INDIRECT(ADDRESS(1488,12))+INDIRECT(ADDRESS(1486,13))-INDIRECT(ADDRESS(1487,13))</f>
        <v>0</v>
      </c>
      <c r="N1488">
        <f>INDIRECT(ADDRESS(1488,13))+INDIRECT(ADDRESS(1486,14))-INDIRECT(ADDRESS(1487,14))</f>
        <v>0</v>
      </c>
      <c r="O1488">
        <f>INDIRECT(ADDRESS(1488,14))+INDIRECT(ADDRESS(1486,15))-INDIRECT(ADDRESS(1487,15))</f>
        <v>0</v>
      </c>
      <c r="P1488">
        <f>INDIRECT(ADDRESS(1488,15))+INDIRECT(ADDRESS(1486,16))-INDIRECT(ADDRESS(1487,16))</f>
        <v>0</v>
      </c>
      <c r="Q1488">
        <f>INDIRECT(ADDRESS(1488,16))+INDIRECT(ADDRESS(1486,17))-INDIRECT(ADDRESS(1487,17))</f>
        <v>0</v>
      </c>
      <c r="R1488">
        <f>INDIRECT(ADDRESS(1488,17))+INDIRECT(ADDRESS(1486,18))-INDIRECT(ADDRESS(1487,18))</f>
        <v>0</v>
      </c>
      <c r="S1488">
        <f>INDIRECT(ADDRESS(1488,18))+INDIRECT(ADDRESS(1486,19))-INDIRECT(ADDRESS(1487,19))</f>
        <v>0</v>
      </c>
      <c r="T1488">
        <f>INDIRECT(ADDRESS(1488,19))+INDIRECT(ADDRESS(1486,20))-INDIRECT(ADDRESS(1487,20))</f>
        <v>0</v>
      </c>
      <c r="U1488">
        <f>INDIRECT(ADDRESS(1488,20))+INDIRECT(ADDRESS(1486,21))-INDIRECT(ADDRESS(1487,21))</f>
        <v>0</v>
      </c>
      <c r="V1488">
        <f>INDIRECT(ADDRESS(1488,21))+INDIRECT(ADDRESS(1486,22))-INDIRECT(ADDRESS(1487,22))</f>
        <v>0</v>
      </c>
      <c r="W1488">
        <f>INDIRECT(ADDRESS(1488,22))+INDIRECT(ADDRESS(1486,23))-INDIRECT(ADDRESS(1487,23))</f>
        <v>0</v>
      </c>
      <c r="X1488">
        <f>INDIRECT(ADDRESS(1488,23))+INDIRECT(ADDRESS(1486,24))-INDIRECT(ADDRESS(1487,24))</f>
        <v>0</v>
      </c>
      <c r="Y1488">
        <f>INDIRECT(ADDRESS(1488,24))+INDIRECT(ADDRESS(1486,25))-INDIRECT(ADDRESS(1487,25))</f>
        <v>0</v>
      </c>
      <c r="Z1488">
        <f>INDIRECT(ADDRESS(1488,25))+INDIRECT(ADDRESS(1486,26))-INDIRECT(ADDRESS(1487,26))</f>
        <v>0</v>
      </c>
      <c r="AA1488">
        <f>INDIRECT(ADDRESS(1488,26))+INDIRECT(ADDRESS(1486,27))-INDIRECT(ADDRESS(1487,27))</f>
        <v>0</v>
      </c>
      <c r="AB1488">
        <f>INDIRECT(ADDRESS(1488,27))+INDIRECT(ADDRESS(1486,28))-INDIRECT(ADDRESS(1487,28))</f>
        <v>0</v>
      </c>
      <c r="AC1488">
        <f>INDIRECT(ADDRESS(1488,28))+INDIRECT(ADDRESS(1486,29))-INDIRECT(ADDRESS(1487,29))</f>
        <v>0</v>
      </c>
      <c r="AD1488">
        <f>INDIRECT(ADDRESS(1488,29))+INDIRECT(ADDRESS(1486,30))-INDIRECT(ADDRESS(1487,30))</f>
        <v>0</v>
      </c>
      <c r="AE1488">
        <f>INDIRECT(ADDRESS(1488,30))+INDIRECT(ADDRESS(1486,31))-INDIRECT(ADDRESS(1487,31))</f>
        <v>0</v>
      </c>
      <c r="AF1488">
        <f>INDIRECT(ADDRESS(1488,31))+INDIRECT(ADDRESS(1486,32))-INDIRECT(ADDRESS(1487,32))</f>
        <v>0</v>
      </c>
      <c r="AG1488">
        <f>INDIRECT(ADDRESS(1488,32))+INDIRECT(ADDRESS(1486,33))-INDIRECT(ADDRESS(1487,33))</f>
        <v>0</v>
      </c>
      <c r="AH1488">
        <f>INDIRECT(ADDRESS(1488,33))+INDIRECT(ADDRESS(1486,34))-INDIRECT(ADDRESS(1487,34))</f>
        <v>0</v>
      </c>
      <c r="AI1488">
        <f>INDIRECT(ADDRESS(1488,34))+INDIRECT(ADDRESS(1486,35))-INDIRECT(ADDRESS(1487,35))</f>
        <v>0</v>
      </c>
      <c r="AJ1488">
        <f>INDIRECT(ADDRESS(1488,35))+INDIRECT(ADDRESS(1486,36))-INDIRECT(ADDRESS(1487,36))</f>
        <v>0</v>
      </c>
      <c r="AK1488">
        <f>INDIRECT(ADDRESS(1488,36))+INDIRECT(ADDRESS(1486,37))-INDIRECT(ADDRESS(1487,37))</f>
        <v>0</v>
      </c>
      <c r="AL1488">
        <f>INDIRECT(ADDRESS(1488,37))+INDIRECT(ADDRESS(1486,38))-INDIRECT(ADDRESS(1487,38))</f>
        <v>0</v>
      </c>
      <c r="AM1488">
        <f>INDIRECT(ADDRESS(1488,38))+INDIRECT(ADDRESS(1486,39))-INDIRECT(ADDRESS(1487,39))</f>
        <v>0</v>
      </c>
      <c r="AN1488">
        <f>INDIRECT(ADDRESS(1488,39))+INDIRECT(ADDRESS(1486,40))-INDIRECT(ADDRESS(1487,40))</f>
        <v>0</v>
      </c>
      <c r="AO1488">
        <f>SUM(INDIRECT(ADDRESS(1487,8)):INDIRECT(ADDRESS(1487,39)))</f>
        <v>0</v>
      </c>
    </row>
    <row r="1489" spans="1:41">
      <c r="A1489" t="s">
        <v>180</v>
      </c>
      <c r="B1489" t="s">
        <v>668</v>
      </c>
      <c r="C1489" t="s">
        <v>669</v>
      </c>
      <c r="E1489">
        <v>1</v>
      </c>
      <c r="I1489" t="s">
        <v>177</v>
      </c>
    </row>
    <row r="1490" spans="1:41">
      <c r="I1490" t="s">
        <v>178</v>
      </c>
      <c r="J1490">
        <f>IFERROR(VLOOKUP("906-424348-110",B:AB,1+8,0),0)</f>
        <v>0</v>
      </c>
      <c r="K1490">
        <f>IFERROR(VLOOKUP("906-424348-110",B:AB,2+8,0),0)</f>
        <v>0</v>
      </c>
      <c r="L1490">
        <f>IFERROR(VLOOKUP("906-424348-110",B:AB,3+8,0),0)</f>
        <v>0</v>
      </c>
      <c r="M1490">
        <f>IFERROR(VLOOKUP("906-424348-110",B:AB,4+8,0),0)</f>
        <v>0</v>
      </c>
      <c r="N1490">
        <f>IFERROR(VLOOKUP("906-424348-110",B:AB,5+8,0),0)</f>
        <v>0</v>
      </c>
      <c r="O1490">
        <f>IFERROR(VLOOKUP("906-424348-110",B:AB,6+8,0),0)</f>
        <v>0</v>
      </c>
      <c r="P1490">
        <f>IFERROR(VLOOKUP("906-424348-110",B:AB,7+8,0),0)</f>
        <v>0</v>
      </c>
      <c r="Q1490">
        <f>IFERROR(VLOOKUP("906-424348-110",B:AB,8+8,0),0)</f>
        <v>0</v>
      </c>
      <c r="R1490">
        <f>IFERROR(VLOOKUP("906-424348-110",B:AB,9+8,0),0)</f>
        <v>0</v>
      </c>
      <c r="S1490">
        <f>IFERROR(VLOOKUP("906-424348-110",B:AB,10+8,0),0)</f>
        <v>0</v>
      </c>
      <c r="T1490">
        <f>IFERROR(VLOOKUP("906-424348-110",B:AB,11+8,0),0)</f>
        <v>0</v>
      </c>
      <c r="U1490">
        <f>IFERROR(VLOOKUP("906-424348-110",B:AB,12+8,0),0)</f>
        <v>0</v>
      </c>
      <c r="V1490">
        <f>IFERROR(VLOOKUP("906-424348-110",B:AB,13+8,0),0)</f>
        <v>0</v>
      </c>
      <c r="W1490">
        <f>IFERROR(VLOOKUP("906-424348-110",B:AB,14+8,0),0)</f>
        <v>0</v>
      </c>
      <c r="X1490">
        <f>IFERROR(VLOOKUP("906-424348-110",B:AB,15+8,0),0)</f>
        <v>0</v>
      </c>
      <c r="Y1490">
        <f>IFERROR(VLOOKUP("906-424348-110",B:AB,16+8,0),0)</f>
        <v>0</v>
      </c>
      <c r="Z1490">
        <f>IFERROR(VLOOKUP("906-424348-110",B:AB,17+8,0),0)</f>
        <v>0</v>
      </c>
      <c r="AA1490">
        <f>IFERROR(VLOOKUP("906-424348-110",B:AB,18+8,0),0)</f>
        <v>0</v>
      </c>
      <c r="AB1490">
        <f>IFERROR(VLOOKUP("906-424348-110",B:AB,19+8,0),0)</f>
        <v>0</v>
      </c>
      <c r="AC1490">
        <f>IFERROR(VLOOKUP("906-424348-110",B:AB,20+8,0),0)</f>
        <v>0</v>
      </c>
      <c r="AD1490">
        <f>IFERROR(VLOOKUP("906-424348-110",B:AB,21+8,0),0)</f>
        <v>0</v>
      </c>
      <c r="AE1490">
        <f>IFERROR(VLOOKUP("906-424348-110",B:AB,22+8,0),0)</f>
        <v>0</v>
      </c>
      <c r="AF1490">
        <f>IFERROR(VLOOKUP("906-424348-110",B:AB,23+8,0),0)</f>
        <v>0</v>
      </c>
      <c r="AG1490">
        <f>IFERROR(VLOOKUP("906-424348-110",B:AB,24+8,0),0)</f>
        <v>0</v>
      </c>
      <c r="AH1490">
        <f>IFERROR(VLOOKUP("906-424348-110",B:AB,25+8,0),0)</f>
        <v>0</v>
      </c>
      <c r="AI1490">
        <f>IFERROR(VLOOKUP("906-424348-110",B:AB,26+8,0),0)</f>
        <v>0</v>
      </c>
      <c r="AJ1490">
        <f>IFERROR(VLOOKUP("906-424348-110",B:AB,27+8,0),0)</f>
        <v>0</v>
      </c>
      <c r="AK1490">
        <f>IFERROR(VLOOKUP("906-424348-110",B:AB,28+8,0),0)</f>
        <v>0</v>
      </c>
      <c r="AL1490">
        <f>IFERROR(VLOOKUP("906-424348-110",B:AB,29+8,0),0)</f>
        <v>0</v>
      </c>
      <c r="AM1490">
        <f>IFERROR(VLOOKUP("906-424348-110",B:AB,30+8,0),0)</f>
        <v>0</v>
      </c>
      <c r="AN1490">
        <f>IFERROR(VLOOKUP("906-424348-110",B:AB,31+8,0),0)</f>
        <v>0</v>
      </c>
      <c r="AO1490">
        <f>SUN(INDIRECT(ADDRESS(1489,8)):INDIRECT(ADDRESS(1489,39)))</f>
        <v>0</v>
      </c>
    </row>
    <row r="1491" spans="1:41">
      <c r="H1491" t="s">
        <v>179</v>
      </c>
      <c r="J1491">
        <f>INDIRECT(ADDRESS(1491,9))+INDIRECT(ADDRESS(1489,10))-INDIRECT(ADDRESS(1490,10))</f>
        <v>0</v>
      </c>
      <c r="K1491">
        <f>INDIRECT(ADDRESS(1491,10))+INDIRECT(ADDRESS(1489,11))-INDIRECT(ADDRESS(1490,11))</f>
        <v>0</v>
      </c>
      <c r="L1491">
        <f>INDIRECT(ADDRESS(1491,11))+INDIRECT(ADDRESS(1489,12))-INDIRECT(ADDRESS(1490,12))</f>
        <v>0</v>
      </c>
      <c r="M1491">
        <f>INDIRECT(ADDRESS(1491,12))+INDIRECT(ADDRESS(1489,13))-INDIRECT(ADDRESS(1490,13))</f>
        <v>0</v>
      </c>
      <c r="N1491">
        <f>INDIRECT(ADDRESS(1491,13))+INDIRECT(ADDRESS(1489,14))-INDIRECT(ADDRESS(1490,14))</f>
        <v>0</v>
      </c>
      <c r="O1491">
        <f>INDIRECT(ADDRESS(1491,14))+INDIRECT(ADDRESS(1489,15))-INDIRECT(ADDRESS(1490,15))</f>
        <v>0</v>
      </c>
      <c r="P1491">
        <f>INDIRECT(ADDRESS(1491,15))+INDIRECT(ADDRESS(1489,16))-INDIRECT(ADDRESS(1490,16))</f>
        <v>0</v>
      </c>
      <c r="Q1491">
        <f>INDIRECT(ADDRESS(1491,16))+INDIRECT(ADDRESS(1489,17))-INDIRECT(ADDRESS(1490,17))</f>
        <v>0</v>
      </c>
      <c r="R1491">
        <f>INDIRECT(ADDRESS(1491,17))+INDIRECT(ADDRESS(1489,18))-INDIRECT(ADDRESS(1490,18))</f>
        <v>0</v>
      </c>
      <c r="S1491">
        <f>INDIRECT(ADDRESS(1491,18))+INDIRECT(ADDRESS(1489,19))-INDIRECT(ADDRESS(1490,19))</f>
        <v>0</v>
      </c>
      <c r="T1491">
        <f>INDIRECT(ADDRESS(1491,19))+INDIRECT(ADDRESS(1489,20))-INDIRECT(ADDRESS(1490,20))</f>
        <v>0</v>
      </c>
      <c r="U1491">
        <f>INDIRECT(ADDRESS(1491,20))+INDIRECT(ADDRESS(1489,21))-INDIRECT(ADDRESS(1490,21))</f>
        <v>0</v>
      </c>
      <c r="V1491">
        <f>INDIRECT(ADDRESS(1491,21))+INDIRECT(ADDRESS(1489,22))-INDIRECT(ADDRESS(1490,22))</f>
        <v>0</v>
      </c>
      <c r="W1491">
        <f>INDIRECT(ADDRESS(1491,22))+INDIRECT(ADDRESS(1489,23))-INDIRECT(ADDRESS(1490,23))</f>
        <v>0</v>
      </c>
      <c r="X1491">
        <f>INDIRECT(ADDRESS(1491,23))+INDIRECT(ADDRESS(1489,24))-INDIRECT(ADDRESS(1490,24))</f>
        <v>0</v>
      </c>
      <c r="Y1491">
        <f>INDIRECT(ADDRESS(1491,24))+INDIRECT(ADDRESS(1489,25))-INDIRECT(ADDRESS(1490,25))</f>
        <v>0</v>
      </c>
      <c r="Z1491">
        <f>INDIRECT(ADDRESS(1491,25))+INDIRECT(ADDRESS(1489,26))-INDIRECT(ADDRESS(1490,26))</f>
        <v>0</v>
      </c>
      <c r="AA1491">
        <f>INDIRECT(ADDRESS(1491,26))+INDIRECT(ADDRESS(1489,27))-INDIRECT(ADDRESS(1490,27))</f>
        <v>0</v>
      </c>
      <c r="AB1491">
        <f>INDIRECT(ADDRESS(1491,27))+INDIRECT(ADDRESS(1489,28))-INDIRECT(ADDRESS(1490,28))</f>
        <v>0</v>
      </c>
      <c r="AC1491">
        <f>INDIRECT(ADDRESS(1491,28))+INDIRECT(ADDRESS(1489,29))-INDIRECT(ADDRESS(1490,29))</f>
        <v>0</v>
      </c>
      <c r="AD1491">
        <f>INDIRECT(ADDRESS(1491,29))+INDIRECT(ADDRESS(1489,30))-INDIRECT(ADDRESS(1490,30))</f>
        <v>0</v>
      </c>
      <c r="AE1491">
        <f>INDIRECT(ADDRESS(1491,30))+INDIRECT(ADDRESS(1489,31))-INDIRECT(ADDRESS(1490,31))</f>
        <v>0</v>
      </c>
      <c r="AF1491">
        <f>INDIRECT(ADDRESS(1491,31))+INDIRECT(ADDRESS(1489,32))-INDIRECT(ADDRESS(1490,32))</f>
        <v>0</v>
      </c>
      <c r="AG1491">
        <f>INDIRECT(ADDRESS(1491,32))+INDIRECT(ADDRESS(1489,33))-INDIRECT(ADDRESS(1490,33))</f>
        <v>0</v>
      </c>
      <c r="AH1491">
        <f>INDIRECT(ADDRESS(1491,33))+INDIRECT(ADDRESS(1489,34))-INDIRECT(ADDRESS(1490,34))</f>
        <v>0</v>
      </c>
      <c r="AI1491">
        <f>INDIRECT(ADDRESS(1491,34))+INDIRECT(ADDRESS(1489,35))-INDIRECT(ADDRESS(1490,35))</f>
        <v>0</v>
      </c>
      <c r="AJ1491">
        <f>INDIRECT(ADDRESS(1491,35))+INDIRECT(ADDRESS(1489,36))-INDIRECT(ADDRESS(1490,36))</f>
        <v>0</v>
      </c>
      <c r="AK1491">
        <f>INDIRECT(ADDRESS(1491,36))+INDIRECT(ADDRESS(1489,37))-INDIRECT(ADDRESS(1490,37))</f>
        <v>0</v>
      </c>
      <c r="AL1491">
        <f>INDIRECT(ADDRESS(1491,37))+INDIRECT(ADDRESS(1489,38))-INDIRECT(ADDRESS(1490,38))</f>
        <v>0</v>
      </c>
      <c r="AM1491">
        <f>INDIRECT(ADDRESS(1491,38))+INDIRECT(ADDRESS(1489,39))-INDIRECT(ADDRESS(1490,39))</f>
        <v>0</v>
      </c>
      <c r="AN1491">
        <f>INDIRECT(ADDRESS(1491,39))+INDIRECT(ADDRESS(1489,40))-INDIRECT(ADDRESS(1490,40))</f>
        <v>0</v>
      </c>
      <c r="AO1491">
        <f>SUM(INDIRECT(ADDRESS(1490,8)):INDIRECT(ADDRESS(1490,39)))</f>
        <v>0</v>
      </c>
    </row>
    <row r="1492" spans="1:41">
      <c r="A1492" t="s">
        <v>185</v>
      </c>
      <c r="B1492" t="s">
        <v>592</v>
      </c>
      <c r="C1492" t="s">
        <v>711</v>
      </c>
      <c r="E1492">
        <v>1</v>
      </c>
      <c r="I1492" t="s">
        <v>177</v>
      </c>
    </row>
    <row r="1493" spans="1:41">
      <c r="I1493" t="s">
        <v>178</v>
      </c>
      <c r="J1493">
        <f>IFERROR(VLOOKUP("906-424348-110",B:AB,1+8,0),0)</f>
        <v>0</v>
      </c>
      <c r="K1493">
        <f>IFERROR(VLOOKUP("906-424348-110",B:AB,2+8,0),0)</f>
        <v>0</v>
      </c>
      <c r="L1493">
        <f>IFERROR(VLOOKUP("906-424348-110",B:AB,3+8,0),0)</f>
        <v>0</v>
      </c>
      <c r="M1493">
        <f>IFERROR(VLOOKUP("906-424348-110",B:AB,4+8,0),0)</f>
        <v>0</v>
      </c>
      <c r="N1493">
        <f>IFERROR(VLOOKUP("906-424348-110",B:AB,5+8,0),0)</f>
        <v>0</v>
      </c>
      <c r="O1493">
        <f>IFERROR(VLOOKUP("906-424348-110",B:AB,6+8,0),0)</f>
        <v>0</v>
      </c>
      <c r="P1493">
        <f>IFERROR(VLOOKUP("906-424348-110",B:AB,7+8,0),0)</f>
        <v>0</v>
      </c>
      <c r="Q1493">
        <f>IFERROR(VLOOKUP("906-424348-110",B:AB,8+8,0),0)</f>
        <v>0</v>
      </c>
      <c r="R1493">
        <f>IFERROR(VLOOKUP("906-424348-110",B:AB,9+8,0),0)</f>
        <v>0</v>
      </c>
      <c r="S1493">
        <f>IFERROR(VLOOKUP("906-424348-110",B:AB,10+8,0),0)</f>
        <v>0</v>
      </c>
      <c r="T1493">
        <f>IFERROR(VLOOKUP("906-424348-110",B:AB,11+8,0),0)</f>
        <v>0</v>
      </c>
      <c r="U1493">
        <f>IFERROR(VLOOKUP("906-424348-110",B:AB,12+8,0),0)</f>
        <v>0</v>
      </c>
      <c r="V1493">
        <f>IFERROR(VLOOKUP("906-424348-110",B:AB,13+8,0),0)</f>
        <v>0</v>
      </c>
      <c r="W1493">
        <f>IFERROR(VLOOKUP("906-424348-110",B:AB,14+8,0),0)</f>
        <v>0</v>
      </c>
      <c r="X1493">
        <f>IFERROR(VLOOKUP("906-424348-110",B:AB,15+8,0),0)</f>
        <v>0</v>
      </c>
      <c r="Y1493">
        <f>IFERROR(VLOOKUP("906-424348-110",B:AB,16+8,0),0)</f>
        <v>0</v>
      </c>
      <c r="Z1493">
        <f>IFERROR(VLOOKUP("906-424348-110",B:AB,17+8,0),0)</f>
        <v>0</v>
      </c>
      <c r="AA1493">
        <f>IFERROR(VLOOKUP("906-424348-110",B:AB,18+8,0),0)</f>
        <v>0</v>
      </c>
      <c r="AB1493">
        <f>IFERROR(VLOOKUP("906-424348-110",B:AB,19+8,0),0)</f>
        <v>0</v>
      </c>
      <c r="AC1493">
        <f>IFERROR(VLOOKUP("906-424348-110",B:AB,20+8,0),0)</f>
        <v>0</v>
      </c>
      <c r="AD1493">
        <f>IFERROR(VLOOKUP("906-424348-110",B:AB,21+8,0),0)</f>
        <v>0</v>
      </c>
      <c r="AE1493">
        <f>IFERROR(VLOOKUP("906-424348-110",B:AB,22+8,0),0)</f>
        <v>0</v>
      </c>
      <c r="AF1493">
        <f>IFERROR(VLOOKUP("906-424348-110",B:AB,23+8,0),0)</f>
        <v>0</v>
      </c>
      <c r="AG1493">
        <f>IFERROR(VLOOKUP("906-424348-110",B:AB,24+8,0),0)</f>
        <v>0</v>
      </c>
      <c r="AH1493">
        <f>IFERROR(VLOOKUP("906-424348-110",B:AB,25+8,0),0)</f>
        <v>0</v>
      </c>
      <c r="AI1493">
        <f>IFERROR(VLOOKUP("906-424348-110",B:AB,26+8,0),0)</f>
        <v>0</v>
      </c>
      <c r="AJ1493">
        <f>IFERROR(VLOOKUP("906-424348-110",B:AB,27+8,0),0)</f>
        <v>0</v>
      </c>
      <c r="AK1493">
        <f>IFERROR(VLOOKUP("906-424348-110",B:AB,28+8,0),0)</f>
        <v>0</v>
      </c>
      <c r="AL1493">
        <f>IFERROR(VLOOKUP("906-424348-110",B:AB,29+8,0),0)</f>
        <v>0</v>
      </c>
      <c r="AM1493">
        <f>IFERROR(VLOOKUP("906-424348-110",B:AB,30+8,0),0)</f>
        <v>0</v>
      </c>
      <c r="AN1493">
        <f>IFERROR(VLOOKUP("906-424348-110",B:AB,31+8,0),0)</f>
        <v>0</v>
      </c>
      <c r="AO1493">
        <f>SUN(INDIRECT(ADDRESS(1492,8)):INDIRECT(ADDRESS(1492,39)))</f>
        <v>0</v>
      </c>
    </row>
    <row r="1494" spans="1:41">
      <c r="H1494" t="s">
        <v>179</v>
      </c>
      <c r="J1494">
        <f>INDIRECT(ADDRESS(1494,9))+INDIRECT(ADDRESS(1492,10))-INDIRECT(ADDRESS(1493,10))</f>
        <v>0</v>
      </c>
      <c r="K1494">
        <f>INDIRECT(ADDRESS(1494,10))+INDIRECT(ADDRESS(1492,11))-INDIRECT(ADDRESS(1493,11))</f>
        <v>0</v>
      </c>
      <c r="L1494">
        <f>INDIRECT(ADDRESS(1494,11))+INDIRECT(ADDRESS(1492,12))-INDIRECT(ADDRESS(1493,12))</f>
        <v>0</v>
      </c>
      <c r="M1494">
        <f>INDIRECT(ADDRESS(1494,12))+INDIRECT(ADDRESS(1492,13))-INDIRECT(ADDRESS(1493,13))</f>
        <v>0</v>
      </c>
      <c r="N1494">
        <f>INDIRECT(ADDRESS(1494,13))+INDIRECT(ADDRESS(1492,14))-INDIRECT(ADDRESS(1493,14))</f>
        <v>0</v>
      </c>
      <c r="O1494">
        <f>INDIRECT(ADDRESS(1494,14))+INDIRECT(ADDRESS(1492,15))-INDIRECT(ADDRESS(1493,15))</f>
        <v>0</v>
      </c>
      <c r="P1494">
        <f>INDIRECT(ADDRESS(1494,15))+INDIRECT(ADDRESS(1492,16))-INDIRECT(ADDRESS(1493,16))</f>
        <v>0</v>
      </c>
      <c r="Q1494">
        <f>INDIRECT(ADDRESS(1494,16))+INDIRECT(ADDRESS(1492,17))-INDIRECT(ADDRESS(1493,17))</f>
        <v>0</v>
      </c>
      <c r="R1494">
        <f>INDIRECT(ADDRESS(1494,17))+INDIRECT(ADDRESS(1492,18))-INDIRECT(ADDRESS(1493,18))</f>
        <v>0</v>
      </c>
      <c r="S1494">
        <f>INDIRECT(ADDRESS(1494,18))+INDIRECT(ADDRESS(1492,19))-INDIRECT(ADDRESS(1493,19))</f>
        <v>0</v>
      </c>
      <c r="T1494">
        <f>INDIRECT(ADDRESS(1494,19))+INDIRECT(ADDRESS(1492,20))-INDIRECT(ADDRESS(1493,20))</f>
        <v>0</v>
      </c>
      <c r="U1494">
        <f>INDIRECT(ADDRESS(1494,20))+INDIRECT(ADDRESS(1492,21))-INDIRECT(ADDRESS(1493,21))</f>
        <v>0</v>
      </c>
      <c r="V1494">
        <f>INDIRECT(ADDRESS(1494,21))+INDIRECT(ADDRESS(1492,22))-INDIRECT(ADDRESS(1493,22))</f>
        <v>0</v>
      </c>
      <c r="W1494">
        <f>INDIRECT(ADDRESS(1494,22))+INDIRECT(ADDRESS(1492,23))-INDIRECT(ADDRESS(1493,23))</f>
        <v>0</v>
      </c>
      <c r="X1494">
        <f>INDIRECT(ADDRESS(1494,23))+INDIRECT(ADDRESS(1492,24))-INDIRECT(ADDRESS(1493,24))</f>
        <v>0</v>
      </c>
      <c r="Y1494">
        <f>INDIRECT(ADDRESS(1494,24))+INDIRECT(ADDRESS(1492,25))-INDIRECT(ADDRESS(1493,25))</f>
        <v>0</v>
      </c>
      <c r="Z1494">
        <f>INDIRECT(ADDRESS(1494,25))+INDIRECT(ADDRESS(1492,26))-INDIRECT(ADDRESS(1493,26))</f>
        <v>0</v>
      </c>
      <c r="AA1494">
        <f>INDIRECT(ADDRESS(1494,26))+INDIRECT(ADDRESS(1492,27))-INDIRECT(ADDRESS(1493,27))</f>
        <v>0</v>
      </c>
      <c r="AB1494">
        <f>INDIRECT(ADDRESS(1494,27))+INDIRECT(ADDRESS(1492,28))-INDIRECT(ADDRESS(1493,28))</f>
        <v>0</v>
      </c>
      <c r="AC1494">
        <f>INDIRECT(ADDRESS(1494,28))+INDIRECT(ADDRESS(1492,29))-INDIRECT(ADDRESS(1493,29))</f>
        <v>0</v>
      </c>
      <c r="AD1494">
        <f>INDIRECT(ADDRESS(1494,29))+INDIRECT(ADDRESS(1492,30))-INDIRECT(ADDRESS(1493,30))</f>
        <v>0</v>
      </c>
      <c r="AE1494">
        <f>INDIRECT(ADDRESS(1494,30))+INDIRECT(ADDRESS(1492,31))-INDIRECT(ADDRESS(1493,31))</f>
        <v>0</v>
      </c>
      <c r="AF1494">
        <f>INDIRECT(ADDRESS(1494,31))+INDIRECT(ADDRESS(1492,32))-INDIRECT(ADDRESS(1493,32))</f>
        <v>0</v>
      </c>
      <c r="AG1494">
        <f>INDIRECT(ADDRESS(1494,32))+INDIRECT(ADDRESS(1492,33))-INDIRECT(ADDRESS(1493,33))</f>
        <v>0</v>
      </c>
      <c r="AH1494">
        <f>INDIRECT(ADDRESS(1494,33))+INDIRECT(ADDRESS(1492,34))-INDIRECT(ADDRESS(1493,34))</f>
        <v>0</v>
      </c>
      <c r="AI1494">
        <f>INDIRECT(ADDRESS(1494,34))+INDIRECT(ADDRESS(1492,35))-INDIRECT(ADDRESS(1493,35))</f>
        <v>0</v>
      </c>
      <c r="AJ1494">
        <f>INDIRECT(ADDRESS(1494,35))+INDIRECT(ADDRESS(1492,36))-INDIRECT(ADDRESS(1493,36))</f>
        <v>0</v>
      </c>
      <c r="AK1494">
        <f>INDIRECT(ADDRESS(1494,36))+INDIRECT(ADDRESS(1492,37))-INDIRECT(ADDRESS(1493,37))</f>
        <v>0</v>
      </c>
      <c r="AL1494">
        <f>INDIRECT(ADDRESS(1494,37))+INDIRECT(ADDRESS(1492,38))-INDIRECT(ADDRESS(1493,38))</f>
        <v>0</v>
      </c>
      <c r="AM1494">
        <f>INDIRECT(ADDRESS(1494,38))+INDIRECT(ADDRESS(1492,39))-INDIRECT(ADDRESS(1493,39))</f>
        <v>0</v>
      </c>
      <c r="AN1494">
        <f>INDIRECT(ADDRESS(1494,39))+INDIRECT(ADDRESS(1492,40))-INDIRECT(ADDRESS(1493,40))</f>
        <v>0</v>
      </c>
      <c r="AO1494">
        <f>SUM(INDIRECT(ADDRESS(1493,8)):INDIRECT(ADDRESS(1493,39)))</f>
        <v>0</v>
      </c>
    </row>
    <row r="1495" spans="1:41">
      <c r="A1495" t="s">
        <v>185</v>
      </c>
      <c r="B1495" t="s">
        <v>670</v>
      </c>
      <c r="C1495" t="s">
        <v>712</v>
      </c>
      <c r="E1495">
        <v>1</v>
      </c>
      <c r="I1495" t="s">
        <v>177</v>
      </c>
    </row>
    <row r="1496" spans="1:41">
      <c r="I1496" t="s">
        <v>178</v>
      </c>
      <c r="J1496">
        <f>IFERROR(VLOOKUP("906-424348-110",B:AB,1+8,0),0)</f>
        <v>0</v>
      </c>
      <c r="K1496">
        <f>IFERROR(VLOOKUP("906-424348-110",B:AB,2+8,0),0)</f>
        <v>0</v>
      </c>
      <c r="L1496">
        <f>IFERROR(VLOOKUP("906-424348-110",B:AB,3+8,0),0)</f>
        <v>0</v>
      </c>
      <c r="M1496">
        <f>IFERROR(VLOOKUP("906-424348-110",B:AB,4+8,0),0)</f>
        <v>0</v>
      </c>
      <c r="N1496">
        <f>IFERROR(VLOOKUP("906-424348-110",B:AB,5+8,0),0)</f>
        <v>0</v>
      </c>
      <c r="O1496">
        <f>IFERROR(VLOOKUP("906-424348-110",B:AB,6+8,0),0)</f>
        <v>0</v>
      </c>
      <c r="P1496">
        <f>IFERROR(VLOOKUP("906-424348-110",B:AB,7+8,0),0)</f>
        <v>0</v>
      </c>
      <c r="Q1496">
        <f>IFERROR(VLOOKUP("906-424348-110",B:AB,8+8,0),0)</f>
        <v>0</v>
      </c>
      <c r="R1496">
        <f>IFERROR(VLOOKUP("906-424348-110",B:AB,9+8,0),0)</f>
        <v>0</v>
      </c>
      <c r="S1496">
        <f>IFERROR(VLOOKUP("906-424348-110",B:AB,10+8,0),0)</f>
        <v>0</v>
      </c>
      <c r="T1496">
        <f>IFERROR(VLOOKUP("906-424348-110",B:AB,11+8,0),0)</f>
        <v>0</v>
      </c>
      <c r="U1496">
        <f>IFERROR(VLOOKUP("906-424348-110",B:AB,12+8,0),0)</f>
        <v>0</v>
      </c>
      <c r="V1496">
        <f>IFERROR(VLOOKUP("906-424348-110",B:AB,13+8,0),0)</f>
        <v>0</v>
      </c>
      <c r="W1496">
        <f>IFERROR(VLOOKUP("906-424348-110",B:AB,14+8,0),0)</f>
        <v>0</v>
      </c>
      <c r="X1496">
        <f>IFERROR(VLOOKUP("906-424348-110",B:AB,15+8,0),0)</f>
        <v>0</v>
      </c>
      <c r="Y1496">
        <f>IFERROR(VLOOKUP("906-424348-110",B:AB,16+8,0),0)</f>
        <v>0</v>
      </c>
      <c r="Z1496">
        <f>IFERROR(VLOOKUP("906-424348-110",B:AB,17+8,0),0)</f>
        <v>0</v>
      </c>
      <c r="AA1496">
        <f>IFERROR(VLOOKUP("906-424348-110",B:AB,18+8,0),0)</f>
        <v>0</v>
      </c>
      <c r="AB1496">
        <f>IFERROR(VLOOKUP("906-424348-110",B:AB,19+8,0),0)</f>
        <v>0</v>
      </c>
      <c r="AC1496">
        <f>IFERROR(VLOOKUP("906-424348-110",B:AB,20+8,0),0)</f>
        <v>0</v>
      </c>
      <c r="AD1496">
        <f>IFERROR(VLOOKUP("906-424348-110",B:AB,21+8,0),0)</f>
        <v>0</v>
      </c>
      <c r="AE1496">
        <f>IFERROR(VLOOKUP("906-424348-110",B:AB,22+8,0),0)</f>
        <v>0</v>
      </c>
      <c r="AF1496">
        <f>IFERROR(VLOOKUP("906-424348-110",B:AB,23+8,0),0)</f>
        <v>0</v>
      </c>
      <c r="AG1496">
        <f>IFERROR(VLOOKUP("906-424348-110",B:AB,24+8,0),0)</f>
        <v>0</v>
      </c>
      <c r="AH1496">
        <f>IFERROR(VLOOKUP("906-424348-110",B:AB,25+8,0),0)</f>
        <v>0</v>
      </c>
      <c r="AI1496">
        <f>IFERROR(VLOOKUP("906-424348-110",B:AB,26+8,0),0)</f>
        <v>0</v>
      </c>
      <c r="AJ1496">
        <f>IFERROR(VLOOKUP("906-424348-110",B:AB,27+8,0),0)</f>
        <v>0</v>
      </c>
      <c r="AK1496">
        <f>IFERROR(VLOOKUP("906-424348-110",B:AB,28+8,0),0)</f>
        <v>0</v>
      </c>
      <c r="AL1496">
        <f>IFERROR(VLOOKUP("906-424348-110",B:AB,29+8,0),0)</f>
        <v>0</v>
      </c>
      <c r="AM1496">
        <f>IFERROR(VLOOKUP("906-424348-110",B:AB,30+8,0),0)</f>
        <v>0</v>
      </c>
      <c r="AN1496">
        <f>IFERROR(VLOOKUP("906-424348-110",B:AB,31+8,0),0)</f>
        <v>0</v>
      </c>
      <c r="AO1496">
        <f>SUN(INDIRECT(ADDRESS(1495,8)):INDIRECT(ADDRESS(1495,39)))</f>
        <v>0</v>
      </c>
    </row>
    <row r="1497" spans="1:41">
      <c r="H1497" t="s">
        <v>179</v>
      </c>
      <c r="J1497">
        <f>INDIRECT(ADDRESS(1497,9))+INDIRECT(ADDRESS(1495,10))-INDIRECT(ADDRESS(1496,10))</f>
        <v>0</v>
      </c>
      <c r="K1497">
        <f>INDIRECT(ADDRESS(1497,10))+INDIRECT(ADDRESS(1495,11))-INDIRECT(ADDRESS(1496,11))</f>
        <v>0</v>
      </c>
      <c r="L1497">
        <f>INDIRECT(ADDRESS(1497,11))+INDIRECT(ADDRESS(1495,12))-INDIRECT(ADDRESS(1496,12))</f>
        <v>0</v>
      </c>
      <c r="M1497">
        <f>INDIRECT(ADDRESS(1497,12))+INDIRECT(ADDRESS(1495,13))-INDIRECT(ADDRESS(1496,13))</f>
        <v>0</v>
      </c>
      <c r="N1497">
        <f>INDIRECT(ADDRESS(1497,13))+INDIRECT(ADDRESS(1495,14))-INDIRECT(ADDRESS(1496,14))</f>
        <v>0</v>
      </c>
      <c r="O1497">
        <f>INDIRECT(ADDRESS(1497,14))+INDIRECT(ADDRESS(1495,15))-INDIRECT(ADDRESS(1496,15))</f>
        <v>0</v>
      </c>
      <c r="P1497">
        <f>INDIRECT(ADDRESS(1497,15))+INDIRECT(ADDRESS(1495,16))-INDIRECT(ADDRESS(1496,16))</f>
        <v>0</v>
      </c>
      <c r="Q1497">
        <f>INDIRECT(ADDRESS(1497,16))+INDIRECT(ADDRESS(1495,17))-INDIRECT(ADDRESS(1496,17))</f>
        <v>0</v>
      </c>
      <c r="R1497">
        <f>INDIRECT(ADDRESS(1497,17))+INDIRECT(ADDRESS(1495,18))-INDIRECT(ADDRESS(1496,18))</f>
        <v>0</v>
      </c>
      <c r="S1497">
        <f>INDIRECT(ADDRESS(1497,18))+INDIRECT(ADDRESS(1495,19))-INDIRECT(ADDRESS(1496,19))</f>
        <v>0</v>
      </c>
      <c r="T1497">
        <f>INDIRECT(ADDRESS(1497,19))+INDIRECT(ADDRESS(1495,20))-INDIRECT(ADDRESS(1496,20))</f>
        <v>0</v>
      </c>
      <c r="U1497">
        <f>INDIRECT(ADDRESS(1497,20))+INDIRECT(ADDRESS(1495,21))-INDIRECT(ADDRESS(1496,21))</f>
        <v>0</v>
      </c>
      <c r="V1497">
        <f>INDIRECT(ADDRESS(1497,21))+INDIRECT(ADDRESS(1495,22))-INDIRECT(ADDRESS(1496,22))</f>
        <v>0</v>
      </c>
      <c r="W1497">
        <f>INDIRECT(ADDRESS(1497,22))+INDIRECT(ADDRESS(1495,23))-INDIRECT(ADDRESS(1496,23))</f>
        <v>0</v>
      </c>
      <c r="X1497">
        <f>INDIRECT(ADDRESS(1497,23))+INDIRECT(ADDRESS(1495,24))-INDIRECT(ADDRESS(1496,24))</f>
        <v>0</v>
      </c>
      <c r="Y1497">
        <f>INDIRECT(ADDRESS(1497,24))+INDIRECT(ADDRESS(1495,25))-INDIRECT(ADDRESS(1496,25))</f>
        <v>0</v>
      </c>
      <c r="Z1497">
        <f>INDIRECT(ADDRESS(1497,25))+INDIRECT(ADDRESS(1495,26))-INDIRECT(ADDRESS(1496,26))</f>
        <v>0</v>
      </c>
      <c r="AA1497">
        <f>INDIRECT(ADDRESS(1497,26))+INDIRECT(ADDRESS(1495,27))-INDIRECT(ADDRESS(1496,27))</f>
        <v>0</v>
      </c>
      <c r="AB1497">
        <f>INDIRECT(ADDRESS(1497,27))+INDIRECT(ADDRESS(1495,28))-INDIRECT(ADDRESS(1496,28))</f>
        <v>0</v>
      </c>
      <c r="AC1497">
        <f>INDIRECT(ADDRESS(1497,28))+INDIRECT(ADDRESS(1495,29))-INDIRECT(ADDRESS(1496,29))</f>
        <v>0</v>
      </c>
      <c r="AD1497">
        <f>INDIRECT(ADDRESS(1497,29))+INDIRECT(ADDRESS(1495,30))-INDIRECT(ADDRESS(1496,30))</f>
        <v>0</v>
      </c>
      <c r="AE1497">
        <f>INDIRECT(ADDRESS(1497,30))+INDIRECT(ADDRESS(1495,31))-INDIRECT(ADDRESS(1496,31))</f>
        <v>0</v>
      </c>
      <c r="AF1497">
        <f>INDIRECT(ADDRESS(1497,31))+INDIRECT(ADDRESS(1495,32))-INDIRECT(ADDRESS(1496,32))</f>
        <v>0</v>
      </c>
      <c r="AG1497">
        <f>INDIRECT(ADDRESS(1497,32))+INDIRECT(ADDRESS(1495,33))-INDIRECT(ADDRESS(1496,33))</f>
        <v>0</v>
      </c>
      <c r="AH1497">
        <f>INDIRECT(ADDRESS(1497,33))+INDIRECT(ADDRESS(1495,34))-INDIRECT(ADDRESS(1496,34))</f>
        <v>0</v>
      </c>
      <c r="AI1497">
        <f>INDIRECT(ADDRESS(1497,34))+INDIRECT(ADDRESS(1495,35))-INDIRECT(ADDRESS(1496,35))</f>
        <v>0</v>
      </c>
      <c r="AJ1497">
        <f>INDIRECT(ADDRESS(1497,35))+INDIRECT(ADDRESS(1495,36))-INDIRECT(ADDRESS(1496,36))</f>
        <v>0</v>
      </c>
      <c r="AK1497">
        <f>INDIRECT(ADDRESS(1497,36))+INDIRECT(ADDRESS(1495,37))-INDIRECT(ADDRESS(1496,37))</f>
        <v>0</v>
      </c>
      <c r="AL1497">
        <f>INDIRECT(ADDRESS(1497,37))+INDIRECT(ADDRESS(1495,38))-INDIRECT(ADDRESS(1496,38))</f>
        <v>0</v>
      </c>
      <c r="AM1497">
        <f>INDIRECT(ADDRESS(1497,38))+INDIRECT(ADDRESS(1495,39))-INDIRECT(ADDRESS(1496,39))</f>
        <v>0</v>
      </c>
      <c r="AN1497">
        <f>INDIRECT(ADDRESS(1497,39))+INDIRECT(ADDRESS(1495,40))-INDIRECT(ADDRESS(1496,40))</f>
        <v>0</v>
      </c>
      <c r="AO1497">
        <f>SUM(INDIRECT(ADDRESS(1496,8)):INDIRECT(ADDRESS(1496,39)))</f>
        <v>0</v>
      </c>
    </row>
    <row r="1498" spans="1:41">
      <c r="A1498" t="s">
        <v>185</v>
      </c>
      <c r="B1498" t="s">
        <v>588</v>
      </c>
      <c r="C1498" t="s">
        <v>713</v>
      </c>
      <c r="E1498">
        <v>2</v>
      </c>
      <c r="I1498" t="s">
        <v>177</v>
      </c>
    </row>
    <row r="1499" spans="1:41">
      <c r="I1499" t="s">
        <v>178</v>
      </c>
      <c r="J1499">
        <f>IFERROR(VLOOKUP("906-424348-110",B:AB,1+8,0),0)</f>
        <v>0</v>
      </c>
      <c r="K1499">
        <f>IFERROR(VLOOKUP("906-424348-110",B:AB,2+8,0),0)</f>
        <v>0</v>
      </c>
      <c r="L1499">
        <f>IFERROR(VLOOKUP("906-424348-110",B:AB,3+8,0),0)</f>
        <v>0</v>
      </c>
      <c r="M1499">
        <f>IFERROR(VLOOKUP("906-424348-110",B:AB,4+8,0),0)</f>
        <v>0</v>
      </c>
      <c r="N1499">
        <f>IFERROR(VLOOKUP("906-424348-110",B:AB,5+8,0),0)</f>
        <v>0</v>
      </c>
      <c r="O1499">
        <f>IFERROR(VLOOKUP("906-424348-110",B:AB,6+8,0),0)</f>
        <v>0</v>
      </c>
      <c r="P1499">
        <f>IFERROR(VLOOKUP("906-424348-110",B:AB,7+8,0),0)</f>
        <v>0</v>
      </c>
      <c r="Q1499">
        <f>IFERROR(VLOOKUP("906-424348-110",B:AB,8+8,0),0)</f>
        <v>0</v>
      </c>
      <c r="R1499">
        <f>IFERROR(VLOOKUP("906-424348-110",B:AB,9+8,0),0)</f>
        <v>0</v>
      </c>
      <c r="S1499">
        <f>IFERROR(VLOOKUP("906-424348-110",B:AB,10+8,0),0)</f>
        <v>0</v>
      </c>
      <c r="T1499">
        <f>IFERROR(VLOOKUP("906-424348-110",B:AB,11+8,0),0)</f>
        <v>0</v>
      </c>
      <c r="U1499">
        <f>IFERROR(VLOOKUP("906-424348-110",B:AB,12+8,0),0)</f>
        <v>0</v>
      </c>
      <c r="V1499">
        <f>IFERROR(VLOOKUP("906-424348-110",B:AB,13+8,0),0)</f>
        <v>0</v>
      </c>
      <c r="W1499">
        <f>IFERROR(VLOOKUP("906-424348-110",B:AB,14+8,0),0)</f>
        <v>0</v>
      </c>
      <c r="X1499">
        <f>IFERROR(VLOOKUP("906-424348-110",B:AB,15+8,0),0)</f>
        <v>0</v>
      </c>
      <c r="Y1499">
        <f>IFERROR(VLOOKUP("906-424348-110",B:AB,16+8,0),0)</f>
        <v>0</v>
      </c>
      <c r="Z1499">
        <f>IFERROR(VLOOKUP("906-424348-110",B:AB,17+8,0),0)</f>
        <v>0</v>
      </c>
      <c r="AA1499">
        <f>IFERROR(VLOOKUP("906-424348-110",B:AB,18+8,0),0)</f>
        <v>0</v>
      </c>
      <c r="AB1499">
        <f>IFERROR(VLOOKUP("906-424348-110",B:AB,19+8,0),0)</f>
        <v>0</v>
      </c>
      <c r="AC1499">
        <f>IFERROR(VLOOKUP("906-424348-110",B:AB,20+8,0),0)</f>
        <v>0</v>
      </c>
      <c r="AD1499">
        <f>IFERROR(VLOOKUP("906-424348-110",B:AB,21+8,0),0)</f>
        <v>0</v>
      </c>
      <c r="AE1499">
        <f>IFERROR(VLOOKUP("906-424348-110",B:AB,22+8,0),0)</f>
        <v>0</v>
      </c>
      <c r="AF1499">
        <f>IFERROR(VLOOKUP("906-424348-110",B:AB,23+8,0),0)</f>
        <v>0</v>
      </c>
      <c r="AG1499">
        <f>IFERROR(VLOOKUP("906-424348-110",B:AB,24+8,0),0)</f>
        <v>0</v>
      </c>
      <c r="AH1499">
        <f>IFERROR(VLOOKUP("906-424348-110",B:AB,25+8,0),0)</f>
        <v>0</v>
      </c>
      <c r="AI1499">
        <f>IFERROR(VLOOKUP("906-424348-110",B:AB,26+8,0),0)</f>
        <v>0</v>
      </c>
      <c r="AJ1499">
        <f>IFERROR(VLOOKUP("906-424348-110",B:AB,27+8,0),0)</f>
        <v>0</v>
      </c>
      <c r="AK1499">
        <f>IFERROR(VLOOKUP("906-424348-110",B:AB,28+8,0),0)</f>
        <v>0</v>
      </c>
      <c r="AL1499">
        <f>IFERROR(VLOOKUP("906-424348-110",B:AB,29+8,0),0)</f>
        <v>0</v>
      </c>
      <c r="AM1499">
        <f>IFERROR(VLOOKUP("906-424348-110",B:AB,30+8,0),0)</f>
        <v>0</v>
      </c>
      <c r="AN1499">
        <f>IFERROR(VLOOKUP("906-424348-110",B:AB,31+8,0),0)</f>
        <v>0</v>
      </c>
      <c r="AO1499">
        <f>SUN(INDIRECT(ADDRESS(1498,8)):INDIRECT(ADDRESS(1498,39)))</f>
        <v>0</v>
      </c>
    </row>
    <row r="1500" spans="1:41">
      <c r="H1500" t="s">
        <v>179</v>
      </c>
      <c r="J1500">
        <f>INDIRECT(ADDRESS(1500,9))+INDIRECT(ADDRESS(1498,10))-INDIRECT(ADDRESS(1499,10))</f>
        <v>0</v>
      </c>
      <c r="K1500">
        <f>INDIRECT(ADDRESS(1500,10))+INDIRECT(ADDRESS(1498,11))-INDIRECT(ADDRESS(1499,11))</f>
        <v>0</v>
      </c>
      <c r="L1500">
        <f>INDIRECT(ADDRESS(1500,11))+INDIRECT(ADDRESS(1498,12))-INDIRECT(ADDRESS(1499,12))</f>
        <v>0</v>
      </c>
      <c r="M1500">
        <f>INDIRECT(ADDRESS(1500,12))+INDIRECT(ADDRESS(1498,13))-INDIRECT(ADDRESS(1499,13))</f>
        <v>0</v>
      </c>
      <c r="N1500">
        <f>INDIRECT(ADDRESS(1500,13))+INDIRECT(ADDRESS(1498,14))-INDIRECT(ADDRESS(1499,14))</f>
        <v>0</v>
      </c>
      <c r="O1500">
        <f>INDIRECT(ADDRESS(1500,14))+INDIRECT(ADDRESS(1498,15))-INDIRECT(ADDRESS(1499,15))</f>
        <v>0</v>
      </c>
      <c r="P1500">
        <f>INDIRECT(ADDRESS(1500,15))+INDIRECT(ADDRESS(1498,16))-INDIRECT(ADDRESS(1499,16))</f>
        <v>0</v>
      </c>
      <c r="Q1500">
        <f>INDIRECT(ADDRESS(1500,16))+INDIRECT(ADDRESS(1498,17))-INDIRECT(ADDRESS(1499,17))</f>
        <v>0</v>
      </c>
      <c r="R1500">
        <f>INDIRECT(ADDRESS(1500,17))+INDIRECT(ADDRESS(1498,18))-INDIRECT(ADDRESS(1499,18))</f>
        <v>0</v>
      </c>
      <c r="S1500">
        <f>INDIRECT(ADDRESS(1500,18))+INDIRECT(ADDRESS(1498,19))-INDIRECT(ADDRESS(1499,19))</f>
        <v>0</v>
      </c>
      <c r="T1500">
        <f>INDIRECT(ADDRESS(1500,19))+INDIRECT(ADDRESS(1498,20))-INDIRECT(ADDRESS(1499,20))</f>
        <v>0</v>
      </c>
      <c r="U1500">
        <f>INDIRECT(ADDRESS(1500,20))+INDIRECT(ADDRESS(1498,21))-INDIRECT(ADDRESS(1499,21))</f>
        <v>0</v>
      </c>
      <c r="V1500">
        <f>INDIRECT(ADDRESS(1500,21))+INDIRECT(ADDRESS(1498,22))-INDIRECT(ADDRESS(1499,22))</f>
        <v>0</v>
      </c>
      <c r="W1500">
        <f>INDIRECT(ADDRESS(1500,22))+INDIRECT(ADDRESS(1498,23))-INDIRECT(ADDRESS(1499,23))</f>
        <v>0</v>
      </c>
      <c r="X1500">
        <f>INDIRECT(ADDRESS(1500,23))+INDIRECT(ADDRESS(1498,24))-INDIRECT(ADDRESS(1499,24))</f>
        <v>0</v>
      </c>
      <c r="Y1500">
        <f>INDIRECT(ADDRESS(1500,24))+INDIRECT(ADDRESS(1498,25))-INDIRECT(ADDRESS(1499,25))</f>
        <v>0</v>
      </c>
      <c r="Z1500">
        <f>INDIRECT(ADDRESS(1500,25))+INDIRECT(ADDRESS(1498,26))-INDIRECT(ADDRESS(1499,26))</f>
        <v>0</v>
      </c>
      <c r="AA1500">
        <f>INDIRECT(ADDRESS(1500,26))+INDIRECT(ADDRESS(1498,27))-INDIRECT(ADDRESS(1499,27))</f>
        <v>0</v>
      </c>
      <c r="AB1500">
        <f>INDIRECT(ADDRESS(1500,27))+INDIRECT(ADDRESS(1498,28))-INDIRECT(ADDRESS(1499,28))</f>
        <v>0</v>
      </c>
      <c r="AC1500">
        <f>INDIRECT(ADDRESS(1500,28))+INDIRECT(ADDRESS(1498,29))-INDIRECT(ADDRESS(1499,29))</f>
        <v>0</v>
      </c>
      <c r="AD1500">
        <f>INDIRECT(ADDRESS(1500,29))+INDIRECT(ADDRESS(1498,30))-INDIRECT(ADDRESS(1499,30))</f>
        <v>0</v>
      </c>
      <c r="AE1500">
        <f>INDIRECT(ADDRESS(1500,30))+INDIRECT(ADDRESS(1498,31))-INDIRECT(ADDRESS(1499,31))</f>
        <v>0</v>
      </c>
      <c r="AF1500">
        <f>INDIRECT(ADDRESS(1500,31))+INDIRECT(ADDRESS(1498,32))-INDIRECT(ADDRESS(1499,32))</f>
        <v>0</v>
      </c>
      <c r="AG1500">
        <f>INDIRECT(ADDRESS(1500,32))+INDIRECT(ADDRESS(1498,33))-INDIRECT(ADDRESS(1499,33))</f>
        <v>0</v>
      </c>
      <c r="AH1500">
        <f>INDIRECT(ADDRESS(1500,33))+INDIRECT(ADDRESS(1498,34))-INDIRECT(ADDRESS(1499,34))</f>
        <v>0</v>
      </c>
      <c r="AI1500">
        <f>INDIRECT(ADDRESS(1500,34))+INDIRECT(ADDRESS(1498,35))-INDIRECT(ADDRESS(1499,35))</f>
        <v>0</v>
      </c>
      <c r="AJ1500">
        <f>INDIRECT(ADDRESS(1500,35))+INDIRECT(ADDRESS(1498,36))-INDIRECT(ADDRESS(1499,36))</f>
        <v>0</v>
      </c>
      <c r="AK1500">
        <f>INDIRECT(ADDRESS(1500,36))+INDIRECT(ADDRESS(1498,37))-INDIRECT(ADDRESS(1499,37))</f>
        <v>0</v>
      </c>
      <c r="AL1500">
        <f>INDIRECT(ADDRESS(1500,37))+INDIRECT(ADDRESS(1498,38))-INDIRECT(ADDRESS(1499,38))</f>
        <v>0</v>
      </c>
      <c r="AM1500">
        <f>INDIRECT(ADDRESS(1500,38))+INDIRECT(ADDRESS(1498,39))-INDIRECT(ADDRESS(1499,39))</f>
        <v>0</v>
      </c>
      <c r="AN1500">
        <f>INDIRECT(ADDRESS(1500,39))+INDIRECT(ADDRESS(1498,40))-INDIRECT(ADDRESS(1499,40))</f>
        <v>0</v>
      </c>
      <c r="AO1500">
        <f>SUM(INDIRECT(ADDRESS(1499,8)):INDIRECT(ADDRESS(1499,39)))</f>
        <v>0</v>
      </c>
    </row>
    <row r="1501" spans="1:41">
      <c r="A1501" t="s">
        <v>185</v>
      </c>
      <c r="B1501" t="s">
        <v>714</v>
      </c>
      <c r="C1501" t="s">
        <v>715</v>
      </c>
      <c r="E1501">
        <v>1</v>
      </c>
      <c r="I1501" t="s">
        <v>177</v>
      </c>
    </row>
    <row r="1502" spans="1:41">
      <c r="I1502" t="s">
        <v>178</v>
      </c>
      <c r="J1502">
        <f>IFERROR(VLOOKUP("906-424348-110",B:AB,1+8,0),0)</f>
        <v>0</v>
      </c>
      <c r="K1502">
        <f>IFERROR(VLOOKUP("906-424348-110",B:AB,2+8,0),0)</f>
        <v>0</v>
      </c>
      <c r="L1502">
        <f>IFERROR(VLOOKUP("906-424348-110",B:AB,3+8,0),0)</f>
        <v>0</v>
      </c>
      <c r="M1502">
        <f>IFERROR(VLOOKUP("906-424348-110",B:AB,4+8,0),0)</f>
        <v>0</v>
      </c>
      <c r="N1502">
        <f>IFERROR(VLOOKUP("906-424348-110",B:AB,5+8,0),0)</f>
        <v>0</v>
      </c>
      <c r="O1502">
        <f>IFERROR(VLOOKUP("906-424348-110",B:AB,6+8,0),0)</f>
        <v>0</v>
      </c>
      <c r="P1502">
        <f>IFERROR(VLOOKUP("906-424348-110",B:AB,7+8,0),0)</f>
        <v>0</v>
      </c>
      <c r="Q1502">
        <f>IFERROR(VLOOKUP("906-424348-110",B:AB,8+8,0),0)</f>
        <v>0</v>
      </c>
      <c r="R1502">
        <f>IFERROR(VLOOKUP("906-424348-110",B:AB,9+8,0),0)</f>
        <v>0</v>
      </c>
      <c r="S1502">
        <f>IFERROR(VLOOKUP("906-424348-110",B:AB,10+8,0),0)</f>
        <v>0</v>
      </c>
      <c r="T1502">
        <f>IFERROR(VLOOKUP("906-424348-110",B:AB,11+8,0),0)</f>
        <v>0</v>
      </c>
      <c r="U1502">
        <f>IFERROR(VLOOKUP("906-424348-110",B:AB,12+8,0),0)</f>
        <v>0</v>
      </c>
      <c r="V1502">
        <f>IFERROR(VLOOKUP("906-424348-110",B:AB,13+8,0),0)</f>
        <v>0</v>
      </c>
      <c r="W1502">
        <f>IFERROR(VLOOKUP("906-424348-110",B:AB,14+8,0),0)</f>
        <v>0</v>
      </c>
      <c r="X1502">
        <f>IFERROR(VLOOKUP("906-424348-110",B:AB,15+8,0),0)</f>
        <v>0</v>
      </c>
      <c r="Y1502">
        <f>IFERROR(VLOOKUP("906-424348-110",B:AB,16+8,0),0)</f>
        <v>0</v>
      </c>
      <c r="Z1502">
        <f>IFERROR(VLOOKUP("906-424348-110",B:AB,17+8,0),0)</f>
        <v>0</v>
      </c>
      <c r="AA1502">
        <f>IFERROR(VLOOKUP("906-424348-110",B:AB,18+8,0),0)</f>
        <v>0</v>
      </c>
      <c r="AB1502">
        <f>IFERROR(VLOOKUP("906-424348-110",B:AB,19+8,0),0)</f>
        <v>0</v>
      </c>
      <c r="AC1502">
        <f>IFERROR(VLOOKUP("906-424348-110",B:AB,20+8,0),0)</f>
        <v>0</v>
      </c>
      <c r="AD1502">
        <f>IFERROR(VLOOKUP("906-424348-110",B:AB,21+8,0),0)</f>
        <v>0</v>
      </c>
      <c r="AE1502">
        <f>IFERROR(VLOOKUP("906-424348-110",B:AB,22+8,0),0)</f>
        <v>0</v>
      </c>
      <c r="AF1502">
        <f>IFERROR(VLOOKUP("906-424348-110",B:AB,23+8,0),0)</f>
        <v>0</v>
      </c>
      <c r="AG1502">
        <f>IFERROR(VLOOKUP("906-424348-110",B:AB,24+8,0),0)</f>
        <v>0</v>
      </c>
      <c r="AH1502">
        <f>IFERROR(VLOOKUP("906-424348-110",B:AB,25+8,0),0)</f>
        <v>0</v>
      </c>
      <c r="AI1502">
        <f>IFERROR(VLOOKUP("906-424348-110",B:AB,26+8,0),0)</f>
        <v>0</v>
      </c>
      <c r="AJ1502">
        <f>IFERROR(VLOOKUP("906-424348-110",B:AB,27+8,0),0)</f>
        <v>0</v>
      </c>
      <c r="AK1502">
        <f>IFERROR(VLOOKUP("906-424348-110",B:AB,28+8,0),0)</f>
        <v>0</v>
      </c>
      <c r="AL1502">
        <f>IFERROR(VLOOKUP("906-424348-110",B:AB,29+8,0),0)</f>
        <v>0</v>
      </c>
      <c r="AM1502">
        <f>IFERROR(VLOOKUP("906-424348-110",B:AB,30+8,0),0)</f>
        <v>0</v>
      </c>
      <c r="AN1502">
        <f>IFERROR(VLOOKUP("906-424348-110",B:AB,31+8,0),0)</f>
        <v>0</v>
      </c>
      <c r="AO1502">
        <f>SUN(INDIRECT(ADDRESS(1501,8)):INDIRECT(ADDRESS(1501,39)))</f>
        <v>0</v>
      </c>
    </row>
    <row r="1503" spans="1:41">
      <c r="H1503" t="s">
        <v>179</v>
      </c>
      <c r="J1503">
        <f>INDIRECT(ADDRESS(1503,9))+INDIRECT(ADDRESS(1501,10))-INDIRECT(ADDRESS(1502,10))</f>
        <v>0</v>
      </c>
      <c r="K1503">
        <f>INDIRECT(ADDRESS(1503,10))+INDIRECT(ADDRESS(1501,11))-INDIRECT(ADDRESS(1502,11))</f>
        <v>0</v>
      </c>
      <c r="L1503">
        <f>INDIRECT(ADDRESS(1503,11))+INDIRECT(ADDRESS(1501,12))-INDIRECT(ADDRESS(1502,12))</f>
        <v>0</v>
      </c>
      <c r="M1503">
        <f>INDIRECT(ADDRESS(1503,12))+INDIRECT(ADDRESS(1501,13))-INDIRECT(ADDRESS(1502,13))</f>
        <v>0</v>
      </c>
      <c r="N1503">
        <f>INDIRECT(ADDRESS(1503,13))+INDIRECT(ADDRESS(1501,14))-INDIRECT(ADDRESS(1502,14))</f>
        <v>0</v>
      </c>
      <c r="O1503">
        <f>INDIRECT(ADDRESS(1503,14))+INDIRECT(ADDRESS(1501,15))-INDIRECT(ADDRESS(1502,15))</f>
        <v>0</v>
      </c>
      <c r="P1503">
        <f>INDIRECT(ADDRESS(1503,15))+INDIRECT(ADDRESS(1501,16))-INDIRECT(ADDRESS(1502,16))</f>
        <v>0</v>
      </c>
      <c r="Q1503">
        <f>INDIRECT(ADDRESS(1503,16))+INDIRECT(ADDRESS(1501,17))-INDIRECT(ADDRESS(1502,17))</f>
        <v>0</v>
      </c>
      <c r="R1503">
        <f>INDIRECT(ADDRESS(1503,17))+INDIRECT(ADDRESS(1501,18))-INDIRECT(ADDRESS(1502,18))</f>
        <v>0</v>
      </c>
      <c r="S1503">
        <f>INDIRECT(ADDRESS(1503,18))+INDIRECT(ADDRESS(1501,19))-INDIRECT(ADDRESS(1502,19))</f>
        <v>0</v>
      </c>
      <c r="T1503">
        <f>INDIRECT(ADDRESS(1503,19))+INDIRECT(ADDRESS(1501,20))-INDIRECT(ADDRESS(1502,20))</f>
        <v>0</v>
      </c>
      <c r="U1503">
        <f>INDIRECT(ADDRESS(1503,20))+INDIRECT(ADDRESS(1501,21))-INDIRECT(ADDRESS(1502,21))</f>
        <v>0</v>
      </c>
      <c r="V1503">
        <f>INDIRECT(ADDRESS(1503,21))+INDIRECT(ADDRESS(1501,22))-INDIRECT(ADDRESS(1502,22))</f>
        <v>0</v>
      </c>
      <c r="W1503">
        <f>INDIRECT(ADDRESS(1503,22))+INDIRECT(ADDRESS(1501,23))-INDIRECT(ADDRESS(1502,23))</f>
        <v>0</v>
      </c>
      <c r="X1503">
        <f>INDIRECT(ADDRESS(1503,23))+INDIRECT(ADDRESS(1501,24))-INDIRECT(ADDRESS(1502,24))</f>
        <v>0</v>
      </c>
      <c r="Y1503">
        <f>INDIRECT(ADDRESS(1503,24))+INDIRECT(ADDRESS(1501,25))-INDIRECT(ADDRESS(1502,25))</f>
        <v>0</v>
      </c>
      <c r="Z1503">
        <f>INDIRECT(ADDRESS(1503,25))+INDIRECT(ADDRESS(1501,26))-INDIRECT(ADDRESS(1502,26))</f>
        <v>0</v>
      </c>
      <c r="AA1503">
        <f>INDIRECT(ADDRESS(1503,26))+INDIRECT(ADDRESS(1501,27))-INDIRECT(ADDRESS(1502,27))</f>
        <v>0</v>
      </c>
      <c r="AB1503">
        <f>INDIRECT(ADDRESS(1503,27))+INDIRECT(ADDRESS(1501,28))-INDIRECT(ADDRESS(1502,28))</f>
        <v>0</v>
      </c>
      <c r="AC1503">
        <f>INDIRECT(ADDRESS(1503,28))+INDIRECT(ADDRESS(1501,29))-INDIRECT(ADDRESS(1502,29))</f>
        <v>0</v>
      </c>
      <c r="AD1503">
        <f>INDIRECT(ADDRESS(1503,29))+INDIRECT(ADDRESS(1501,30))-INDIRECT(ADDRESS(1502,30))</f>
        <v>0</v>
      </c>
      <c r="AE1503">
        <f>INDIRECT(ADDRESS(1503,30))+INDIRECT(ADDRESS(1501,31))-INDIRECT(ADDRESS(1502,31))</f>
        <v>0</v>
      </c>
      <c r="AF1503">
        <f>INDIRECT(ADDRESS(1503,31))+INDIRECT(ADDRESS(1501,32))-INDIRECT(ADDRESS(1502,32))</f>
        <v>0</v>
      </c>
      <c r="AG1503">
        <f>INDIRECT(ADDRESS(1503,32))+INDIRECT(ADDRESS(1501,33))-INDIRECT(ADDRESS(1502,33))</f>
        <v>0</v>
      </c>
      <c r="AH1503">
        <f>INDIRECT(ADDRESS(1503,33))+INDIRECT(ADDRESS(1501,34))-INDIRECT(ADDRESS(1502,34))</f>
        <v>0</v>
      </c>
      <c r="AI1503">
        <f>INDIRECT(ADDRESS(1503,34))+INDIRECT(ADDRESS(1501,35))-INDIRECT(ADDRESS(1502,35))</f>
        <v>0</v>
      </c>
      <c r="AJ1503">
        <f>INDIRECT(ADDRESS(1503,35))+INDIRECT(ADDRESS(1501,36))-INDIRECT(ADDRESS(1502,36))</f>
        <v>0</v>
      </c>
      <c r="AK1503">
        <f>INDIRECT(ADDRESS(1503,36))+INDIRECT(ADDRESS(1501,37))-INDIRECT(ADDRESS(1502,37))</f>
        <v>0</v>
      </c>
      <c r="AL1503">
        <f>INDIRECT(ADDRESS(1503,37))+INDIRECT(ADDRESS(1501,38))-INDIRECT(ADDRESS(1502,38))</f>
        <v>0</v>
      </c>
      <c r="AM1503">
        <f>INDIRECT(ADDRESS(1503,38))+INDIRECT(ADDRESS(1501,39))-INDIRECT(ADDRESS(1502,39))</f>
        <v>0</v>
      </c>
      <c r="AN1503">
        <f>INDIRECT(ADDRESS(1503,39))+INDIRECT(ADDRESS(1501,40))-INDIRECT(ADDRESS(1502,40))</f>
        <v>0</v>
      </c>
      <c r="AO1503">
        <f>SUM(INDIRECT(ADDRESS(1502,8)):INDIRECT(ADDRESS(1502,39)))</f>
        <v>0</v>
      </c>
    </row>
    <row r="1504" spans="1:41">
      <c r="A1504" t="s">
        <v>185</v>
      </c>
      <c r="B1504" t="s">
        <v>674</v>
      </c>
      <c r="C1504" t="s">
        <v>718</v>
      </c>
      <c r="E1504">
        <v>1</v>
      </c>
      <c r="I1504" t="s">
        <v>177</v>
      </c>
    </row>
    <row r="1505" spans="1:41">
      <c r="I1505" t="s">
        <v>178</v>
      </c>
      <c r="J1505">
        <f>IFERROR(VLOOKUP("906-424348-110",B:AB,1+8,0),0)</f>
        <v>0</v>
      </c>
      <c r="K1505">
        <f>IFERROR(VLOOKUP("906-424348-110",B:AB,2+8,0),0)</f>
        <v>0</v>
      </c>
      <c r="L1505">
        <f>IFERROR(VLOOKUP("906-424348-110",B:AB,3+8,0),0)</f>
        <v>0</v>
      </c>
      <c r="M1505">
        <f>IFERROR(VLOOKUP("906-424348-110",B:AB,4+8,0),0)</f>
        <v>0</v>
      </c>
      <c r="N1505">
        <f>IFERROR(VLOOKUP("906-424348-110",B:AB,5+8,0),0)</f>
        <v>0</v>
      </c>
      <c r="O1505">
        <f>IFERROR(VLOOKUP("906-424348-110",B:AB,6+8,0),0)</f>
        <v>0</v>
      </c>
      <c r="P1505">
        <f>IFERROR(VLOOKUP("906-424348-110",B:AB,7+8,0),0)</f>
        <v>0</v>
      </c>
      <c r="Q1505">
        <f>IFERROR(VLOOKUP("906-424348-110",B:AB,8+8,0),0)</f>
        <v>0</v>
      </c>
      <c r="R1505">
        <f>IFERROR(VLOOKUP("906-424348-110",B:AB,9+8,0),0)</f>
        <v>0</v>
      </c>
      <c r="S1505">
        <f>IFERROR(VLOOKUP("906-424348-110",B:AB,10+8,0),0)</f>
        <v>0</v>
      </c>
      <c r="T1505">
        <f>IFERROR(VLOOKUP("906-424348-110",B:AB,11+8,0),0)</f>
        <v>0</v>
      </c>
      <c r="U1505">
        <f>IFERROR(VLOOKUP("906-424348-110",B:AB,12+8,0),0)</f>
        <v>0</v>
      </c>
      <c r="V1505">
        <f>IFERROR(VLOOKUP("906-424348-110",B:AB,13+8,0),0)</f>
        <v>0</v>
      </c>
      <c r="W1505">
        <f>IFERROR(VLOOKUP("906-424348-110",B:AB,14+8,0),0)</f>
        <v>0</v>
      </c>
      <c r="X1505">
        <f>IFERROR(VLOOKUP("906-424348-110",B:AB,15+8,0),0)</f>
        <v>0</v>
      </c>
      <c r="Y1505">
        <f>IFERROR(VLOOKUP("906-424348-110",B:AB,16+8,0),0)</f>
        <v>0</v>
      </c>
      <c r="Z1505">
        <f>IFERROR(VLOOKUP("906-424348-110",B:AB,17+8,0),0)</f>
        <v>0</v>
      </c>
      <c r="AA1505">
        <f>IFERROR(VLOOKUP("906-424348-110",B:AB,18+8,0),0)</f>
        <v>0</v>
      </c>
      <c r="AB1505">
        <f>IFERROR(VLOOKUP("906-424348-110",B:AB,19+8,0),0)</f>
        <v>0</v>
      </c>
      <c r="AC1505">
        <f>IFERROR(VLOOKUP("906-424348-110",B:AB,20+8,0),0)</f>
        <v>0</v>
      </c>
      <c r="AD1505">
        <f>IFERROR(VLOOKUP("906-424348-110",B:AB,21+8,0),0)</f>
        <v>0</v>
      </c>
      <c r="AE1505">
        <f>IFERROR(VLOOKUP("906-424348-110",B:AB,22+8,0),0)</f>
        <v>0</v>
      </c>
      <c r="AF1505">
        <f>IFERROR(VLOOKUP("906-424348-110",B:AB,23+8,0),0)</f>
        <v>0</v>
      </c>
      <c r="AG1505">
        <f>IFERROR(VLOOKUP("906-424348-110",B:AB,24+8,0),0)</f>
        <v>0</v>
      </c>
      <c r="AH1505">
        <f>IFERROR(VLOOKUP("906-424348-110",B:AB,25+8,0),0)</f>
        <v>0</v>
      </c>
      <c r="AI1505">
        <f>IFERROR(VLOOKUP("906-424348-110",B:AB,26+8,0),0)</f>
        <v>0</v>
      </c>
      <c r="AJ1505">
        <f>IFERROR(VLOOKUP("906-424348-110",B:AB,27+8,0),0)</f>
        <v>0</v>
      </c>
      <c r="AK1505">
        <f>IFERROR(VLOOKUP("906-424348-110",B:AB,28+8,0),0)</f>
        <v>0</v>
      </c>
      <c r="AL1505">
        <f>IFERROR(VLOOKUP("906-424348-110",B:AB,29+8,0),0)</f>
        <v>0</v>
      </c>
      <c r="AM1505">
        <f>IFERROR(VLOOKUP("906-424348-110",B:AB,30+8,0),0)</f>
        <v>0</v>
      </c>
      <c r="AN1505">
        <f>IFERROR(VLOOKUP("906-424348-110",B:AB,31+8,0),0)</f>
        <v>0</v>
      </c>
      <c r="AO1505">
        <f>SUN(INDIRECT(ADDRESS(1504,8)):INDIRECT(ADDRESS(1504,39)))</f>
        <v>0</v>
      </c>
    </row>
    <row r="1506" spans="1:41">
      <c r="H1506" t="s">
        <v>179</v>
      </c>
      <c r="J1506">
        <f>INDIRECT(ADDRESS(1506,9))+INDIRECT(ADDRESS(1504,10))-INDIRECT(ADDRESS(1505,10))</f>
        <v>0</v>
      </c>
      <c r="K1506">
        <f>INDIRECT(ADDRESS(1506,10))+INDIRECT(ADDRESS(1504,11))-INDIRECT(ADDRESS(1505,11))</f>
        <v>0</v>
      </c>
      <c r="L1506">
        <f>INDIRECT(ADDRESS(1506,11))+INDIRECT(ADDRESS(1504,12))-INDIRECT(ADDRESS(1505,12))</f>
        <v>0</v>
      </c>
      <c r="M1506">
        <f>INDIRECT(ADDRESS(1506,12))+INDIRECT(ADDRESS(1504,13))-INDIRECT(ADDRESS(1505,13))</f>
        <v>0</v>
      </c>
      <c r="N1506">
        <f>INDIRECT(ADDRESS(1506,13))+INDIRECT(ADDRESS(1504,14))-INDIRECT(ADDRESS(1505,14))</f>
        <v>0</v>
      </c>
      <c r="O1506">
        <f>INDIRECT(ADDRESS(1506,14))+INDIRECT(ADDRESS(1504,15))-INDIRECT(ADDRESS(1505,15))</f>
        <v>0</v>
      </c>
      <c r="P1506">
        <f>INDIRECT(ADDRESS(1506,15))+INDIRECT(ADDRESS(1504,16))-INDIRECT(ADDRESS(1505,16))</f>
        <v>0</v>
      </c>
      <c r="Q1506">
        <f>INDIRECT(ADDRESS(1506,16))+INDIRECT(ADDRESS(1504,17))-INDIRECT(ADDRESS(1505,17))</f>
        <v>0</v>
      </c>
      <c r="R1506">
        <f>INDIRECT(ADDRESS(1506,17))+INDIRECT(ADDRESS(1504,18))-INDIRECT(ADDRESS(1505,18))</f>
        <v>0</v>
      </c>
      <c r="S1506">
        <f>INDIRECT(ADDRESS(1506,18))+INDIRECT(ADDRESS(1504,19))-INDIRECT(ADDRESS(1505,19))</f>
        <v>0</v>
      </c>
      <c r="T1506">
        <f>INDIRECT(ADDRESS(1506,19))+INDIRECT(ADDRESS(1504,20))-INDIRECT(ADDRESS(1505,20))</f>
        <v>0</v>
      </c>
      <c r="U1506">
        <f>INDIRECT(ADDRESS(1506,20))+INDIRECT(ADDRESS(1504,21))-INDIRECT(ADDRESS(1505,21))</f>
        <v>0</v>
      </c>
      <c r="V1506">
        <f>INDIRECT(ADDRESS(1506,21))+INDIRECT(ADDRESS(1504,22))-INDIRECT(ADDRESS(1505,22))</f>
        <v>0</v>
      </c>
      <c r="W1506">
        <f>INDIRECT(ADDRESS(1506,22))+INDIRECT(ADDRESS(1504,23))-INDIRECT(ADDRESS(1505,23))</f>
        <v>0</v>
      </c>
      <c r="X1506">
        <f>INDIRECT(ADDRESS(1506,23))+INDIRECT(ADDRESS(1504,24))-INDIRECT(ADDRESS(1505,24))</f>
        <v>0</v>
      </c>
      <c r="Y1506">
        <f>INDIRECT(ADDRESS(1506,24))+INDIRECT(ADDRESS(1504,25))-INDIRECT(ADDRESS(1505,25))</f>
        <v>0</v>
      </c>
      <c r="Z1506">
        <f>INDIRECT(ADDRESS(1506,25))+INDIRECT(ADDRESS(1504,26))-INDIRECT(ADDRESS(1505,26))</f>
        <v>0</v>
      </c>
      <c r="AA1506">
        <f>INDIRECT(ADDRESS(1506,26))+INDIRECT(ADDRESS(1504,27))-INDIRECT(ADDRESS(1505,27))</f>
        <v>0</v>
      </c>
      <c r="AB1506">
        <f>INDIRECT(ADDRESS(1506,27))+INDIRECT(ADDRESS(1504,28))-INDIRECT(ADDRESS(1505,28))</f>
        <v>0</v>
      </c>
      <c r="AC1506">
        <f>INDIRECT(ADDRESS(1506,28))+INDIRECT(ADDRESS(1504,29))-INDIRECT(ADDRESS(1505,29))</f>
        <v>0</v>
      </c>
      <c r="AD1506">
        <f>INDIRECT(ADDRESS(1506,29))+INDIRECT(ADDRESS(1504,30))-INDIRECT(ADDRESS(1505,30))</f>
        <v>0</v>
      </c>
      <c r="AE1506">
        <f>INDIRECT(ADDRESS(1506,30))+INDIRECT(ADDRESS(1504,31))-INDIRECT(ADDRESS(1505,31))</f>
        <v>0</v>
      </c>
      <c r="AF1506">
        <f>INDIRECT(ADDRESS(1506,31))+INDIRECT(ADDRESS(1504,32))-INDIRECT(ADDRESS(1505,32))</f>
        <v>0</v>
      </c>
      <c r="AG1506">
        <f>INDIRECT(ADDRESS(1506,32))+INDIRECT(ADDRESS(1504,33))-INDIRECT(ADDRESS(1505,33))</f>
        <v>0</v>
      </c>
      <c r="AH1506">
        <f>INDIRECT(ADDRESS(1506,33))+INDIRECT(ADDRESS(1504,34))-INDIRECT(ADDRESS(1505,34))</f>
        <v>0</v>
      </c>
      <c r="AI1506">
        <f>INDIRECT(ADDRESS(1506,34))+INDIRECT(ADDRESS(1504,35))-INDIRECT(ADDRESS(1505,35))</f>
        <v>0</v>
      </c>
      <c r="AJ1506">
        <f>INDIRECT(ADDRESS(1506,35))+INDIRECT(ADDRESS(1504,36))-INDIRECT(ADDRESS(1505,36))</f>
        <v>0</v>
      </c>
      <c r="AK1506">
        <f>INDIRECT(ADDRESS(1506,36))+INDIRECT(ADDRESS(1504,37))-INDIRECT(ADDRESS(1505,37))</f>
        <v>0</v>
      </c>
      <c r="AL1506">
        <f>INDIRECT(ADDRESS(1506,37))+INDIRECT(ADDRESS(1504,38))-INDIRECT(ADDRESS(1505,38))</f>
        <v>0</v>
      </c>
      <c r="AM1506">
        <f>INDIRECT(ADDRESS(1506,38))+INDIRECT(ADDRESS(1504,39))-INDIRECT(ADDRESS(1505,39))</f>
        <v>0</v>
      </c>
      <c r="AN1506">
        <f>INDIRECT(ADDRESS(1506,39))+INDIRECT(ADDRESS(1504,40))-INDIRECT(ADDRESS(1505,40))</f>
        <v>0</v>
      </c>
      <c r="AO1506">
        <f>SUM(INDIRECT(ADDRESS(1505,8)):INDIRECT(ADDRESS(1505,39)))</f>
        <v>0</v>
      </c>
    </row>
    <row r="1507" spans="1:41">
      <c r="A1507" t="s">
        <v>185</v>
      </c>
      <c r="B1507" t="s">
        <v>672</v>
      </c>
      <c r="C1507" t="s">
        <v>686</v>
      </c>
      <c r="E1507">
        <v>1</v>
      </c>
      <c r="I1507" t="s">
        <v>177</v>
      </c>
    </row>
    <row r="1508" spans="1:41">
      <c r="I1508" t="s">
        <v>178</v>
      </c>
      <c r="J1508">
        <f>IFERROR(VLOOKUP("906-424348-110",B:AB,1+8,0),0)</f>
        <v>0</v>
      </c>
      <c r="K1508">
        <f>IFERROR(VLOOKUP("906-424348-110",B:AB,2+8,0),0)</f>
        <v>0</v>
      </c>
      <c r="L1508">
        <f>IFERROR(VLOOKUP("906-424348-110",B:AB,3+8,0),0)</f>
        <v>0</v>
      </c>
      <c r="M1508">
        <f>IFERROR(VLOOKUP("906-424348-110",B:AB,4+8,0),0)</f>
        <v>0</v>
      </c>
      <c r="N1508">
        <f>IFERROR(VLOOKUP("906-424348-110",B:AB,5+8,0),0)</f>
        <v>0</v>
      </c>
      <c r="O1508">
        <f>IFERROR(VLOOKUP("906-424348-110",B:AB,6+8,0),0)</f>
        <v>0</v>
      </c>
      <c r="P1508">
        <f>IFERROR(VLOOKUP("906-424348-110",B:AB,7+8,0),0)</f>
        <v>0</v>
      </c>
      <c r="Q1508">
        <f>IFERROR(VLOOKUP("906-424348-110",B:AB,8+8,0),0)</f>
        <v>0</v>
      </c>
      <c r="R1508">
        <f>IFERROR(VLOOKUP("906-424348-110",B:AB,9+8,0),0)</f>
        <v>0</v>
      </c>
      <c r="S1508">
        <f>IFERROR(VLOOKUP("906-424348-110",B:AB,10+8,0),0)</f>
        <v>0</v>
      </c>
      <c r="T1508">
        <f>IFERROR(VLOOKUP("906-424348-110",B:AB,11+8,0),0)</f>
        <v>0</v>
      </c>
      <c r="U1508">
        <f>IFERROR(VLOOKUP("906-424348-110",B:AB,12+8,0),0)</f>
        <v>0</v>
      </c>
      <c r="V1508">
        <f>IFERROR(VLOOKUP("906-424348-110",B:AB,13+8,0),0)</f>
        <v>0</v>
      </c>
      <c r="W1508">
        <f>IFERROR(VLOOKUP("906-424348-110",B:AB,14+8,0),0)</f>
        <v>0</v>
      </c>
      <c r="X1508">
        <f>IFERROR(VLOOKUP("906-424348-110",B:AB,15+8,0),0)</f>
        <v>0</v>
      </c>
      <c r="Y1508">
        <f>IFERROR(VLOOKUP("906-424348-110",B:AB,16+8,0),0)</f>
        <v>0</v>
      </c>
      <c r="Z1508">
        <f>IFERROR(VLOOKUP("906-424348-110",B:AB,17+8,0),0)</f>
        <v>0</v>
      </c>
      <c r="AA1508">
        <f>IFERROR(VLOOKUP("906-424348-110",B:AB,18+8,0),0)</f>
        <v>0</v>
      </c>
      <c r="AB1508">
        <f>IFERROR(VLOOKUP("906-424348-110",B:AB,19+8,0),0)</f>
        <v>0</v>
      </c>
      <c r="AC1508">
        <f>IFERROR(VLOOKUP("906-424348-110",B:AB,20+8,0),0)</f>
        <v>0</v>
      </c>
      <c r="AD1508">
        <f>IFERROR(VLOOKUP("906-424348-110",B:AB,21+8,0),0)</f>
        <v>0</v>
      </c>
      <c r="AE1508">
        <f>IFERROR(VLOOKUP("906-424348-110",B:AB,22+8,0),0)</f>
        <v>0</v>
      </c>
      <c r="AF1508">
        <f>IFERROR(VLOOKUP("906-424348-110",B:AB,23+8,0),0)</f>
        <v>0</v>
      </c>
      <c r="AG1508">
        <f>IFERROR(VLOOKUP("906-424348-110",B:AB,24+8,0),0)</f>
        <v>0</v>
      </c>
      <c r="AH1508">
        <f>IFERROR(VLOOKUP("906-424348-110",B:AB,25+8,0),0)</f>
        <v>0</v>
      </c>
      <c r="AI1508">
        <f>IFERROR(VLOOKUP("906-424348-110",B:AB,26+8,0),0)</f>
        <v>0</v>
      </c>
      <c r="AJ1508">
        <f>IFERROR(VLOOKUP("906-424348-110",B:AB,27+8,0),0)</f>
        <v>0</v>
      </c>
      <c r="AK1508">
        <f>IFERROR(VLOOKUP("906-424348-110",B:AB,28+8,0),0)</f>
        <v>0</v>
      </c>
      <c r="AL1508">
        <f>IFERROR(VLOOKUP("906-424348-110",B:AB,29+8,0),0)</f>
        <v>0</v>
      </c>
      <c r="AM1508">
        <f>IFERROR(VLOOKUP("906-424348-110",B:AB,30+8,0),0)</f>
        <v>0</v>
      </c>
      <c r="AN1508">
        <f>IFERROR(VLOOKUP("906-424348-110",B:AB,31+8,0),0)</f>
        <v>0</v>
      </c>
      <c r="AO1508">
        <f>SUN(INDIRECT(ADDRESS(1507,8)):INDIRECT(ADDRESS(1507,39)))</f>
        <v>0</v>
      </c>
    </row>
    <row r="1509" spans="1:41">
      <c r="H1509" t="s">
        <v>179</v>
      </c>
      <c r="J1509">
        <f>INDIRECT(ADDRESS(1509,9))+INDIRECT(ADDRESS(1507,10))-INDIRECT(ADDRESS(1508,10))</f>
        <v>0</v>
      </c>
      <c r="K1509">
        <f>INDIRECT(ADDRESS(1509,10))+INDIRECT(ADDRESS(1507,11))-INDIRECT(ADDRESS(1508,11))</f>
        <v>0</v>
      </c>
      <c r="L1509">
        <f>INDIRECT(ADDRESS(1509,11))+INDIRECT(ADDRESS(1507,12))-INDIRECT(ADDRESS(1508,12))</f>
        <v>0</v>
      </c>
      <c r="M1509">
        <f>INDIRECT(ADDRESS(1509,12))+INDIRECT(ADDRESS(1507,13))-INDIRECT(ADDRESS(1508,13))</f>
        <v>0</v>
      </c>
      <c r="N1509">
        <f>INDIRECT(ADDRESS(1509,13))+INDIRECT(ADDRESS(1507,14))-INDIRECT(ADDRESS(1508,14))</f>
        <v>0</v>
      </c>
      <c r="O1509">
        <f>INDIRECT(ADDRESS(1509,14))+INDIRECT(ADDRESS(1507,15))-INDIRECT(ADDRESS(1508,15))</f>
        <v>0</v>
      </c>
      <c r="P1509">
        <f>INDIRECT(ADDRESS(1509,15))+INDIRECT(ADDRESS(1507,16))-INDIRECT(ADDRESS(1508,16))</f>
        <v>0</v>
      </c>
      <c r="Q1509">
        <f>INDIRECT(ADDRESS(1509,16))+INDIRECT(ADDRESS(1507,17))-INDIRECT(ADDRESS(1508,17))</f>
        <v>0</v>
      </c>
      <c r="R1509">
        <f>INDIRECT(ADDRESS(1509,17))+INDIRECT(ADDRESS(1507,18))-INDIRECT(ADDRESS(1508,18))</f>
        <v>0</v>
      </c>
      <c r="S1509">
        <f>INDIRECT(ADDRESS(1509,18))+INDIRECT(ADDRESS(1507,19))-INDIRECT(ADDRESS(1508,19))</f>
        <v>0</v>
      </c>
      <c r="T1509">
        <f>INDIRECT(ADDRESS(1509,19))+INDIRECT(ADDRESS(1507,20))-INDIRECT(ADDRESS(1508,20))</f>
        <v>0</v>
      </c>
      <c r="U1509">
        <f>INDIRECT(ADDRESS(1509,20))+INDIRECT(ADDRESS(1507,21))-INDIRECT(ADDRESS(1508,21))</f>
        <v>0</v>
      </c>
      <c r="V1509">
        <f>INDIRECT(ADDRESS(1509,21))+INDIRECT(ADDRESS(1507,22))-INDIRECT(ADDRESS(1508,22))</f>
        <v>0</v>
      </c>
      <c r="W1509">
        <f>INDIRECT(ADDRESS(1509,22))+INDIRECT(ADDRESS(1507,23))-INDIRECT(ADDRESS(1508,23))</f>
        <v>0</v>
      </c>
      <c r="X1509">
        <f>INDIRECT(ADDRESS(1509,23))+INDIRECT(ADDRESS(1507,24))-INDIRECT(ADDRESS(1508,24))</f>
        <v>0</v>
      </c>
      <c r="Y1509">
        <f>INDIRECT(ADDRESS(1509,24))+INDIRECT(ADDRESS(1507,25))-INDIRECT(ADDRESS(1508,25))</f>
        <v>0</v>
      </c>
      <c r="Z1509">
        <f>INDIRECT(ADDRESS(1509,25))+INDIRECT(ADDRESS(1507,26))-INDIRECT(ADDRESS(1508,26))</f>
        <v>0</v>
      </c>
      <c r="AA1509">
        <f>INDIRECT(ADDRESS(1509,26))+INDIRECT(ADDRESS(1507,27))-INDIRECT(ADDRESS(1508,27))</f>
        <v>0</v>
      </c>
      <c r="AB1509">
        <f>INDIRECT(ADDRESS(1509,27))+INDIRECT(ADDRESS(1507,28))-INDIRECT(ADDRESS(1508,28))</f>
        <v>0</v>
      </c>
      <c r="AC1509">
        <f>INDIRECT(ADDRESS(1509,28))+INDIRECT(ADDRESS(1507,29))-INDIRECT(ADDRESS(1508,29))</f>
        <v>0</v>
      </c>
      <c r="AD1509">
        <f>INDIRECT(ADDRESS(1509,29))+INDIRECT(ADDRESS(1507,30))-INDIRECT(ADDRESS(1508,30))</f>
        <v>0</v>
      </c>
      <c r="AE1509">
        <f>INDIRECT(ADDRESS(1509,30))+INDIRECT(ADDRESS(1507,31))-INDIRECT(ADDRESS(1508,31))</f>
        <v>0</v>
      </c>
      <c r="AF1509">
        <f>INDIRECT(ADDRESS(1509,31))+INDIRECT(ADDRESS(1507,32))-INDIRECT(ADDRESS(1508,32))</f>
        <v>0</v>
      </c>
      <c r="AG1509">
        <f>INDIRECT(ADDRESS(1509,32))+INDIRECT(ADDRESS(1507,33))-INDIRECT(ADDRESS(1508,33))</f>
        <v>0</v>
      </c>
      <c r="AH1509">
        <f>INDIRECT(ADDRESS(1509,33))+INDIRECT(ADDRESS(1507,34))-INDIRECT(ADDRESS(1508,34))</f>
        <v>0</v>
      </c>
      <c r="AI1509">
        <f>INDIRECT(ADDRESS(1509,34))+INDIRECT(ADDRESS(1507,35))-INDIRECT(ADDRESS(1508,35))</f>
        <v>0</v>
      </c>
      <c r="AJ1509">
        <f>INDIRECT(ADDRESS(1509,35))+INDIRECT(ADDRESS(1507,36))-INDIRECT(ADDRESS(1508,36))</f>
        <v>0</v>
      </c>
      <c r="AK1509">
        <f>INDIRECT(ADDRESS(1509,36))+INDIRECT(ADDRESS(1507,37))-INDIRECT(ADDRESS(1508,37))</f>
        <v>0</v>
      </c>
      <c r="AL1509">
        <f>INDIRECT(ADDRESS(1509,37))+INDIRECT(ADDRESS(1507,38))-INDIRECT(ADDRESS(1508,38))</f>
        <v>0</v>
      </c>
      <c r="AM1509">
        <f>INDIRECT(ADDRESS(1509,38))+INDIRECT(ADDRESS(1507,39))-INDIRECT(ADDRESS(1508,39))</f>
        <v>0</v>
      </c>
      <c r="AN1509">
        <f>INDIRECT(ADDRESS(1509,39))+INDIRECT(ADDRESS(1507,40))-INDIRECT(ADDRESS(1508,40))</f>
        <v>0</v>
      </c>
      <c r="AO1509">
        <f>SUM(INDIRECT(ADDRESS(1508,8)):INDIRECT(ADDRESS(1508,39)))</f>
        <v>0</v>
      </c>
    </row>
    <row r="1510" spans="1:41">
      <c r="A1510" t="s">
        <v>185</v>
      </c>
      <c r="B1510" t="s">
        <v>676</v>
      </c>
      <c r="C1510" t="s">
        <v>716</v>
      </c>
      <c r="E1510">
        <v>1</v>
      </c>
      <c r="I1510" t="s">
        <v>177</v>
      </c>
    </row>
    <row r="1511" spans="1:41">
      <c r="I1511" t="s">
        <v>178</v>
      </c>
      <c r="J1511">
        <f>IFERROR(VLOOKUP("906-424348-110",B:AB,1+8,0),0)</f>
        <v>0</v>
      </c>
      <c r="K1511">
        <f>IFERROR(VLOOKUP("906-424348-110",B:AB,2+8,0),0)</f>
        <v>0</v>
      </c>
      <c r="L1511">
        <f>IFERROR(VLOOKUP("906-424348-110",B:AB,3+8,0),0)</f>
        <v>0</v>
      </c>
      <c r="M1511">
        <f>IFERROR(VLOOKUP("906-424348-110",B:AB,4+8,0),0)</f>
        <v>0</v>
      </c>
      <c r="N1511">
        <f>IFERROR(VLOOKUP("906-424348-110",B:AB,5+8,0),0)</f>
        <v>0</v>
      </c>
      <c r="O1511">
        <f>IFERROR(VLOOKUP("906-424348-110",B:AB,6+8,0),0)</f>
        <v>0</v>
      </c>
      <c r="P1511">
        <f>IFERROR(VLOOKUP("906-424348-110",B:AB,7+8,0),0)</f>
        <v>0</v>
      </c>
      <c r="Q1511">
        <f>IFERROR(VLOOKUP("906-424348-110",B:AB,8+8,0),0)</f>
        <v>0</v>
      </c>
      <c r="R1511">
        <f>IFERROR(VLOOKUP("906-424348-110",B:AB,9+8,0),0)</f>
        <v>0</v>
      </c>
      <c r="S1511">
        <f>IFERROR(VLOOKUP("906-424348-110",B:AB,10+8,0),0)</f>
        <v>0</v>
      </c>
      <c r="T1511">
        <f>IFERROR(VLOOKUP("906-424348-110",B:AB,11+8,0),0)</f>
        <v>0</v>
      </c>
      <c r="U1511">
        <f>IFERROR(VLOOKUP("906-424348-110",B:AB,12+8,0),0)</f>
        <v>0</v>
      </c>
      <c r="V1511">
        <f>IFERROR(VLOOKUP("906-424348-110",B:AB,13+8,0),0)</f>
        <v>0</v>
      </c>
      <c r="W1511">
        <f>IFERROR(VLOOKUP("906-424348-110",B:AB,14+8,0),0)</f>
        <v>0</v>
      </c>
      <c r="X1511">
        <f>IFERROR(VLOOKUP("906-424348-110",B:AB,15+8,0),0)</f>
        <v>0</v>
      </c>
      <c r="Y1511">
        <f>IFERROR(VLOOKUP("906-424348-110",B:AB,16+8,0),0)</f>
        <v>0</v>
      </c>
      <c r="Z1511">
        <f>IFERROR(VLOOKUP("906-424348-110",B:AB,17+8,0),0)</f>
        <v>0</v>
      </c>
      <c r="AA1511">
        <f>IFERROR(VLOOKUP("906-424348-110",B:AB,18+8,0),0)</f>
        <v>0</v>
      </c>
      <c r="AB1511">
        <f>IFERROR(VLOOKUP("906-424348-110",B:AB,19+8,0),0)</f>
        <v>0</v>
      </c>
      <c r="AC1511">
        <f>IFERROR(VLOOKUP("906-424348-110",B:AB,20+8,0),0)</f>
        <v>0</v>
      </c>
      <c r="AD1511">
        <f>IFERROR(VLOOKUP("906-424348-110",B:AB,21+8,0),0)</f>
        <v>0</v>
      </c>
      <c r="AE1511">
        <f>IFERROR(VLOOKUP("906-424348-110",B:AB,22+8,0),0)</f>
        <v>0</v>
      </c>
      <c r="AF1511">
        <f>IFERROR(VLOOKUP("906-424348-110",B:AB,23+8,0),0)</f>
        <v>0</v>
      </c>
      <c r="AG1511">
        <f>IFERROR(VLOOKUP("906-424348-110",B:AB,24+8,0),0)</f>
        <v>0</v>
      </c>
      <c r="AH1511">
        <f>IFERROR(VLOOKUP("906-424348-110",B:AB,25+8,0),0)</f>
        <v>0</v>
      </c>
      <c r="AI1511">
        <f>IFERROR(VLOOKUP("906-424348-110",B:AB,26+8,0),0)</f>
        <v>0</v>
      </c>
      <c r="AJ1511">
        <f>IFERROR(VLOOKUP("906-424348-110",B:AB,27+8,0),0)</f>
        <v>0</v>
      </c>
      <c r="AK1511">
        <f>IFERROR(VLOOKUP("906-424348-110",B:AB,28+8,0),0)</f>
        <v>0</v>
      </c>
      <c r="AL1511">
        <f>IFERROR(VLOOKUP("906-424348-110",B:AB,29+8,0),0)</f>
        <v>0</v>
      </c>
      <c r="AM1511">
        <f>IFERROR(VLOOKUP("906-424348-110",B:AB,30+8,0),0)</f>
        <v>0</v>
      </c>
      <c r="AN1511">
        <f>IFERROR(VLOOKUP("906-424348-110",B:AB,31+8,0),0)</f>
        <v>0</v>
      </c>
      <c r="AO1511">
        <f>SUN(INDIRECT(ADDRESS(1510,8)):INDIRECT(ADDRESS(1510,39)))</f>
        <v>0</v>
      </c>
    </row>
    <row r="1512" spans="1:41">
      <c r="H1512" t="s">
        <v>179</v>
      </c>
      <c r="J1512">
        <f>INDIRECT(ADDRESS(1512,9))+INDIRECT(ADDRESS(1510,10))-INDIRECT(ADDRESS(1511,10))</f>
        <v>0</v>
      </c>
      <c r="K1512">
        <f>INDIRECT(ADDRESS(1512,10))+INDIRECT(ADDRESS(1510,11))-INDIRECT(ADDRESS(1511,11))</f>
        <v>0</v>
      </c>
      <c r="L1512">
        <f>INDIRECT(ADDRESS(1512,11))+INDIRECT(ADDRESS(1510,12))-INDIRECT(ADDRESS(1511,12))</f>
        <v>0</v>
      </c>
      <c r="M1512">
        <f>INDIRECT(ADDRESS(1512,12))+INDIRECT(ADDRESS(1510,13))-INDIRECT(ADDRESS(1511,13))</f>
        <v>0</v>
      </c>
      <c r="N1512">
        <f>INDIRECT(ADDRESS(1512,13))+INDIRECT(ADDRESS(1510,14))-INDIRECT(ADDRESS(1511,14))</f>
        <v>0</v>
      </c>
      <c r="O1512">
        <f>INDIRECT(ADDRESS(1512,14))+INDIRECT(ADDRESS(1510,15))-INDIRECT(ADDRESS(1511,15))</f>
        <v>0</v>
      </c>
      <c r="P1512">
        <f>INDIRECT(ADDRESS(1512,15))+INDIRECT(ADDRESS(1510,16))-INDIRECT(ADDRESS(1511,16))</f>
        <v>0</v>
      </c>
      <c r="Q1512">
        <f>INDIRECT(ADDRESS(1512,16))+INDIRECT(ADDRESS(1510,17))-INDIRECT(ADDRESS(1511,17))</f>
        <v>0</v>
      </c>
      <c r="R1512">
        <f>INDIRECT(ADDRESS(1512,17))+INDIRECT(ADDRESS(1510,18))-INDIRECT(ADDRESS(1511,18))</f>
        <v>0</v>
      </c>
      <c r="S1512">
        <f>INDIRECT(ADDRESS(1512,18))+INDIRECT(ADDRESS(1510,19))-INDIRECT(ADDRESS(1511,19))</f>
        <v>0</v>
      </c>
      <c r="T1512">
        <f>INDIRECT(ADDRESS(1512,19))+INDIRECT(ADDRESS(1510,20))-INDIRECT(ADDRESS(1511,20))</f>
        <v>0</v>
      </c>
      <c r="U1512">
        <f>INDIRECT(ADDRESS(1512,20))+INDIRECT(ADDRESS(1510,21))-INDIRECT(ADDRESS(1511,21))</f>
        <v>0</v>
      </c>
      <c r="V1512">
        <f>INDIRECT(ADDRESS(1512,21))+INDIRECT(ADDRESS(1510,22))-INDIRECT(ADDRESS(1511,22))</f>
        <v>0</v>
      </c>
      <c r="W1512">
        <f>INDIRECT(ADDRESS(1512,22))+INDIRECT(ADDRESS(1510,23))-INDIRECT(ADDRESS(1511,23))</f>
        <v>0</v>
      </c>
      <c r="X1512">
        <f>INDIRECT(ADDRESS(1512,23))+INDIRECT(ADDRESS(1510,24))-INDIRECT(ADDRESS(1511,24))</f>
        <v>0</v>
      </c>
      <c r="Y1512">
        <f>INDIRECT(ADDRESS(1512,24))+INDIRECT(ADDRESS(1510,25))-INDIRECT(ADDRESS(1511,25))</f>
        <v>0</v>
      </c>
      <c r="Z1512">
        <f>INDIRECT(ADDRESS(1512,25))+INDIRECT(ADDRESS(1510,26))-INDIRECT(ADDRESS(1511,26))</f>
        <v>0</v>
      </c>
      <c r="AA1512">
        <f>INDIRECT(ADDRESS(1512,26))+INDIRECT(ADDRESS(1510,27))-INDIRECT(ADDRESS(1511,27))</f>
        <v>0</v>
      </c>
      <c r="AB1512">
        <f>INDIRECT(ADDRESS(1512,27))+INDIRECT(ADDRESS(1510,28))-INDIRECT(ADDRESS(1511,28))</f>
        <v>0</v>
      </c>
      <c r="AC1512">
        <f>INDIRECT(ADDRESS(1512,28))+INDIRECT(ADDRESS(1510,29))-INDIRECT(ADDRESS(1511,29))</f>
        <v>0</v>
      </c>
      <c r="AD1512">
        <f>INDIRECT(ADDRESS(1512,29))+INDIRECT(ADDRESS(1510,30))-INDIRECT(ADDRESS(1511,30))</f>
        <v>0</v>
      </c>
      <c r="AE1512">
        <f>INDIRECT(ADDRESS(1512,30))+INDIRECT(ADDRESS(1510,31))-INDIRECT(ADDRESS(1511,31))</f>
        <v>0</v>
      </c>
      <c r="AF1512">
        <f>INDIRECT(ADDRESS(1512,31))+INDIRECT(ADDRESS(1510,32))-INDIRECT(ADDRESS(1511,32))</f>
        <v>0</v>
      </c>
      <c r="AG1512">
        <f>INDIRECT(ADDRESS(1512,32))+INDIRECT(ADDRESS(1510,33))-INDIRECT(ADDRESS(1511,33))</f>
        <v>0</v>
      </c>
      <c r="AH1512">
        <f>INDIRECT(ADDRESS(1512,33))+INDIRECT(ADDRESS(1510,34))-INDIRECT(ADDRESS(1511,34))</f>
        <v>0</v>
      </c>
      <c r="AI1512">
        <f>INDIRECT(ADDRESS(1512,34))+INDIRECT(ADDRESS(1510,35))-INDIRECT(ADDRESS(1511,35))</f>
        <v>0</v>
      </c>
      <c r="AJ1512">
        <f>INDIRECT(ADDRESS(1512,35))+INDIRECT(ADDRESS(1510,36))-INDIRECT(ADDRESS(1511,36))</f>
        <v>0</v>
      </c>
      <c r="AK1512">
        <f>INDIRECT(ADDRESS(1512,36))+INDIRECT(ADDRESS(1510,37))-INDIRECT(ADDRESS(1511,37))</f>
        <v>0</v>
      </c>
      <c r="AL1512">
        <f>INDIRECT(ADDRESS(1512,37))+INDIRECT(ADDRESS(1510,38))-INDIRECT(ADDRESS(1511,38))</f>
        <v>0</v>
      </c>
      <c r="AM1512">
        <f>INDIRECT(ADDRESS(1512,38))+INDIRECT(ADDRESS(1510,39))-INDIRECT(ADDRESS(1511,39))</f>
        <v>0</v>
      </c>
      <c r="AN1512">
        <f>INDIRECT(ADDRESS(1512,39))+INDIRECT(ADDRESS(1510,40))-INDIRECT(ADDRESS(1511,40))</f>
        <v>0</v>
      </c>
      <c r="AO1512">
        <f>SUM(INDIRECT(ADDRESS(1511,8)):INDIRECT(ADDRESS(1511,39)))</f>
        <v>0</v>
      </c>
    </row>
    <row r="1513" spans="1:41">
      <c r="A1513" t="s">
        <v>185</v>
      </c>
      <c r="B1513" t="s">
        <v>678</v>
      </c>
      <c r="C1513" t="s">
        <v>716</v>
      </c>
      <c r="E1513">
        <v>1</v>
      </c>
      <c r="I1513" t="s">
        <v>177</v>
      </c>
    </row>
    <row r="1514" spans="1:41">
      <c r="I1514" t="s">
        <v>178</v>
      </c>
      <c r="J1514">
        <f>IFERROR(VLOOKUP("906-424348-110",B:AB,1+8,0),0)</f>
        <v>0</v>
      </c>
      <c r="K1514">
        <f>IFERROR(VLOOKUP("906-424348-110",B:AB,2+8,0),0)</f>
        <v>0</v>
      </c>
      <c r="L1514">
        <f>IFERROR(VLOOKUP("906-424348-110",B:AB,3+8,0),0)</f>
        <v>0</v>
      </c>
      <c r="M1514">
        <f>IFERROR(VLOOKUP("906-424348-110",B:AB,4+8,0),0)</f>
        <v>0</v>
      </c>
      <c r="N1514">
        <f>IFERROR(VLOOKUP("906-424348-110",B:AB,5+8,0),0)</f>
        <v>0</v>
      </c>
      <c r="O1514">
        <f>IFERROR(VLOOKUP("906-424348-110",B:AB,6+8,0),0)</f>
        <v>0</v>
      </c>
      <c r="P1514">
        <f>IFERROR(VLOOKUP("906-424348-110",B:AB,7+8,0),0)</f>
        <v>0</v>
      </c>
      <c r="Q1514">
        <f>IFERROR(VLOOKUP("906-424348-110",B:AB,8+8,0),0)</f>
        <v>0</v>
      </c>
      <c r="R1514">
        <f>IFERROR(VLOOKUP("906-424348-110",B:AB,9+8,0),0)</f>
        <v>0</v>
      </c>
      <c r="S1514">
        <f>IFERROR(VLOOKUP("906-424348-110",B:AB,10+8,0),0)</f>
        <v>0</v>
      </c>
      <c r="T1514">
        <f>IFERROR(VLOOKUP("906-424348-110",B:AB,11+8,0),0)</f>
        <v>0</v>
      </c>
      <c r="U1514">
        <f>IFERROR(VLOOKUP("906-424348-110",B:AB,12+8,0),0)</f>
        <v>0</v>
      </c>
      <c r="V1514">
        <f>IFERROR(VLOOKUP("906-424348-110",B:AB,13+8,0),0)</f>
        <v>0</v>
      </c>
      <c r="W1514">
        <f>IFERROR(VLOOKUP("906-424348-110",B:AB,14+8,0),0)</f>
        <v>0</v>
      </c>
      <c r="X1514">
        <f>IFERROR(VLOOKUP("906-424348-110",B:AB,15+8,0),0)</f>
        <v>0</v>
      </c>
      <c r="Y1514">
        <f>IFERROR(VLOOKUP("906-424348-110",B:AB,16+8,0),0)</f>
        <v>0</v>
      </c>
      <c r="Z1514">
        <f>IFERROR(VLOOKUP("906-424348-110",B:AB,17+8,0),0)</f>
        <v>0</v>
      </c>
      <c r="AA1514">
        <f>IFERROR(VLOOKUP("906-424348-110",B:AB,18+8,0),0)</f>
        <v>0</v>
      </c>
      <c r="AB1514">
        <f>IFERROR(VLOOKUP("906-424348-110",B:AB,19+8,0),0)</f>
        <v>0</v>
      </c>
      <c r="AC1514">
        <f>IFERROR(VLOOKUP("906-424348-110",B:AB,20+8,0),0)</f>
        <v>0</v>
      </c>
      <c r="AD1514">
        <f>IFERROR(VLOOKUP("906-424348-110",B:AB,21+8,0),0)</f>
        <v>0</v>
      </c>
      <c r="AE1514">
        <f>IFERROR(VLOOKUP("906-424348-110",B:AB,22+8,0),0)</f>
        <v>0</v>
      </c>
      <c r="AF1514">
        <f>IFERROR(VLOOKUP("906-424348-110",B:AB,23+8,0),0)</f>
        <v>0</v>
      </c>
      <c r="AG1514">
        <f>IFERROR(VLOOKUP("906-424348-110",B:AB,24+8,0),0)</f>
        <v>0</v>
      </c>
      <c r="AH1514">
        <f>IFERROR(VLOOKUP("906-424348-110",B:AB,25+8,0),0)</f>
        <v>0</v>
      </c>
      <c r="AI1514">
        <f>IFERROR(VLOOKUP("906-424348-110",B:AB,26+8,0),0)</f>
        <v>0</v>
      </c>
      <c r="AJ1514">
        <f>IFERROR(VLOOKUP("906-424348-110",B:AB,27+8,0),0)</f>
        <v>0</v>
      </c>
      <c r="AK1514">
        <f>IFERROR(VLOOKUP("906-424348-110",B:AB,28+8,0),0)</f>
        <v>0</v>
      </c>
      <c r="AL1514">
        <f>IFERROR(VLOOKUP("906-424348-110",B:AB,29+8,0),0)</f>
        <v>0</v>
      </c>
      <c r="AM1514">
        <f>IFERROR(VLOOKUP("906-424348-110",B:AB,30+8,0),0)</f>
        <v>0</v>
      </c>
      <c r="AN1514">
        <f>IFERROR(VLOOKUP("906-424348-110",B:AB,31+8,0),0)</f>
        <v>0</v>
      </c>
      <c r="AO1514">
        <f>SUN(INDIRECT(ADDRESS(1513,8)):INDIRECT(ADDRESS(1513,39)))</f>
        <v>0</v>
      </c>
    </row>
    <row r="1515" spans="1:41">
      <c r="H1515" t="s">
        <v>179</v>
      </c>
      <c r="J1515">
        <f>INDIRECT(ADDRESS(1515,9))+INDIRECT(ADDRESS(1513,10))-INDIRECT(ADDRESS(1514,10))</f>
        <v>0</v>
      </c>
      <c r="K1515">
        <f>INDIRECT(ADDRESS(1515,10))+INDIRECT(ADDRESS(1513,11))-INDIRECT(ADDRESS(1514,11))</f>
        <v>0</v>
      </c>
      <c r="L1515">
        <f>INDIRECT(ADDRESS(1515,11))+INDIRECT(ADDRESS(1513,12))-INDIRECT(ADDRESS(1514,12))</f>
        <v>0</v>
      </c>
      <c r="M1515">
        <f>INDIRECT(ADDRESS(1515,12))+INDIRECT(ADDRESS(1513,13))-INDIRECT(ADDRESS(1514,13))</f>
        <v>0</v>
      </c>
      <c r="N1515">
        <f>INDIRECT(ADDRESS(1515,13))+INDIRECT(ADDRESS(1513,14))-INDIRECT(ADDRESS(1514,14))</f>
        <v>0</v>
      </c>
      <c r="O1515">
        <f>INDIRECT(ADDRESS(1515,14))+INDIRECT(ADDRESS(1513,15))-INDIRECT(ADDRESS(1514,15))</f>
        <v>0</v>
      </c>
      <c r="P1515">
        <f>INDIRECT(ADDRESS(1515,15))+INDIRECT(ADDRESS(1513,16))-INDIRECT(ADDRESS(1514,16))</f>
        <v>0</v>
      </c>
      <c r="Q1515">
        <f>INDIRECT(ADDRESS(1515,16))+INDIRECT(ADDRESS(1513,17))-INDIRECT(ADDRESS(1514,17))</f>
        <v>0</v>
      </c>
      <c r="R1515">
        <f>INDIRECT(ADDRESS(1515,17))+INDIRECT(ADDRESS(1513,18))-INDIRECT(ADDRESS(1514,18))</f>
        <v>0</v>
      </c>
      <c r="S1515">
        <f>INDIRECT(ADDRESS(1515,18))+INDIRECT(ADDRESS(1513,19))-INDIRECT(ADDRESS(1514,19))</f>
        <v>0</v>
      </c>
      <c r="T1515">
        <f>INDIRECT(ADDRESS(1515,19))+INDIRECT(ADDRESS(1513,20))-INDIRECT(ADDRESS(1514,20))</f>
        <v>0</v>
      </c>
      <c r="U1515">
        <f>INDIRECT(ADDRESS(1515,20))+INDIRECT(ADDRESS(1513,21))-INDIRECT(ADDRESS(1514,21))</f>
        <v>0</v>
      </c>
      <c r="V1515">
        <f>INDIRECT(ADDRESS(1515,21))+INDIRECT(ADDRESS(1513,22))-INDIRECT(ADDRESS(1514,22))</f>
        <v>0</v>
      </c>
      <c r="W1515">
        <f>INDIRECT(ADDRESS(1515,22))+INDIRECT(ADDRESS(1513,23))-INDIRECT(ADDRESS(1514,23))</f>
        <v>0</v>
      </c>
      <c r="X1515">
        <f>INDIRECT(ADDRESS(1515,23))+INDIRECT(ADDRESS(1513,24))-INDIRECT(ADDRESS(1514,24))</f>
        <v>0</v>
      </c>
      <c r="Y1515">
        <f>INDIRECT(ADDRESS(1515,24))+INDIRECT(ADDRESS(1513,25))-INDIRECT(ADDRESS(1514,25))</f>
        <v>0</v>
      </c>
      <c r="Z1515">
        <f>INDIRECT(ADDRESS(1515,25))+INDIRECT(ADDRESS(1513,26))-INDIRECT(ADDRESS(1514,26))</f>
        <v>0</v>
      </c>
      <c r="AA1515">
        <f>INDIRECT(ADDRESS(1515,26))+INDIRECT(ADDRESS(1513,27))-INDIRECT(ADDRESS(1514,27))</f>
        <v>0</v>
      </c>
      <c r="AB1515">
        <f>INDIRECT(ADDRESS(1515,27))+INDIRECT(ADDRESS(1513,28))-INDIRECT(ADDRESS(1514,28))</f>
        <v>0</v>
      </c>
      <c r="AC1515">
        <f>INDIRECT(ADDRESS(1515,28))+INDIRECT(ADDRESS(1513,29))-INDIRECT(ADDRESS(1514,29))</f>
        <v>0</v>
      </c>
      <c r="AD1515">
        <f>INDIRECT(ADDRESS(1515,29))+INDIRECT(ADDRESS(1513,30))-INDIRECT(ADDRESS(1514,30))</f>
        <v>0</v>
      </c>
      <c r="AE1515">
        <f>INDIRECT(ADDRESS(1515,30))+INDIRECT(ADDRESS(1513,31))-INDIRECT(ADDRESS(1514,31))</f>
        <v>0</v>
      </c>
      <c r="AF1515">
        <f>INDIRECT(ADDRESS(1515,31))+INDIRECT(ADDRESS(1513,32))-INDIRECT(ADDRESS(1514,32))</f>
        <v>0</v>
      </c>
      <c r="AG1515">
        <f>INDIRECT(ADDRESS(1515,32))+INDIRECT(ADDRESS(1513,33))-INDIRECT(ADDRESS(1514,33))</f>
        <v>0</v>
      </c>
      <c r="AH1515">
        <f>INDIRECT(ADDRESS(1515,33))+INDIRECT(ADDRESS(1513,34))-INDIRECT(ADDRESS(1514,34))</f>
        <v>0</v>
      </c>
      <c r="AI1515">
        <f>INDIRECT(ADDRESS(1515,34))+INDIRECT(ADDRESS(1513,35))-INDIRECT(ADDRESS(1514,35))</f>
        <v>0</v>
      </c>
      <c r="AJ1515">
        <f>INDIRECT(ADDRESS(1515,35))+INDIRECT(ADDRESS(1513,36))-INDIRECT(ADDRESS(1514,36))</f>
        <v>0</v>
      </c>
      <c r="AK1515">
        <f>INDIRECT(ADDRESS(1515,36))+INDIRECT(ADDRESS(1513,37))-INDIRECT(ADDRESS(1514,37))</f>
        <v>0</v>
      </c>
      <c r="AL1515">
        <f>INDIRECT(ADDRESS(1515,37))+INDIRECT(ADDRESS(1513,38))-INDIRECT(ADDRESS(1514,38))</f>
        <v>0</v>
      </c>
      <c r="AM1515">
        <f>INDIRECT(ADDRESS(1515,38))+INDIRECT(ADDRESS(1513,39))-INDIRECT(ADDRESS(1514,39))</f>
        <v>0</v>
      </c>
      <c r="AN1515">
        <f>INDIRECT(ADDRESS(1515,39))+INDIRECT(ADDRESS(1513,40))-INDIRECT(ADDRESS(1514,40))</f>
        <v>0</v>
      </c>
      <c r="AO1515">
        <f>SUM(INDIRECT(ADDRESS(1514,8)):INDIRECT(ADDRESS(1514,39)))</f>
        <v>0</v>
      </c>
    </row>
    <row r="1516" spans="1:41">
      <c r="A1516" t="s">
        <v>185</v>
      </c>
      <c r="B1516" t="s">
        <v>680</v>
      </c>
      <c r="C1516" t="s">
        <v>717</v>
      </c>
      <c r="E1516">
        <v>1</v>
      </c>
      <c r="I1516" t="s">
        <v>177</v>
      </c>
    </row>
    <row r="1517" spans="1:41">
      <c r="I1517" t="s">
        <v>178</v>
      </c>
      <c r="J1517">
        <f>IFERROR(VLOOKUP("906-424348-110",B:AB,1+8,0),0)</f>
        <v>0</v>
      </c>
      <c r="K1517">
        <f>IFERROR(VLOOKUP("906-424348-110",B:AB,2+8,0),0)</f>
        <v>0</v>
      </c>
      <c r="L1517">
        <f>IFERROR(VLOOKUP("906-424348-110",B:AB,3+8,0),0)</f>
        <v>0</v>
      </c>
      <c r="M1517">
        <f>IFERROR(VLOOKUP("906-424348-110",B:AB,4+8,0),0)</f>
        <v>0</v>
      </c>
      <c r="N1517">
        <f>IFERROR(VLOOKUP("906-424348-110",B:AB,5+8,0),0)</f>
        <v>0</v>
      </c>
      <c r="O1517">
        <f>IFERROR(VLOOKUP("906-424348-110",B:AB,6+8,0),0)</f>
        <v>0</v>
      </c>
      <c r="P1517">
        <f>IFERROR(VLOOKUP("906-424348-110",B:AB,7+8,0),0)</f>
        <v>0</v>
      </c>
      <c r="Q1517">
        <f>IFERROR(VLOOKUP("906-424348-110",B:AB,8+8,0),0)</f>
        <v>0</v>
      </c>
      <c r="R1517">
        <f>IFERROR(VLOOKUP("906-424348-110",B:AB,9+8,0),0)</f>
        <v>0</v>
      </c>
      <c r="S1517">
        <f>IFERROR(VLOOKUP("906-424348-110",B:AB,10+8,0),0)</f>
        <v>0</v>
      </c>
      <c r="T1517">
        <f>IFERROR(VLOOKUP("906-424348-110",B:AB,11+8,0),0)</f>
        <v>0</v>
      </c>
      <c r="U1517">
        <f>IFERROR(VLOOKUP("906-424348-110",B:AB,12+8,0),0)</f>
        <v>0</v>
      </c>
      <c r="V1517">
        <f>IFERROR(VLOOKUP("906-424348-110",B:AB,13+8,0),0)</f>
        <v>0</v>
      </c>
      <c r="W1517">
        <f>IFERROR(VLOOKUP("906-424348-110",B:AB,14+8,0),0)</f>
        <v>0</v>
      </c>
      <c r="X1517">
        <f>IFERROR(VLOOKUP("906-424348-110",B:AB,15+8,0),0)</f>
        <v>0</v>
      </c>
      <c r="Y1517">
        <f>IFERROR(VLOOKUP("906-424348-110",B:AB,16+8,0),0)</f>
        <v>0</v>
      </c>
      <c r="Z1517">
        <f>IFERROR(VLOOKUP("906-424348-110",B:AB,17+8,0),0)</f>
        <v>0</v>
      </c>
      <c r="AA1517">
        <f>IFERROR(VLOOKUP("906-424348-110",B:AB,18+8,0),0)</f>
        <v>0</v>
      </c>
      <c r="AB1517">
        <f>IFERROR(VLOOKUP("906-424348-110",B:AB,19+8,0),0)</f>
        <v>0</v>
      </c>
      <c r="AC1517">
        <f>IFERROR(VLOOKUP("906-424348-110",B:AB,20+8,0),0)</f>
        <v>0</v>
      </c>
      <c r="AD1517">
        <f>IFERROR(VLOOKUP("906-424348-110",B:AB,21+8,0),0)</f>
        <v>0</v>
      </c>
      <c r="AE1517">
        <f>IFERROR(VLOOKUP("906-424348-110",B:AB,22+8,0),0)</f>
        <v>0</v>
      </c>
      <c r="AF1517">
        <f>IFERROR(VLOOKUP("906-424348-110",B:AB,23+8,0),0)</f>
        <v>0</v>
      </c>
      <c r="AG1517">
        <f>IFERROR(VLOOKUP("906-424348-110",B:AB,24+8,0),0)</f>
        <v>0</v>
      </c>
      <c r="AH1517">
        <f>IFERROR(VLOOKUP("906-424348-110",B:AB,25+8,0),0)</f>
        <v>0</v>
      </c>
      <c r="AI1517">
        <f>IFERROR(VLOOKUP("906-424348-110",B:AB,26+8,0),0)</f>
        <v>0</v>
      </c>
      <c r="AJ1517">
        <f>IFERROR(VLOOKUP("906-424348-110",B:AB,27+8,0),0)</f>
        <v>0</v>
      </c>
      <c r="AK1517">
        <f>IFERROR(VLOOKUP("906-424348-110",B:AB,28+8,0),0)</f>
        <v>0</v>
      </c>
      <c r="AL1517">
        <f>IFERROR(VLOOKUP("906-424348-110",B:AB,29+8,0),0)</f>
        <v>0</v>
      </c>
      <c r="AM1517">
        <f>IFERROR(VLOOKUP("906-424348-110",B:AB,30+8,0),0)</f>
        <v>0</v>
      </c>
      <c r="AN1517">
        <f>IFERROR(VLOOKUP("906-424348-110",B:AB,31+8,0),0)</f>
        <v>0</v>
      </c>
      <c r="AO1517">
        <f>SUN(INDIRECT(ADDRESS(1516,8)):INDIRECT(ADDRESS(1516,39)))</f>
        <v>0</v>
      </c>
    </row>
    <row r="1518" spans="1:41">
      <c r="H1518" t="s">
        <v>179</v>
      </c>
      <c r="J1518">
        <f>INDIRECT(ADDRESS(1518,9))+INDIRECT(ADDRESS(1516,10))-INDIRECT(ADDRESS(1517,10))</f>
        <v>0</v>
      </c>
      <c r="K1518">
        <f>INDIRECT(ADDRESS(1518,10))+INDIRECT(ADDRESS(1516,11))-INDIRECT(ADDRESS(1517,11))</f>
        <v>0</v>
      </c>
      <c r="L1518">
        <f>INDIRECT(ADDRESS(1518,11))+INDIRECT(ADDRESS(1516,12))-INDIRECT(ADDRESS(1517,12))</f>
        <v>0</v>
      </c>
      <c r="M1518">
        <f>INDIRECT(ADDRESS(1518,12))+INDIRECT(ADDRESS(1516,13))-INDIRECT(ADDRESS(1517,13))</f>
        <v>0</v>
      </c>
      <c r="N1518">
        <f>INDIRECT(ADDRESS(1518,13))+INDIRECT(ADDRESS(1516,14))-INDIRECT(ADDRESS(1517,14))</f>
        <v>0</v>
      </c>
      <c r="O1518">
        <f>INDIRECT(ADDRESS(1518,14))+INDIRECT(ADDRESS(1516,15))-INDIRECT(ADDRESS(1517,15))</f>
        <v>0</v>
      </c>
      <c r="P1518">
        <f>INDIRECT(ADDRESS(1518,15))+INDIRECT(ADDRESS(1516,16))-INDIRECT(ADDRESS(1517,16))</f>
        <v>0</v>
      </c>
      <c r="Q1518">
        <f>INDIRECT(ADDRESS(1518,16))+INDIRECT(ADDRESS(1516,17))-INDIRECT(ADDRESS(1517,17))</f>
        <v>0</v>
      </c>
      <c r="R1518">
        <f>INDIRECT(ADDRESS(1518,17))+INDIRECT(ADDRESS(1516,18))-INDIRECT(ADDRESS(1517,18))</f>
        <v>0</v>
      </c>
      <c r="S1518">
        <f>INDIRECT(ADDRESS(1518,18))+INDIRECT(ADDRESS(1516,19))-INDIRECT(ADDRESS(1517,19))</f>
        <v>0</v>
      </c>
      <c r="T1518">
        <f>INDIRECT(ADDRESS(1518,19))+INDIRECT(ADDRESS(1516,20))-INDIRECT(ADDRESS(1517,20))</f>
        <v>0</v>
      </c>
      <c r="U1518">
        <f>INDIRECT(ADDRESS(1518,20))+INDIRECT(ADDRESS(1516,21))-INDIRECT(ADDRESS(1517,21))</f>
        <v>0</v>
      </c>
      <c r="V1518">
        <f>INDIRECT(ADDRESS(1518,21))+INDIRECT(ADDRESS(1516,22))-INDIRECT(ADDRESS(1517,22))</f>
        <v>0</v>
      </c>
      <c r="W1518">
        <f>INDIRECT(ADDRESS(1518,22))+INDIRECT(ADDRESS(1516,23))-INDIRECT(ADDRESS(1517,23))</f>
        <v>0</v>
      </c>
      <c r="X1518">
        <f>INDIRECT(ADDRESS(1518,23))+INDIRECT(ADDRESS(1516,24))-INDIRECT(ADDRESS(1517,24))</f>
        <v>0</v>
      </c>
      <c r="Y1518">
        <f>INDIRECT(ADDRESS(1518,24))+INDIRECT(ADDRESS(1516,25))-INDIRECT(ADDRESS(1517,25))</f>
        <v>0</v>
      </c>
      <c r="Z1518">
        <f>INDIRECT(ADDRESS(1518,25))+INDIRECT(ADDRESS(1516,26))-INDIRECT(ADDRESS(1517,26))</f>
        <v>0</v>
      </c>
      <c r="AA1518">
        <f>INDIRECT(ADDRESS(1518,26))+INDIRECT(ADDRESS(1516,27))-INDIRECT(ADDRESS(1517,27))</f>
        <v>0</v>
      </c>
      <c r="AB1518">
        <f>INDIRECT(ADDRESS(1518,27))+INDIRECT(ADDRESS(1516,28))-INDIRECT(ADDRESS(1517,28))</f>
        <v>0</v>
      </c>
      <c r="AC1518">
        <f>INDIRECT(ADDRESS(1518,28))+INDIRECT(ADDRESS(1516,29))-INDIRECT(ADDRESS(1517,29))</f>
        <v>0</v>
      </c>
      <c r="AD1518">
        <f>INDIRECT(ADDRESS(1518,29))+INDIRECT(ADDRESS(1516,30))-INDIRECT(ADDRESS(1517,30))</f>
        <v>0</v>
      </c>
      <c r="AE1518">
        <f>INDIRECT(ADDRESS(1518,30))+INDIRECT(ADDRESS(1516,31))-INDIRECT(ADDRESS(1517,31))</f>
        <v>0</v>
      </c>
      <c r="AF1518">
        <f>INDIRECT(ADDRESS(1518,31))+INDIRECT(ADDRESS(1516,32))-INDIRECT(ADDRESS(1517,32))</f>
        <v>0</v>
      </c>
      <c r="AG1518">
        <f>INDIRECT(ADDRESS(1518,32))+INDIRECT(ADDRESS(1516,33))-INDIRECT(ADDRESS(1517,33))</f>
        <v>0</v>
      </c>
      <c r="AH1518">
        <f>INDIRECT(ADDRESS(1518,33))+INDIRECT(ADDRESS(1516,34))-INDIRECT(ADDRESS(1517,34))</f>
        <v>0</v>
      </c>
      <c r="AI1518">
        <f>INDIRECT(ADDRESS(1518,34))+INDIRECT(ADDRESS(1516,35))-INDIRECT(ADDRESS(1517,35))</f>
        <v>0</v>
      </c>
      <c r="AJ1518">
        <f>INDIRECT(ADDRESS(1518,35))+INDIRECT(ADDRESS(1516,36))-INDIRECT(ADDRESS(1517,36))</f>
        <v>0</v>
      </c>
      <c r="AK1518">
        <f>INDIRECT(ADDRESS(1518,36))+INDIRECT(ADDRESS(1516,37))-INDIRECT(ADDRESS(1517,37))</f>
        <v>0</v>
      </c>
      <c r="AL1518">
        <f>INDIRECT(ADDRESS(1518,37))+INDIRECT(ADDRESS(1516,38))-INDIRECT(ADDRESS(1517,38))</f>
        <v>0</v>
      </c>
      <c r="AM1518">
        <f>INDIRECT(ADDRESS(1518,38))+INDIRECT(ADDRESS(1516,39))-INDIRECT(ADDRESS(1517,39))</f>
        <v>0</v>
      </c>
      <c r="AN1518">
        <f>INDIRECT(ADDRESS(1518,39))+INDIRECT(ADDRESS(1516,40))-INDIRECT(ADDRESS(1517,40))</f>
        <v>0</v>
      </c>
      <c r="AO1518">
        <f>SUM(INDIRECT(ADDRESS(1517,8)):INDIRECT(ADDRESS(1517,39)))</f>
        <v>0</v>
      </c>
    </row>
    <row r="1519" spans="1:41">
      <c r="A1519" t="s">
        <v>206</v>
      </c>
      <c r="B1519" t="s">
        <v>680</v>
      </c>
      <c r="C1519" t="s">
        <v>206</v>
      </c>
      <c r="E1519">
        <v>0.063</v>
      </c>
      <c r="I1519" t="s">
        <v>177</v>
      </c>
    </row>
    <row r="1520" spans="1:41">
      <c r="I1520" t="s">
        <v>178</v>
      </c>
      <c r="J1520">
        <f>IFERROR(VLOOKUP("906-424348-110",B:AB,1+8,0),0)</f>
        <v>0</v>
      </c>
      <c r="K1520">
        <f>IFERROR(VLOOKUP("906-424348-110",B:AB,2+8,0),0)</f>
        <v>0</v>
      </c>
      <c r="L1520">
        <f>IFERROR(VLOOKUP("906-424348-110",B:AB,3+8,0),0)</f>
        <v>0</v>
      </c>
      <c r="M1520">
        <f>IFERROR(VLOOKUP("906-424348-110",B:AB,4+8,0),0)</f>
        <v>0</v>
      </c>
      <c r="N1520">
        <f>IFERROR(VLOOKUP("906-424348-110",B:AB,5+8,0),0)</f>
        <v>0</v>
      </c>
      <c r="O1520">
        <f>IFERROR(VLOOKUP("906-424348-110",B:AB,6+8,0),0)</f>
        <v>0</v>
      </c>
      <c r="P1520">
        <f>IFERROR(VLOOKUP("906-424348-110",B:AB,7+8,0),0)</f>
        <v>0</v>
      </c>
      <c r="Q1520">
        <f>IFERROR(VLOOKUP("906-424348-110",B:AB,8+8,0),0)</f>
        <v>0</v>
      </c>
      <c r="R1520">
        <f>IFERROR(VLOOKUP("906-424348-110",B:AB,9+8,0),0)</f>
        <v>0</v>
      </c>
      <c r="S1520">
        <f>IFERROR(VLOOKUP("906-424348-110",B:AB,10+8,0),0)</f>
        <v>0</v>
      </c>
      <c r="T1520">
        <f>IFERROR(VLOOKUP("906-424348-110",B:AB,11+8,0),0)</f>
        <v>0</v>
      </c>
      <c r="U1520">
        <f>IFERROR(VLOOKUP("906-424348-110",B:AB,12+8,0),0)</f>
        <v>0</v>
      </c>
      <c r="V1520">
        <f>IFERROR(VLOOKUP("906-424348-110",B:AB,13+8,0),0)</f>
        <v>0</v>
      </c>
      <c r="W1520">
        <f>IFERROR(VLOOKUP("906-424348-110",B:AB,14+8,0),0)</f>
        <v>0</v>
      </c>
      <c r="X1520">
        <f>IFERROR(VLOOKUP("906-424348-110",B:AB,15+8,0),0)</f>
        <v>0</v>
      </c>
      <c r="Y1520">
        <f>IFERROR(VLOOKUP("906-424348-110",B:AB,16+8,0),0)</f>
        <v>0</v>
      </c>
      <c r="Z1520">
        <f>IFERROR(VLOOKUP("906-424348-110",B:AB,17+8,0),0)</f>
        <v>0</v>
      </c>
      <c r="AA1520">
        <f>IFERROR(VLOOKUP("906-424348-110",B:AB,18+8,0),0)</f>
        <v>0</v>
      </c>
      <c r="AB1520">
        <f>IFERROR(VLOOKUP("906-424348-110",B:AB,19+8,0),0)</f>
        <v>0</v>
      </c>
      <c r="AC1520">
        <f>IFERROR(VLOOKUP("906-424348-110",B:AB,20+8,0),0)</f>
        <v>0</v>
      </c>
      <c r="AD1520">
        <f>IFERROR(VLOOKUP("906-424348-110",B:AB,21+8,0),0)</f>
        <v>0</v>
      </c>
      <c r="AE1520">
        <f>IFERROR(VLOOKUP("906-424348-110",B:AB,22+8,0),0)</f>
        <v>0</v>
      </c>
      <c r="AF1520">
        <f>IFERROR(VLOOKUP("906-424348-110",B:AB,23+8,0),0)</f>
        <v>0</v>
      </c>
      <c r="AG1520">
        <f>IFERROR(VLOOKUP("906-424348-110",B:AB,24+8,0),0)</f>
        <v>0</v>
      </c>
      <c r="AH1520">
        <f>IFERROR(VLOOKUP("906-424348-110",B:AB,25+8,0),0)</f>
        <v>0</v>
      </c>
      <c r="AI1520">
        <f>IFERROR(VLOOKUP("906-424348-110",B:AB,26+8,0),0)</f>
        <v>0</v>
      </c>
      <c r="AJ1520">
        <f>IFERROR(VLOOKUP("906-424348-110",B:AB,27+8,0),0)</f>
        <v>0</v>
      </c>
      <c r="AK1520">
        <f>IFERROR(VLOOKUP("906-424348-110",B:AB,28+8,0),0)</f>
        <v>0</v>
      </c>
      <c r="AL1520">
        <f>IFERROR(VLOOKUP("906-424348-110",B:AB,29+8,0),0)</f>
        <v>0</v>
      </c>
      <c r="AM1520">
        <f>IFERROR(VLOOKUP("906-424348-110",B:AB,30+8,0),0)</f>
        <v>0</v>
      </c>
      <c r="AN1520">
        <f>IFERROR(VLOOKUP("906-424348-110",B:AB,31+8,0),0)</f>
        <v>0</v>
      </c>
      <c r="AO1520">
        <f>SUN(INDIRECT(ADDRESS(1519,8)):INDIRECT(ADDRESS(1519,39)))</f>
        <v>0</v>
      </c>
    </row>
    <row r="1521" spans="1:41">
      <c r="H1521" t="s">
        <v>179</v>
      </c>
      <c r="J1521">
        <f>INDIRECT(ADDRESS(1521,9))+INDIRECT(ADDRESS(1519,10))-INDIRECT(ADDRESS(1520,10))</f>
        <v>0</v>
      </c>
      <c r="K1521">
        <f>INDIRECT(ADDRESS(1521,10))+INDIRECT(ADDRESS(1519,11))-INDIRECT(ADDRESS(1520,11))</f>
        <v>0</v>
      </c>
      <c r="L1521">
        <f>INDIRECT(ADDRESS(1521,11))+INDIRECT(ADDRESS(1519,12))-INDIRECT(ADDRESS(1520,12))</f>
        <v>0</v>
      </c>
      <c r="M1521">
        <f>INDIRECT(ADDRESS(1521,12))+INDIRECT(ADDRESS(1519,13))-INDIRECT(ADDRESS(1520,13))</f>
        <v>0</v>
      </c>
      <c r="N1521">
        <f>INDIRECT(ADDRESS(1521,13))+INDIRECT(ADDRESS(1519,14))-INDIRECT(ADDRESS(1520,14))</f>
        <v>0</v>
      </c>
      <c r="O1521">
        <f>INDIRECT(ADDRESS(1521,14))+INDIRECT(ADDRESS(1519,15))-INDIRECT(ADDRESS(1520,15))</f>
        <v>0</v>
      </c>
      <c r="P1521">
        <f>INDIRECT(ADDRESS(1521,15))+INDIRECT(ADDRESS(1519,16))-INDIRECT(ADDRESS(1520,16))</f>
        <v>0</v>
      </c>
      <c r="Q1521">
        <f>INDIRECT(ADDRESS(1521,16))+INDIRECT(ADDRESS(1519,17))-INDIRECT(ADDRESS(1520,17))</f>
        <v>0</v>
      </c>
      <c r="R1521">
        <f>INDIRECT(ADDRESS(1521,17))+INDIRECT(ADDRESS(1519,18))-INDIRECT(ADDRESS(1520,18))</f>
        <v>0</v>
      </c>
      <c r="S1521">
        <f>INDIRECT(ADDRESS(1521,18))+INDIRECT(ADDRESS(1519,19))-INDIRECT(ADDRESS(1520,19))</f>
        <v>0</v>
      </c>
      <c r="T1521">
        <f>INDIRECT(ADDRESS(1521,19))+INDIRECT(ADDRESS(1519,20))-INDIRECT(ADDRESS(1520,20))</f>
        <v>0</v>
      </c>
      <c r="U1521">
        <f>INDIRECT(ADDRESS(1521,20))+INDIRECT(ADDRESS(1519,21))-INDIRECT(ADDRESS(1520,21))</f>
        <v>0</v>
      </c>
      <c r="V1521">
        <f>INDIRECT(ADDRESS(1521,21))+INDIRECT(ADDRESS(1519,22))-INDIRECT(ADDRESS(1520,22))</f>
        <v>0</v>
      </c>
      <c r="W1521">
        <f>INDIRECT(ADDRESS(1521,22))+INDIRECT(ADDRESS(1519,23))-INDIRECT(ADDRESS(1520,23))</f>
        <v>0</v>
      </c>
      <c r="X1521">
        <f>INDIRECT(ADDRESS(1521,23))+INDIRECT(ADDRESS(1519,24))-INDIRECT(ADDRESS(1520,24))</f>
        <v>0</v>
      </c>
      <c r="Y1521">
        <f>INDIRECT(ADDRESS(1521,24))+INDIRECT(ADDRESS(1519,25))-INDIRECT(ADDRESS(1520,25))</f>
        <v>0</v>
      </c>
      <c r="Z1521">
        <f>INDIRECT(ADDRESS(1521,25))+INDIRECT(ADDRESS(1519,26))-INDIRECT(ADDRESS(1520,26))</f>
        <v>0</v>
      </c>
      <c r="AA1521">
        <f>INDIRECT(ADDRESS(1521,26))+INDIRECT(ADDRESS(1519,27))-INDIRECT(ADDRESS(1520,27))</f>
        <v>0</v>
      </c>
      <c r="AB1521">
        <f>INDIRECT(ADDRESS(1521,27))+INDIRECT(ADDRESS(1519,28))-INDIRECT(ADDRESS(1520,28))</f>
        <v>0</v>
      </c>
      <c r="AC1521">
        <f>INDIRECT(ADDRESS(1521,28))+INDIRECT(ADDRESS(1519,29))-INDIRECT(ADDRESS(1520,29))</f>
        <v>0</v>
      </c>
      <c r="AD1521">
        <f>INDIRECT(ADDRESS(1521,29))+INDIRECT(ADDRESS(1519,30))-INDIRECT(ADDRESS(1520,30))</f>
        <v>0</v>
      </c>
      <c r="AE1521">
        <f>INDIRECT(ADDRESS(1521,30))+INDIRECT(ADDRESS(1519,31))-INDIRECT(ADDRESS(1520,31))</f>
        <v>0</v>
      </c>
      <c r="AF1521">
        <f>INDIRECT(ADDRESS(1521,31))+INDIRECT(ADDRESS(1519,32))-INDIRECT(ADDRESS(1520,32))</f>
        <v>0</v>
      </c>
      <c r="AG1521">
        <f>INDIRECT(ADDRESS(1521,32))+INDIRECT(ADDRESS(1519,33))-INDIRECT(ADDRESS(1520,33))</f>
        <v>0</v>
      </c>
      <c r="AH1521">
        <f>INDIRECT(ADDRESS(1521,33))+INDIRECT(ADDRESS(1519,34))-INDIRECT(ADDRESS(1520,34))</f>
        <v>0</v>
      </c>
      <c r="AI1521">
        <f>INDIRECT(ADDRESS(1521,34))+INDIRECT(ADDRESS(1519,35))-INDIRECT(ADDRESS(1520,35))</f>
        <v>0</v>
      </c>
      <c r="AJ1521">
        <f>INDIRECT(ADDRESS(1521,35))+INDIRECT(ADDRESS(1519,36))-INDIRECT(ADDRESS(1520,36))</f>
        <v>0</v>
      </c>
      <c r="AK1521">
        <f>INDIRECT(ADDRESS(1521,36))+INDIRECT(ADDRESS(1519,37))-INDIRECT(ADDRESS(1520,37))</f>
        <v>0</v>
      </c>
      <c r="AL1521">
        <f>INDIRECT(ADDRESS(1521,37))+INDIRECT(ADDRESS(1519,38))-INDIRECT(ADDRESS(1520,38))</f>
        <v>0</v>
      </c>
      <c r="AM1521">
        <f>INDIRECT(ADDRESS(1521,38))+INDIRECT(ADDRESS(1519,39))-INDIRECT(ADDRESS(1520,39))</f>
        <v>0</v>
      </c>
      <c r="AN1521">
        <f>INDIRECT(ADDRESS(1521,39))+INDIRECT(ADDRESS(1519,40))-INDIRECT(ADDRESS(1520,40))</f>
        <v>0</v>
      </c>
      <c r="AO1521">
        <f>SUM(INDIRECT(ADDRESS(1520,8)):INDIRECT(ADDRESS(1520,39)))</f>
        <v>0</v>
      </c>
    </row>
    <row r="1522" spans="1:41">
      <c r="A1522" t="s">
        <v>8</v>
      </c>
      <c r="B1522" t="s">
        <v>117</v>
      </c>
      <c r="C1522" t="s">
        <v>118</v>
      </c>
      <c r="E1522">
        <v>1</v>
      </c>
      <c r="I1522" t="s">
        <v>177</v>
      </c>
    </row>
    <row r="1523" spans="1:41">
      <c r="I1523" t="s">
        <v>178</v>
      </c>
      <c r="J1523">
        <f>IFERROR(VLOOKUP("906-460000-310",Out!B:AB,1+8,0),0)</f>
        <v>0</v>
      </c>
      <c r="K1523">
        <f>IFERROR(VLOOKUP("906-460000-310",Out!B:AB,2+8,0),0)</f>
        <v>0</v>
      </c>
      <c r="L1523">
        <f>IFERROR(VLOOKUP("906-460000-310",Out!B:AB,3+8,0),0)</f>
        <v>0</v>
      </c>
      <c r="M1523">
        <f>IFERROR(VLOOKUP("906-460000-310",Out!B:AB,4+8,0),0)</f>
        <v>0</v>
      </c>
      <c r="N1523">
        <f>IFERROR(VLOOKUP("906-460000-310",Out!B:AB,5+8,0),0)</f>
        <v>0</v>
      </c>
      <c r="O1523">
        <f>IFERROR(VLOOKUP("906-460000-310",Out!B:AB,6+8,0),0)</f>
        <v>0</v>
      </c>
      <c r="P1523">
        <f>IFERROR(VLOOKUP("906-460000-310",Out!B:AB,7+8,0),0)</f>
        <v>0</v>
      </c>
      <c r="Q1523">
        <f>IFERROR(VLOOKUP("906-460000-310",Out!B:AB,8+8,0),0)</f>
        <v>0</v>
      </c>
      <c r="R1523">
        <f>IFERROR(VLOOKUP("906-460000-310",Out!B:AB,9+8,0),0)</f>
        <v>0</v>
      </c>
      <c r="S1523">
        <f>IFERROR(VLOOKUP("906-460000-310",Out!B:AB,10+8,0),0)</f>
        <v>0</v>
      </c>
      <c r="T1523">
        <f>IFERROR(VLOOKUP("906-460000-310",Out!B:AB,11+8,0),0)</f>
        <v>0</v>
      </c>
      <c r="U1523">
        <f>IFERROR(VLOOKUP("906-460000-310",Out!B:AB,12+8,0),0)</f>
        <v>0</v>
      </c>
      <c r="V1523">
        <f>IFERROR(VLOOKUP("906-460000-310",Out!B:AB,13+8,0),0)</f>
        <v>0</v>
      </c>
      <c r="W1523">
        <f>IFERROR(VLOOKUP("906-460000-310",Out!B:AB,14+8,0),0)</f>
        <v>0</v>
      </c>
      <c r="X1523">
        <f>IFERROR(VLOOKUP("906-460000-310",Out!B:AB,15+8,0),0)</f>
        <v>0</v>
      </c>
      <c r="Y1523">
        <f>IFERROR(VLOOKUP("906-460000-310",Out!B:AB,16+8,0),0)</f>
        <v>0</v>
      </c>
      <c r="Z1523">
        <f>IFERROR(VLOOKUP("906-460000-310",Out!B:AB,17+8,0),0)</f>
        <v>0</v>
      </c>
      <c r="AA1523">
        <f>IFERROR(VLOOKUP("906-460000-310",Out!B:AB,18+8,0),0)</f>
        <v>0</v>
      </c>
      <c r="AB1523">
        <f>IFERROR(VLOOKUP("906-460000-310",Out!B:AB,19+8,0),0)</f>
        <v>0</v>
      </c>
      <c r="AC1523">
        <f>IFERROR(VLOOKUP("906-460000-310",Out!B:AB,20+8,0),0)</f>
        <v>0</v>
      </c>
      <c r="AD1523">
        <f>IFERROR(VLOOKUP("906-460000-310",Out!B:AB,21+8,0),0)</f>
        <v>0</v>
      </c>
      <c r="AE1523">
        <f>IFERROR(VLOOKUP("906-460000-310",Out!B:AB,22+8,0),0)</f>
        <v>0</v>
      </c>
      <c r="AF1523">
        <f>IFERROR(VLOOKUP("906-460000-310",Out!B:AB,23+8,0),0)</f>
        <v>0</v>
      </c>
      <c r="AG1523">
        <f>IFERROR(VLOOKUP("906-460000-310",Out!B:AB,24+8,0),0)</f>
        <v>0</v>
      </c>
      <c r="AH1523">
        <f>IFERROR(VLOOKUP("906-460000-310",Out!B:AB,25+8,0),0)</f>
        <v>0</v>
      </c>
      <c r="AI1523">
        <f>IFERROR(VLOOKUP("906-460000-310",Out!B:AB,26+8,0),0)</f>
        <v>0</v>
      </c>
      <c r="AJ1523">
        <f>IFERROR(VLOOKUP("906-460000-310",Out!B:AB,27+8,0),0)</f>
        <v>0</v>
      </c>
      <c r="AK1523">
        <f>IFERROR(VLOOKUP("906-460000-310",Out!B:AB,28+8,0),0)</f>
        <v>0</v>
      </c>
      <c r="AL1523">
        <f>IFERROR(VLOOKUP("906-460000-310",Out!B:AB,29+8,0),0)</f>
        <v>0</v>
      </c>
      <c r="AM1523">
        <f>IFERROR(VLOOKUP("906-460000-310",Out!B:AB,30+8,0),0)</f>
        <v>0</v>
      </c>
      <c r="AN1523">
        <f>IFERROR(VLOOKUP("906-460000-310",Out!B:AB,31+8,0),0)</f>
        <v>0</v>
      </c>
      <c r="AO1523">
        <f>SUN(INDIRECT(ADDRESS(1522,8)):INDIRECT(ADDRESS(1522,39)))</f>
        <v>0</v>
      </c>
    </row>
    <row r="1524" spans="1:41">
      <c r="H1524" t="s">
        <v>179</v>
      </c>
      <c r="J1524">
        <f>INDIRECT(ADDRESS(1524,9))+INDIRECT(ADDRESS(1522,10))-INDIRECT(ADDRESS(1523,10))</f>
        <v>0</v>
      </c>
      <c r="K1524">
        <f>INDIRECT(ADDRESS(1524,10))+INDIRECT(ADDRESS(1522,11))-INDIRECT(ADDRESS(1523,11))</f>
        <v>0</v>
      </c>
      <c r="L1524">
        <f>INDIRECT(ADDRESS(1524,11))+INDIRECT(ADDRESS(1522,12))-INDIRECT(ADDRESS(1523,12))</f>
        <v>0</v>
      </c>
      <c r="M1524">
        <f>INDIRECT(ADDRESS(1524,12))+INDIRECT(ADDRESS(1522,13))-INDIRECT(ADDRESS(1523,13))</f>
        <v>0</v>
      </c>
      <c r="N1524">
        <f>INDIRECT(ADDRESS(1524,13))+INDIRECT(ADDRESS(1522,14))-INDIRECT(ADDRESS(1523,14))</f>
        <v>0</v>
      </c>
      <c r="O1524">
        <f>INDIRECT(ADDRESS(1524,14))+INDIRECT(ADDRESS(1522,15))-INDIRECT(ADDRESS(1523,15))</f>
        <v>0</v>
      </c>
      <c r="P1524">
        <f>INDIRECT(ADDRESS(1524,15))+INDIRECT(ADDRESS(1522,16))-INDIRECT(ADDRESS(1523,16))</f>
        <v>0</v>
      </c>
      <c r="Q1524">
        <f>INDIRECT(ADDRESS(1524,16))+INDIRECT(ADDRESS(1522,17))-INDIRECT(ADDRESS(1523,17))</f>
        <v>0</v>
      </c>
      <c r="R1524">
        <f>INDIRECT(ADDRESS(1524,17))+INDIRECT(ADDRESS(1522,18))-INDIRECT(ADDRESS(1523,18))</f>
        <v>0</v>
      </c>
      <c r="S1524">
        <f>INDIRECT(ADDRESS(1524,18))+INDIRECT(ADDRESS(1522,19))-INDIRECT(ADDRESS(1523,19))</f>
        <v>0</v>
      </c>
      <c r="T1524">
        <f>INDIRECT(ADDRESS(1524,19))+INDIRECT(ADDRESS(1522,20))-INDIRECT(ADDRESS(1523,20))</f>
        <v>0</v>
      </c>
      <c r="U1524">
        <f>INDIRECT(ADDRESS(1524,20))+INDIRECT(ADDRESS(1522,21))-INDIRECT(ADDRESS(1523,21))</f>
        <v>0</v>
      </c>
      <c r="V1524">
        <f>INDIRECT(ADDRESS(1524,21))+INDIRECT(ADDRESS(1522,22))-INDIRECT(ADDRESS(1523,22))</f>
        <v>0</v>
      </c>
      <c r="W1524">
        <f>INDIRECT(ADDRESS(1524,22))+INDIRECT(ADDRESS(1522,23))-INDIRECT(ADDRESS(1523,23))</f>
        <v>0</v>
      </c>
      <c r="X1524">
        <f>INDIRECT(ADDRESS(1524,23))+INDIRECT(ADDRESS(1522,24))-INDIRECT(ADDRESS(1523,24))</f>
        <v>0</v>
      </c>
      <c r="Y1524">
        <f>INDIRECT(ADDRESS(1524,24))+INDIRECT(ADDRESS(1522,25))-INDIRECT(ADDRESS(1523,25))</f>
        <v>0</v>
      </c>
      <c r="Z1524">
        <f>INDIRECT(ADDRESS(1524,25))+INDIRECT(ADDRESS(1522,26))-INDIRECT(ADDRESS(1523,26))</f>
        <v>0</v>
      </c>
      <c r="AA1524">
        <f>INDIRECT(ADDRESS(1524,26))+INDIRECT(ADDRESS(1522,27))-INDIRECT(ADDRESS(1523,27))</f>
        <v>0</v>
      </c>
      <c r="AB1524">
        <f>INDIRECT(ADDRESS(1524,27))+INDIRECT(ADDRESS(1522,28))-INDIRECT(ADDRESS(1523,28))</f>
        <v>0</v>
      </c>
      <c r="AC1524">
        <f>INDIRECT(ADDRESS(1524,28))+INDIRECT(ADDRESS(1522,29))-INDIRECT(ADDRESS(1523,29))</f>
        <v>0</v>
      </c>
      <c r="AD1524">
        <f>INDIRECT(ADDRESS(1524,29))+INDIRECT(ADDRESS(1522,30))-INDIRECT(ADDRESS(1523,30))</f>
        <v>0</v>
      </c>
      <c r="AE1524">
        <f>INDIRECT(ADDRESS(1524,30))+INDIRECT(ADDRESS(1522,31))-INDIRECT(ADDRESS(1523,31))</f>
        <v>0</v>
      </c>
      <c r="AF1524">
        <f>INDIRECT(ADDRESS(1524,31))+INDIRECT(ADDRESS(1522,32))-INDIRECT(ADDRESS(1523,32))</f>
        <v>0</v>
      </c>
      <c r="AG1524">
        <f>INDIRECT(ADDRESS(1524,32))+INDIRECT(ADDRESS(1522,33))-INDIRECT(ADDRESS(1523,33))</f>
        <v>0</v>
      </c>
      <c r="AH1524">
        <f>INDIRECT(ADDRESS(1524,33))+INDIRECT(ADDRESS(1522,34))-INDIRECT(ADDRESS(1523,34))</f>
        <v>0</v>
      </c>
      <c r="AI1524">
        <f>INDIRECT(ADDRESS(1524,34))+INDIRECT(ADDRESS(1522,35))-INDIRECT(ADDRESS(1523,35))</f>
        <v>0</v>
      </c>
      <c r="AJ1524">
        <f>INDIRECT(ADDRESS(1524,35))+INDIRECT(ADDRESS(1522,36))-INDIRECT(ADDRESS(1523,36))</f>
        <v>0</v>
      </c>
      <c r="AK1524">
        <f>INDIRECT(ADDRESS(1524,36))+INDIRECT(ADDRESS(1522,37))-INDIRECT(ADDRESS(1523,37))</f>
        <v>0</v>
      </c>
      <c r="AL1524">
        <f>INDIRECT(ADDRESS(1524,37))+INDIRECT(ADDRESS(1522,38))-INDIRECT(ADDRESS(1523,38))</f>
        <v>0</v>
      </c>
      <c r="AM1524">
        <f>INDIRECT(ADDRESS(1524,38))+INDIRECT(ADDRESS(1522,39))-INDIRECT(ADDRESS(1523,39))</f>
        <v>0</v>
      </c>
      <c r="AN1524">
        <f>INDIRECT(ADDRESS(1524,39))+INDIRECT(ADDRESS(1522,40))-INDIRECT(ADDRESS(1523,40))</f>
        <v>0</v>
      </c>
      <c r="AO1524">
        <f>SUM(INDIRECT(ADDRESS(1523,8)):INDIRECT(ADDRESS(1523,39)))</f>
        <v>0</v>
      </c>
    </row>
    <row r="1525" spans="1:41">
      <c r="A1525" t="s">
        <v>180</v>
      </c>
      <c r="B1525" t="s">
        <v>719</v>
      </c>
      <c r="C1525" t="s">
        <v>720</v>
      </c>
      <c r="E1525">
        <v>1</v>
      </c>
      <c r="I1525" t="s">
        <v>177</v>
      </c>
    </row>
    <row r="1526" spans="1:41">
      <c r="I1526" t="s">
        <v>178</v>
      </c>
      <c r="J1526">
        <f>IFERROR(VLOOKUP("906-460000-310",B:AB,1+8,0),0)</f>
        <v>0</v>
      </c>
      <c r="K1526">
        <f>IFERROR(VLOOKUP("906-460000-310",B:AB,2+8,0),0)</f>
        <v>0</v>
      </c>
      <c r="L1526">
        <f>IFERROR(VLOOKUP("906-460000-310",B:AB,3+8,0),0)</f>
        <v>0</v>
      </c>
      <c r="M1526">
        <f>IFERROR(VLOOKUP("906-460000-310",B:AB,4+8,0),0)</f>
        <v>0</v>
      </c>
      <c r="N1526">
        <f>IFERROR(VLOOKUP("906-460000-310",B:AB,5+8,0),0)</f>
        <v>0</v>
      </c>
      <c r="O1526">
        <f>IFERROR(VLOOKUP("906-460000-310",B:AB,6+8,0),0)</f>
        <v>0</v>
      </c>
      <c r="P1526">
        <f>IFERROR(VLOOKUP("906-460000-310",B:AB,7+8,0),0)</f>
        <v>0</v>
      </c>
      <c r="Q1526">
        <f>IFERROR(VLOOKUP("906-460000-310",B:AB,8+8,0),0)</f>
        <v>0</v>
      </c>
      <c r="R1526">
        <f>IFERROR(VLOOKUP("906-460000-310",B:AB,9+8,0),0)</f>
        <v>0</v>
      </c>
      <c r="S1526">
        <f>IFERROR(VLOOKUP("906-460000-310",B:AB,10+8,0),0)</f>
        <v>0</v>
      </c>
      <c r="T1526">
        <f>IFERROR(VLOOKUP("906-460000-310",B:AB,11+8,0),0)</f>
        <v>0</v>
      </c>
      <c r="U1526">
        <f>IFERROR(VLOOKUP("906-460000-310",B:AB,12+8,0),0)</f>
        <v>0</v>
      </c>
      <c r="V1526">
        <f>IFERROR(VLOOKUP("906-460000-310",B:AB,13+8,0),0)</f>
        <v>0</v>
      </c>
      <c r="W1526">
        <f>IFERROR(VLOOKUP("906-460000-310",B:AB,14+8,0),0)</f>
        <v>0</v>
      </c>
      <c r="X1526">
        <f>IFERROR(VLOOKUP("906-460000-310",B:AB,15+8,0),0)</f>
        <v>0</v>
      </c>
      <c r="Y1526">
        <f>IFERROR(VLOOKUP("906-460000-310",B:AB,16+8,0),0)</f>
        <v>0</v>
      </c>
      <c r="Z1526">
        <f>IFERROR(VLOOKUP("906-460000-310",B:AB,17+8,0),0)</f>
        <v>0</v>
      </c>
      <c r="AA1526">
        <f>IFERROR(VLOOKUP("906-460000-310",B:AB,18+8,0),0)</f>
        <v>0</v>
      </c>
      <c r="AB1526">
        <f>IFERROR(VLOOKUP("906-460000-310",B:AB,19+8,0),0)</f>
        <v>0</v>
      </c>
      <c r="AC1526">
        <f>IFERROR(VLOOKUP("906-460000-310",B:AB,20+8,0),0)</f>
        <v>0</v>
      </c>
      <c r="AD1526">
        <f>IFERROR(VLOOKUP("906-460000-310",B:AB,21+8,0),0)</f>
        <v>0</v>
      </c>
      <c r="AE1526">
        <f>IFERROR(VLOOKUP("906-460000-310",B:AB,22+8,0),0)</f>
        <v>0</v>
      </c>
      <c r="AF1526">
        <f>IFERROR(VLOOKUP("906-460000-310",B:AB,23+8,0),0)</f>
        <v>0</v>
      </c>
      <c r="AG1526">
        <f>IFERROR(VLOOKUP("906-460000-310",B:AB,24+8,0),0)</f>
        <v>0</v>
      </c>
      <c r="AH1526">
        <f>IFERROR(VLOOKUP("906-460000-310",B:AB,25+8,0),0)</f>
        <v>0</v>
      </c>
      <c r="AI1526">
        <f>IFERROR(VLOOKUP("906-460000-310",B:AB,26+8,0),0)</f>
        <v>0</v>
      </c>
      <c r="AJ1526">
        <f>IFERROR(VLOOKUP("906-460000-310",B:AB,27+8,0),0)</f>
        <v>0</v>
      </c>
      <c r="AK1526">
        <f>IFERROR(VLOOKUP("906-460000-310",B:AB,28+8,0),0)</f>
        <v>0</v>
      </c>
      <c r="AL1526">
        <f>IFERROR(VLOOKUP("906-460000-310",B:AB,29+8,0),0)</f>
        <v>0</v>
      </c>
      <c r="AM1526">
        <f>IFERROR(VLOOKUP("906-460000-310",B:AB,30+8,0),0)</f>
        <v>0</v>
      </c>
      <c r="AN1526">
        <f>IFERROR(VLOOKUP("906-460000-310",B:AB,31+8,0),0)</f>
        <v>0</v>
      </c>
      <c r="AO1526">
        <f>SUN(INDIRECT(ADDRESS(1525,8)):INDIRECT(ADDRESS(1525,39)))</f>
        <v>0</v>
      </c>
    </row>
    <row r="1527" spans="1:41">
      <c r="H1527" t="s">
        <v>179</v>
      </c>
      <c r="J1527">
        <f>INDIRECT(ADDRESS(1527,9))+INDIRECT(ADDRESS(1525,10))-INDIRECT(ADDRESS(1526,10))</f>
        <v>0</v>
      </c>
      <c r="K1527">
        <f>INDIRECT(ADDRESS(1527,10))+INDIRECT(ADDRESS(1525,11))-INDIRECT(ADDRESS(1526,11))</f>
        <v>0</v>
      </c>
      <c r="L1527">
        <f>INDIRECT(ADDRESS(1527,11))+INDIRECT(ADDRESS(1525,12))-INDIRECT(ADDRESS(1526,12))</f>
        <v>0</v>
      </c>
      <c r="M1527">
        <f>INDIRECT(ADDRESS(1527,12))+INDIRECT(ADDRESS(1525,13))-INDIRECT(ADDRESS(1526,13))</f>
        <v>0</v>
      </c>
      <c r="N1527">
        <f>INDIRECT(ADDRESS(1527,13))+INDIRECT(ADDRESS(1525,14))-INDIRECT(ADDRESS(1526,14))</f>
        <v>0</v>
      </c>
      <c r="O1527">
        <f>INDIRECT(ADDRESS(1527,14))+INDIRECT(ADDRESS(1525,15))-INDIRECT(ADDRESS(1526,15))</f>
        <v>0</v>
      </c>
      <c r="P1527">
        <f>INDIRECT(ADDRESS(1527,15))+INDIRECT(ADDRESS(1525,16))-INDIRECT(ADDRESS(1526,16))</f>
        <v>0</v>
      </c>
      <c r="Q1527">
        <f>INDIRECT(ADDRESS(1527,16))+INDIRECT(ADDRESS(1525,17))-INDIRECT(ADDRESS(1526,17))</f>
        <v>0</v>
      </c>
      <c r="R1527">
        <f>INDIRECT(ADDRESS(1527,17))+INDIRECT(ADDRESS(1525,18))-INDIRECT(ADDRESS(1526,18))</f>
        <v>0</v>
      </c>
      <c r="S1527">
        <f>INDIRECT(ADDRESS(1527,18))+INDIRECT(ADDRESS(1525,19))-INDIRECT(ADDRESS(1526,19))</f>
        <v>0</v>
      </c>
      <c r="T1527">
        <f>INDIRECT(ADDRESS(1527,19))+INDIRECT(ADDRESS(1525,20))-INDIRECT(ADDRESS(1526,20))</f>
        <v>0</v>
      </c>
      <c r="U1527">
        <f>INDIRECT(ADDRESS(1527,20))+INDIRECT(ADDRESS(1525,21))-INDIRECT(ADDRESS(1526,21))</f>
        <v>0</v>
      </c>
      <c r="V1527">
        <f>INDIRECT(ADDRESS(1527,21))+INDIRECT(ADDRESS(1525,22))-INDIRECT(ADDRESS(1526,22))</f>
        <v>0</v>
      </c>
      <c r="W1527">
        <f>INDIRECT(ADDRESS(1527,22))+INDIRECT(ADDRESS(1525,23))-INDIRECT(ADDRESS(1526,23))</f>
        <v>0</v>
      </c>
      <c r="X1527">
        <f>INDIRECT(ADDRESS(1527,23))+INDIRECT(ADDRESS(1525,24))-INDIRECT(ADDRESS(1526,24))</f>
        <v>0</v>
      </c>
      <c r="Y1527">
        <f>INDIRECT(ADDRESS(1527,24))+INDIRECT(ADDRESS(1525,25))-INDIRECT(ADDRESS(1526,25))</f>
        <v>0</v>
      </c>
      <c r="Z1527">
        <f>INDIRECT(ADDRESS(1527,25))+INDIRECT(ADDRESS(1525,26))-INDIRECT(ADDRESS(1526,26))</f>
        <v>0</v>
      </c>
      <c r="AA1527">
        <f>INDIRECT(ADDRESS(1527,26))+INDIRECT(ADDRESS(1525,27))-INDIRECT(ADDRESS(1526,27))</f>
        <v>0</v>
      </c>
      <c r="AB1527">
        <f>INDIRECT(ADDRESS(1527,27))+INDIRECT(ADDRESS(1525,28))-INDIRECT(ADDRESS(1526,28))</f>
        <v>0</v>
      </c>
      <c r="AC1527">
        <f>INDIRECT(ADDRESS(1527,28))+INDIRECT(ADDRESS(1525,29))-INDIRECT(ADDRESS(1526,29))</f>
        <v>0</v>
      </c>
      <c r="AD1527">
        <f>INDIRECT(ADDRESS(1527,29))+INDIRECT(ADDRESS(1525,30))-INDIRECT(ADDRESS(1526,30))</f>
        <v>0</v>
      </c>
      <c r="AE1527">
        <f>INDIRECT(ADDRESS(1527,30))+INDIRECT(ADDRESS(1525,31))-INDIRECT(ADDRESS(1526,31))</f>
        <v>0</v>
      </c>
      <c r="AF1527">
        <f>INDIRECT(ADDRESS(1527,31))+INDIRECT(ADDRESS(1525,32))-INDIRECT(ADDRESS(1526,32))</f>
        <v>0</v>
      </c>
      <c r="AG1527">
        <f>INDIRECT(ADDRESS(1527,32))+INDIRECT(ADDRESS(1525,33))-INDIRECT(ADDRESS(1526,33))</f>
        <v>0</v>
      </c>
      <c r="AH1527">
        <f>INDIRECT(ADDRESS(1527,33))+INDIRECT(ADDRESS(1525,34))-INDIRECT(ADDRESS(1526,34))</f>
        <v>0</v>
      </c>
      <c r="AI1527">
        <f>INDIRECT(ADDRESS(1527,34))+INDIRECT(ADDRESS(1525,35))-INDIRECT(ADDRESS(1526,35))</f>
        <v>0</v>
      </c>
      <c r="AJ1527">
        <f>INDIRECT(ADDRESS(1527,35))+INDIRECT(ADDRESS(1525,36))-INDIRECT(ADDRESS(1526,36))</f>
        <v>0</v>
      </c>
      <c r="AK1527">
        <f>INDIRECT(ADDRESS(1527,36))+INDIRECT(ADDRESS(1525,37))-INDIRECT(ADDRESS(1526,37))</f>
        <v>0</v>
      </c>
      <c r="AL1527">
        <f>INDIRECT(ADDRESS(1527,37))+INDIRECT(ADDRESS(1525,38))-INDIRECT(ADDRESS(1526,38))</f>
        <v>0</v>
      </c>
      <c r="AM1527">
        <f>INDIRECT(ADDRESS(1527,38))+INDIRECT(ADDRESS(1525,39))-INDIRECT(ADDRESS(1526,39))</f>
        <v>0</v>
      </c>
      <c r="AN1527">
        <f>INDIRECT(ADDRESS(1527,39))+INDIRECT(ADDRESS(1525,40))-INDIRECT(ADDRESS(1526,40))</f>
        <v>0</v>
      </c>
      <c r="AO1527">
        <f>SUM(INDIRECT(ADDRESS(1526,8)):INDIRECT(ADDRESS(1526,39)))</f>
        <v>0</v>
      </c>
    </row>
    <row r="1528" spans="1:41">
      <c r="A1528" t="s">
        <v>180</v>
      </c>
      <c r="B1528" t="s">
        <v>721</v>
      </c>
      <c r="C1528" t="s">
        <v>722</v>
      </c>
      <c r="E1528">
        <v>1</v>
      </c>
      <c r="I1528" t="s">
        <v>177</v>
      </c>
    </row>
    <row r="1529" spans="1:41">
      <c r="I1529" t="s">
        <v>178</v>
      </c>
      <c r="J1529">
        <f>IFERROR(VLOOKUP("906-460000-310",B:AB,1+8,0),0)</f>
        <v>0</v>
      </c>
      <c r="K1529">
        <f>IFERROR(VLOOKUP("906-460000-310",B:AB,2+8,0),0)</f>
        <v>0</v>
      </c>
      <c r="L1529">
        <f>IFERROR(VLOOKUP("906-460000-310",B:AB,3+8,0),0)</f>
        <v>0</v>
      </c>
      <c r="M1529">
        <f>IFERROR(VLOOKUP("906-460000-310",B:AB,4+8,0),0)</f>
        <v>0</v>
      </c>
      <c r="N1529">
        <f>IFERROR(VLOOKUP("906-460000-310",B:AB,5+8,0),0)</f>
        <v>0</v>
      </c>
      <c r="O1529">
        <f>IFERROR(VLOOKUP("906-460000-310",B:AB,6+8,0),0)</f>
        <v>0</v>
      </c>
      <c r="P1529">
        <f>IFERROR(VLOOKUP("906-460000-310",B:AB,7+8,0),0)</f>
        <v>0</v>
      </c>
      <c r="Q1529">
        <f>IFERROR(VLOOKUP("906-460000-310",B:AB,8+8,0),0)</f>
        <v>0</v>
      </c>
      <c r="R1529">
        <f>IFERROR(VLOOKUP("906-460000-310",B:AB,9+8,0),0)</f>
        <v>0</v>
      </c>
      <c r="S1529">
        <f>IFERROR(VLOOKUP("906-460000-310",B:AB,10+8,0),0)</f>
        <v>0</v>
      </c>
      <c r="T1529">
        <f>IFERROR(VLOOKUP("906-460000-310",B:AB,11+8,0),0)</f>
        <v>0</v>
      </c>
      <c r="U1529">
        <f>IFERROR(VLOOKUP("906-460000-310",B:AB,12+8,0),0)</f>
        <v>0</v>
      </c>
      <c r="V1529">
        <f>IFERROR(VLOOKUP("906-460000-310",B:AB,13+8,0),0)</f>
        <v>0</v>
      </c>
      <c r="W1529">
        <f>IFERROR(VLOOKUP("906-460000-310",B:AB,14+8,0),0)</f>
        <v>0</v>
      </c>
      <c r="X1529">
        <f>IFERROR(VLOOKUP("906-460000-310",B:AB,15+8,0),0)</f>
        <v>0</v>
      </c>
      <c r="Y1529">
        <f>IFERROR(VLOOKUP("906-460000-310",B:AB,16+8,0),0)</f>
        <v>0</v>
      </c>
      <c r="Z1529">
        <f>IFERROR(VLOOKUP("906-460000-310",B:AB,17+8,0),0)</f>
        <v>0</v>
      </c>
      <c r="AA1529">
        <f>IFERROR(VLOOKUP("906-460000-310",B:AB,18+8,0),0)</f>
        <v>0</v>
      </c>
      <c r="AB1529">
        <f>IFERROR(VLOOKUP("906-460000-310",B:AB,19+8,0),0)</f>
        <v>0</v>
      </c>
      <c r="AC1529">
        <f>IFERROR(VLOOKUP("906-460000-310",B:AB,20+8,0),0)</f>
        <v>0</v>
      </c>
      <c r="AD1529">
        <f>IFERROR(VLOOKUP("906-460000-310",B:AB,21+8,0),0)</f>
        <v>0</v>
      </c>
      <c r="AE1529">
        <f>IFERROR(VLOOKUP("906-460000-310",B:AB,22+8,0),0)</f>
        <v>0</v>
      </c>
      <c r="AF1529">
        <f>IFERROR(VLOOKUP("906-460000-310",B:AB,23+8,0),0)</f>
        <v>0</v>
      </c>
      <c r="AG1529">
        <f>IFERROR(VLOOKUP("906-460000-310",B:AB,24+8,0),0)</f>
        <v>0</v>
      </c>
      <c r="AH1529">
        <f>IFERROR(VLOOKUP("906-460000-310",B:AB,25+8,0),0)</f>
        <v>0</v>
      </c>
      <c r="AI1529">
        <f>IFERROR(VLOOKUP("906-460000-310",B:AB,26+8,0),0)</f>
        <v>0</v>
      </c>
      <c r="AJ1529">
        <f>IFERROR(VLOOKUP("906-460000-310",B:AB,27+8,0),0)</f>
        <v>0</v>
      </c>
      <c r="AK1529">
        <f>IFERROR(VLOOKUP("906-460000-310",B:AB,28+8,0),0)</f>
        <v>0</v>
      </c>
      <c r="AL1529">
        <f>IFERROR(VLOOKUP("906-460000-310",B:AB,29+8,0),0)</f>
        <v>0</v>
      </c>
      <c r="AM1529">
        <f>IFERROR(VLOOKUP("906-460000-310",B:AB,30+8,0),0)</f>
        <v>0</v>
      </c>
      <c r="AN1529">
        <f>IFERROR(VLOOKUP("906-460000-310",B:AB,31+8,0),0)</f>
        <v>0</v>
      </c>
      <c r="AO1529">
        <f>SUN(INDIRECT(ADDRESS(1528,8)):INDIRECT(ADDRESS(1528,39)))</f>
        <v>0</v>
      </c>
    </row>
    <row r="1530" spans="1:41">
      <c r="H1530" t="s">
        <v>179</v>
      </c>
      <c r="J1530">
        <f>INDIRECT(ADDRESS(1530,9))+INDIRECT(ADDRESS(1528,10))-INDIRECT(ADDRESS(1529,10))</f>
        <v>0</v>
      </c>
      <c r="K1530">
        <f>INDIRECT(ADDRESS(1530,10))+INDIRECT(ADDRESS(1528,11))-INDIRECT(ADDRESS(1529,11))</f>
        <v>0</v>
      </c>
      <c r="L1530">
        <f>INDIRECT(ADDRESS(1530,11))+INDIRECT(ADDRESS(1528,12))-INDIRECT(ADDRESS(1529,12))</f>
        <v>0</v>
      </c>
      <c r="M1530">
        <f>INDIRECT(ADDRESS(1530,12))+INDIRECT(ADDRESS(1528,13))-INDIRECT(ADDRESS(1529,13))</f>
        <v>0</v>
      </c>
      <c r="N1530">
        <f>INDIRECT(ADDRESS(1530,13))+INDIRECT(ADDRESS(1528,14))-INDIRECT(ADDRESS(1529,14))</f>
        <v>0</v>
      </c>
      <c r="O1530">
        <f>INDIRECT(ADDRESS(1530,14))+INDIRECT(ADDRESS(1528,15))-INDIRECT(ADDRESS(1529,15))</f>
        <v>0</v>
      </c>
      <c r="P1530">
        <f>INDIRECT(ADDRESS(1530,15))+INDIRECT(ADDRESS(1528,16))-INDIRECT(ADDRESS(1529,16))</f>
        <v>0</v>
      </c>
      <c r="Q1530">
        <f>INDIRECT(ADDRESS(1530,16))+INDIRECT(ADDRESS(1528,17))-INDIRECT(ADDRESS(1529,17))</f>
        <v>0</v>
      </c>
      <c r="R1530">
        <f>INDIRECT(ADDRESS(1530,17))+INDIRECT(ADDRESS(1528,18))-INDIRECT(ADDRESS(1529,18))</f>
        <v>0</v>
      </c>
      <c r="S1530">
        <f>INDIRECT(ADDRESS(1530,18))+INDIRECT(ADDRESS(1528,19))-INDIRECT(ADDRESS(1529,19))</f>
        <v>0</v>
      </c>
      <c r="T1530">
        <f>INDIRECT(ADDRESS(1530,19))+INDIRECT(ADDRESS(1528,20))-INDIRECT(ADDRESS(1529,20))</f>
        <v>0</v>
      </c>
      <c r="U1530">
        <f>INDIRECT(ADDRESS(1530,20))+INDIRECT(ADDRESS(1528,21))-INDIRECT(ADDRESS(1529,21))</f>
        <v>0</v>
      </c>
      <c r="V1530">
        <f>INDIRECT(ADDRESS(1530,21))+INDIRECT(ADDRESS(1528,22))-INDIRECT(ADDRESS(1529,22))</f>
        <v>0</v>
      </c>
      <c r="W1530">
        <f>INDIRECT(ADDRESS(1530,22))+INDIRECT(ADDRESS(1528,23))-INDIRECT(ADDRESS(1529,23))</f>
        <v>0</v>
      </c>
      <c r="X1530">
        <f>INDIRECT(ADDRESS(1530,23))+INDIRECT(ADDRESS(1528,24))-INDIRECT(ADDRESS(1529,24))</f>
        <v>0</v>
      </c>
      <c r="Y1530">
        <f>INDIRECT(ADDRESS(1530,24))+INDIRECT(ADDRESS(1528,25))-INDIRECT(ADDRESS(1529,25))</f>
        <v>0</v>
      </c>
      <c r="Z1530">
        <f>INDIRECT(ADDRESS(1530,25))+INDIRECT(ADDRESS(1528,26))-INDIRECT(ADDRESS(1529,26))</f>
        <v>0</v>
      </c>
      <c r="AA1530">
        <f>INDIRECT(ADDRESS(1530,26))+INDIRECT(ADDRESS(1528,27))-INDIRECT(ADDRESS(1529,27))</f>
        <v>0</v>
      </c>
      <c r="AB1530">
        <f>INDIRECT(ADDRESS(1530,27))+INDIRECT(ADDRESS(1528,28))-INDIRECT(ADDRESS(1529,28))</f>
        <v>0</v>
      </c>
      <c r="AC1530">
        <f>INDIRECT(ADDRESS(1530,28))+INDIRECT(ADDRESS(1528,29))-INDIRECT(ADDRESS(1529,29))</f>
        <v>0</v>
      </c>
      <c r="AD1530">
        <f>INDIRECT(ADDRESS(1530,29))+INDIRECT(ADDRESS(1528,30))-INDIRECT(ADDRESS(1529,30))</f>
        <v>0</v>
      </c>
      <c r="AE1530">
        <f>INDIRECT(ADDRESS(1530,30))+INDIRECT(ADDRESS(1528,31))-INDIRECT(ADDRESS(1529,31))</f>
        <v>0</v>
      </c>
      <c r="AF1530">
        <f>INDIRECT(ADDRESS(1530,31))+INDIRECT(ADDRESS(1528,32))-INDIRECT(ADDRESS(1529,32))</f>
        <v>0</v>
      </c>
      <c r="AG1530">
        <f>INDIRECT(ADDRESS(1530,32))+INDIRECT(ADDRESS(1528,33))-INDIRECT(ADDRESS(1529,33))</f>
        <v>0</v>
      </c>
      <c r="AH1530">
        <f>INDIRECT(ADDRESS(1530,33))+INDIRECT(ADDRESS(1528,34))-INDIRECT(ADDRESS(1529,34))</f>
        <v>0</v>
      </c>
      <c r="AI1530">
        <f>INDIRECT(ADDRESS(1530,34))+INDIRECT(ADDRESS(1528,35))-INDIRECT(ADDRESS(1529,35))</f>
        <v>0</v>
      </c>
      <c r="AJ1530">
        <f>INDIRECT(ADDRESS(1530,35))+INDIRECT(ADDRESS(1528,36))-INDIRECT(ADDRESS(1529,36))</f>
        <v>0</v>
      </c>
      <c r="AK1530">
        <f>INDIRECT(ADDRESS(1530,36))+INDIRECT(ADDRESS(1528,37))-INDIRECT(ADDRESS(1529,37))</f>
        <v>0</v>
      </c>
      <c r="AL1530">
        <f>INDIRECT(ADDRESS(1530,37))+INDIRECT(ADDRESS(1528,38))-INDIRECT(ADDRESS(1529,38))</f>
        <v>0</v>
      </c>
      <c r="AM1530">
        <f>INDIRECT(ADDRESS(1530,38))+INDIRECT(ADDRESS(1528,39))-INDIRECT(ADDRESS(1529,39))</f>
        <v>0</v>
      </c>
      <c r="AN1530">
        <f>INDIRECT(ADDRESS(1530,39))+INDIRECT(ADDRESS(1528,40))-INDIRECT(ADDRESS(1529,40))</f>
        <v>0</v>
      </c>
      <c r="AO1530">
        <f>SUM(INDIRECT(ADDRESS(1529,8)):INDIRECT(ADDRESS(1529,39)))</f>
        <v>0</v>
      </c>
    </row>
    <row r="1531" spans="1:41">
      <c r="A1531" t="s">
        <v>185</v>
      </c>
      <c r="B1531" t="s">
        <v>723</v>
      </c>
      <c r="C1531" t="s">
        <v>724</v>
      </c>
      <c r="E1531">
        <v>0.002</v>
      </c>
      <c r="I1531" t="s">
        <v>177</v>
      </c>
    </row>
    <row r="1532" spans="1:41">
      <c r="I1532" t="s">
        <v>178</v>
      </c>
      <c r="J1532">
        <f>IFERROR(VLOOKUP("906-460000-310",B:AB,1+8,0),0)</f>
        <v>0</v>
      </c>
      <c r="K1532">
        <f>IFERROR(VLOOKUP("906-460000-310",B:AB,2+8,0),0)</f>
        <v>0</v>
      </c>
      <c r="L1532">
        <f>IFERROR(VLOOKUP("906-460000-310",B:AB,3+8,0),0)</f>
        <v>0</v>
      </c>
      <c r="M1532">
        <f>IFERROR(VLOOKUP("906-460000-310",B:AB,4+8,0),0)</f>
        <v>0</v>
      </c>
      <c r="N1532">
        <f>IFERROR(VLOOKUP("906-460000-310",B:AB,5+8,0),0)</f>
        <v>0</v>
      </c>
      <c r="O1532">
        <f>IFERROR(VLOOKUP("906-460000-310",B:AB,6+8,0),0)</f>
        <v>0</v>
      </c>
      <c r="P1532">
        <f>IFERROR(VLOOKUP("906-460000-310",B:AB,7+8,0),0)</f>
        <v>0</v>
      </c>
      <c r="Q1532">
        <f>IFERROR(VLOOKUP("906-460000-310",B:AB,8+8,0),0)</f>
        <v>0</v>
      </c>
      <c r="R1532">
        <f>IFERROR(VLOOKUP("906-460000-310",B:AB,9+8,0),0)</f>
        <v>0</v>
      </c>
      <c r="S1532">
        <f>IFERROR(VLOOKUP("906-460000-310",B:AB,10+8,0),0)</f>
        <v>0</v>
      </c>
      <c r="T1532">
        <f>IFERROR(VLOOKUP("906-460000-310",B:AB,11+8,0),0)</f>
        <v>0</v>
      </c>
      <c r="U1532">
        <f>IFERROR(VLOOKUP("906-460000-310",B:AB,12+8,0),0)</f>
        <v>0</v>
      </c>
      <c r="V1532">
        <f>IFERROR(VLOOKUP("906-460000-310",B:AB,13+8,0),0)</f>
        <v>0</v>
      </c>
      <c r="W1532">
        <f>IFERROR(VLOOKUP("906-460000-310",B:AB,14+8,0),0)</f>
        <v>0</v>
      </c>
      <c r="X1532">
        <f>IFERROR(VLOOKUP("906-460000-310",B:AB,15+8,0),0)</f>
        <v>0</v>
      </c>
      <c r="Y1532">
        <f>IFERROR(VLOOKUP("906-460000-310",B:AB,16+8,0),0)</f>
        <v>0</v>
      </c>
      <c r="Z1532">
        <f>IFERROR(VLOOKUP("906-460000-310",B:AB,17+8,0),0)</f>
        <v>0</v>
      </c>
      <c r="AA1532">
        <f>IFERROR(VLOOKUP("906-460000-310",B:AB,18+8,0),0)</f>
        <v>0</v>
      </c>
      <c r="AB1532">
        <f>IFERROR(VLOOKUP("906-460000-310",B:AB,19+8,0),0)</f>
        <v>0</v>
      </c>
      <c r="AC1532">
        <f>IFERROR(VLOOKUP("906-460000-310",B:AB,20+8,0),0)</f>
        <v>0</v>
      </c>
      <c r="AD1532">
        <f>IFERROR(VLOOKUP("906-460000-310",B:AB,21+8,0),0)</f>
        <v>0</v>
      </c>
      <c r="AE1532">
        <f>IFERROR(VLOOKUP("906-460000-310",B:AB,22+8,0),0)</f>
        <v>0</v>
      </c>
      <c r="AF1532">
        <f>IFERROR(VLOOKUP("906-460000-310",B:AB,23+8,0),0)</f>
        <v>0</v>
      </c>
      <c r="AG1532">
        <f>IFERROR(VLOOKUP("906-460000-310",B:AB,24+8,0),0)</f>
        <v>0</v>
      </c>
      <c r="AH1532">
        <f>IFERROR(VLOOKUP("906-460000-310",B:AB,25+8,0),0)</f>
        <v>0</v>
      </c>
      <c r="AI1532">
        <f>IFERROR(VLOOKUP("906-460000-310",B:AB,26+8,0),0)</f>
        <v>0</v>
      </c>
      <c r="AJ1532">
        <f>IFERROR(VLOOKUP("906-460000-310",B:AB,27+8,0),0)</f>
        <v>0</v>
      </c>
      <c r="AK1532">
        <f>IFERROR(VLOOKUP("906-460000-310",B:AB,28+8,0),0)</f>
        <v>0</v>
      </c>
      <c r="AL1532">
        <f>IFERROR(VLOOKUP("906-460000-310",B:AB,29+8,0),0)</f>
        <v>0</v>
      </c>
      <c r="AM1532">
        <f>IFERROR(VLOOKUP("906-460000-310",B:AB,30+8,0),0)</f>
        <v>0</v>
      </c>
      <c r="AN1532">
        <f>IFERROR(VLOOKUP("906-460000-310",B:AB,31+8,0),0)</f>
        <v>0</v>
      </c>
      <c r="AO1532">
        <f>SUN(INDIRECT(ADDRESS(1531,8)):INDIRECT(ADDRESS(1531,39)))</f>
        <v>0</v>
      </c>
    </row>
    <row r="1533" spans="1:41">
      <c r="H1533" t="s">
        <v>179</v>
      </c>
      <c r="J1533">
        <f>INDIRECT(ADDRESS(1533,9))+INDIRECT(ADDRESS(1531,10))-INDIRECT(ADDRESS(1532,10))</f>
        <v>0</v>
      </c>
      <c r="K1533">
        <f>INDIRECT(ADDRESS(1533,10))+INDIRECT(ADDRESS(1531,11))-INDIRECT(ADDRESS(1532,11))</f>
        <v>0</v>
      </c>
      <c r="L1533">
        <f>INDIRECT(ADDRESS(1533,11))+INDIRECT(ADDRESS(1531,12))-INDIRECT(ADDRESS(1532,12))</f>
        <v>0</v>
      </c>
      <c r="M1533">
        <f>INDIRECT(ADDRESS(1533,12))+INDIRECT(ADDRESS(1531,13))-INDIRECT(ADDRESS(1532,13))</f>
        <v>0</v>
      </c>
      <c r="N1533">
        <f>INDIRECT(ADDRESS(1533,13))+INDIRECT(ADDRESS(1531,14))-INDIRECT(ADDRESS(1532,14))</f>
        <v>0</v>
      </c>
      <c r="O1533">
        <f>INDIRECT(ADDRESS(1533,14))+INDIRECT(ADDRESS(1531,15))-INDIRECT(ADDRESS(1532,15))</f>
        <v>0</v>
      </c>
      <c r="P1533">
        <f>INDIRECT(ADDRESS(1533,15))+INDIRECT(ADDRESS(1531,16))-INDIRECT(ADDRESS(1532,16))</f>
        <v>0</v>
      </c>
      <c r="Q1533">
        <f>INDIRECT(ADDRESS(1533,16))+INDIRECT(ADDRESS(1531,17))-INDIRECT(ADDRESS(1532,17))</f>
        <v>0</v>
      </c>
      <c r="R1533">
        <f>INDIRECT(ADDRESS(1533,17))+INDIRECT(ADDRESS(1531,18))-INDIRECT(ADDRESS(1532,18))</f>
        <v>0</v>
      </c>
      <c r="S1533">
        <f>INDIRECT(ADDRESS(1533,18))+INDIRECT(ADDRESS(1531,19))-INDIRECT(ADDRESS(1532,19))</f>
        <v>0</v>
      </c>
      <c r="T1533">
        <f>INDIRECT(ADDRESS(1533,19))+INDIRECT(ADDRESS(1531,20))-INDIRECT(ADDRESS(1532,20))</f>
        <v>0</v>
      </c>
      <c r="U1533">
        <f>INDIRECT(ADDRESS(1533,20))+INDIRECT(ADDRESS(1531,21))-INDIRECT(ADDRESS(1532,21))</f>
        <v>0</v>
      </c>
      <c r="V1533">
        <f>INDIRECT(ADDRESS(1533,21))+INDIRECT(ADDRESS(1531,22))-INDIRECT(ADDRESS(1532,22))</f>
        <v>0</v>
      </c>
      <c r="W1533">
        <f>INDIRECT(ADDRESS(1533,22))+INDIRECT(ADDRESS(1531,23))-INDIRECT(ADDRESS(1532,23))</f>
        <v>0</v>
      </c>
      <c r="X1533">
        <f>INDIRECT(ADDRESS(1533,23))+INDIRECT(ADDRESS(1531,24))-INDIRECT(ADDRESS(1532,24))</f>
        <v>0</v>
      </c>
      <c r="Y1533">
        <f>INDIRECT(ADDRESS(1533,24))+INDIRECT(ADDRESS(1531,25))-INDIRECT(ADDRESS(1532,25))</f>
        <v>0</v>
      </c>
      <c r="Z1533">
        <f>INDIRECT(ADDRESS(1533,25))+INDIRECT(ADDRESS(1531,26))-INDIRECT(ADDRESS(1532,26))</f>
        <v>0</v>
      </c>
      <c r="AA1533">
        <f>INDIRECT(ADDRESS(1533,26))+INDIRECT(ADDRESS(1531,27))-INDIRECT(ADDRESS(1532,27))</f>
        <v>0</v>
      </c>
      <c r="AB1533">
        <f>INDIRECT(ADDRESS(1533,27))+INDIRECT(ADDRESS(1531,28))-INDIRECT(ADDRESS(1532,28))</f>
        <v>0</v>
      </c>
      <c r="AC1533">
        <f>INDIRECT(ADDRESS(1533,28))+INDIRECT(ADDRESS(1531,29))-INDIRECT(ADDRESS(1532,29))</f>
        <v>0</v>
      </c>
      <c r="AD1533">
        <f>INDIRECT(ADDRESS(1533,29))+INDIRECT(ADDRESS(1531,30))-INDIRECT(ADDRESS(1532,30))</f>
        <v>0</v>
      </c>
      <c r="AE1533">
        <f>INDIRECT(ADDRESS(1533,30))+INDIRECT(ADDRESS(1531,31))-INDIRECT(ADDRESS(1532,31))</f>
        <v>0</v>
      </c>
      <c r="AF1533">
        <f>INDIRECT(ADDRESS(1533,31))+INDIRECT(ADDRESS(1531,32))-INDIRECT(ADDRESS(1532,32))</f>
        <v>0</v>
      </c>
      <c r="AG1533">
        <f>INDIRECT(ADDRESS(1533,32))+INDIRECT(ADDRESS(1531,33))-INDIRECT(ADDRESS(1532,33))</f>
        <v>0</v>
      </c>
      <c r="AH1533">
        <f>INDIRECT(ADDRESS(1533,33))+INDIRECT(ADDRESS(1531,34))-INDIRECT(ADDRESS(1532,34))</f>
        <v>0</v>
      </c>
      <c r="AI1533">
        <f>INDIRECT(ADDRESS(1533,34))+INDIRECT(ADDRESS(1531,35))-INDIRECT(ADDRESS(1532,35))</f>
        <v>0</v>
      </c>
      <c r="AJ1533">
        <f>INDIRECT(ADDRESS(1533,35))+INDIRECT(ADDRESS(1531,36))-INDIRECT(ADDRESS(1532,36))</f>
        <v>0</v>
      </c>
      <c r="AK1533">
        <f>INDIRECT(ADDRESS(1533,36))+INDIRECT(ADDRESS(1531,37))-INDIRECT(ADDRESS(1532,37))</f>
        <v>0</v>
      </c>
      <c r="AL1533">
        <f>INDIRECT(ADDRESS(1533,37))+INDIRECT(ADDRESS(1531,38))-INDIRECT(ADDRESS(1532,38))</f>
        <v>0</v>
      </c>
      <c r="AM1533">
        <f>INDIRECT(ADDRESS(1533,38))+INDIRECT(ADDRESS(1531,39))-INDIRECT(ADDRESS(1532,39))</f>
        <v>0</v>
      </c>
      <c r="AN1533">
        <f>INDIRECT(ADDRESS(1533,39))+INDIRECT(ADDRESS(1531,40))-INDIRECT(ADDRESS(1532,40))</f>
        <v>0</v>
      </c>
      <c r="AO1533">
        <f>SUM(INDIRECT(ADDRESS(1532,8)):INDIRECT(ADDRESS(1532,39)))</f>
        <v>0</v>
      </c>
    </row>
    <row r="1534" spans="1:41">
      <c r="A1534" t="s">
        <v>185</v>
      </c>
      <c r="B1534" t="s">
        <v>725</v>
      </c>
      <c r="C1534" t="s">
        <v>726</v>
      </c>
      <c r="E1534">
        <v>1</v>
      </c>
      <c r="I1534" t="s">
        <v>177</v>
      </c>
    </row>
    <row r="1535" spans="1:41">
      <c r="I1535" t="s">
        <v>178</v>
      </c>
      <c r="J1535">
        <f>IFERROR(VLOOKUP("906-460000-310",B:AB,1+8,0),0)</f>
        <v>0</v>
      </c>
      <c r="K1535">
        <f>IFERROR(VLOOKUP("906-460000-310",B:AB,2+8,0),0)</f>
        <v>0</v>
      </c>
      <c r="L1535">
        <f>IFERROR(VLOOKUP("906-460000-310",B:AB,3+8,0),0)</f>
        <v>0</v>
      </c>
      <c r="M1535">
        <f>IFERROR(VLOOKUP("906-460000-310",B:AB,4+8,0),0)</f>
        <v>0</v>
      </c>
      <c r="N1535">
        <f>IFERROR(VLOOKUP("906-460000-310",B:AB,5+8,0),0)</f>
        <v>0</v>
      </c>
      <c r="O1535">
        <f>IFERROR(VLOOKUP("906-460000-310",B:AB,6+8,0),0)</f>
        <v>0</v>
      </c>
      <c r="P1535">
        <f>IFERROR(VLOOKUP("906-460000-310",B:AB,7+8,0),0)</f>
        <v>0</v>
      </c>
      <c r="Q1535">
        <f>IFERROR(VLOOKUP("906-460000-310",B:AB,8+8,0),0)</f>
        <v>0</v>
      </c>
      <c r="R1535">
        <f>IFERROR(VLOOKUP("906-460000-310",B:AB,9+8,0),0)</f>
        <v>0</v>
      </c>
      <c r="S1535">
        <f>IFERROR(VLOOKUP("906-460000-310",B:AB,10+8,0),0)</f>
        <v>0</v>
      </c>
      <c r="T1535">
        <f>IFERROR(VLOOKUP("906-460000-310",B:AB,11+8,0),0)</f>
        <v>0</v>
      </c>
      <c r="U1535">
        <f>IFERROR(VLOOKUP("906-460000-310",B:AB,12+8,0),0)</f>
        <v>0</v>
      </c>
      <c r="V1535">
        <f>IFERROR(VLOOKUP("906-460000-310",B:AB,13+8,0),0)</f>
        <v>0</v>
      </c>
      <c r="W1535">
        <f>IFERROR(VLOOKUP("906-460000-310",B:AB,14+8,0),0)</f>
        <v>0</v>
      </c>
      <c r="X1535">
        <f>IFERROR(VLOOKUP("906-460000-310",B:AB,15+8,0),0)</f>
        <v>0</v>
      </c>
      <c r="Y1535">
        <f>IFERROR(VLOOKUP("906-460000-310",B:AB,16+8,0),0)</f>
        <v>0</v>
      </c>
      <c r="Z1535">
        <f>IFERROR(VLOOKUP("906-460000-310",B:AB,17+8,0),0)</f>
        <v>0</v>
      </c>
      <c r="AA1535">
        <f>IFERROR(VLOOKUP("906-460000-310",B:AB,18+8,0),0)</f>
        <v>0</v>
      </c>
      <c r="AB1535">
        <f>IFERROR(VLOOKUP("906-460000-310",B:AB,19+8,0),0)</f>
        <v>0</v>
      </c>
      <c r="AC1535">
        <f>IFERROR(VLOOKUP("906-460000-310",B:AB,20+8,0),0)</f>
        <v>0</v>
      </c>
      <c r="AD1535">
        <f>IFERROR(VLOOKUP("906-460000-310",B:AB,21+8,0),0)</f>
        <v>0</v>
      </c>
      <c r="AE1535">
        <f>IFERROR(VLOOKUP("906-460000-310",B:AB,22+8,0),0)</f>
        <v>0</v>
      </c>
      <c r="AF1535">
        <f>IFERROR(VLOOKUP("906-460000-310",B:AB,23+8,0),0)</f>
        <v>0</v>
      </c>
      <c r="AG1535">
        <f>IFERROR(VLOOKUP("906-460000-310",B:AB,24+8,0),0)</f>
        <v>0</v>
      </c>
      <c r="AH1535">
        <f>IFERROR(VLOOKUP("906-460000-310",B:AB,25+8,0),0)</f>
        <v>0</v>
      </c>
      <c r="AI1535">
        <f>IFERROR(VLOOKUP("906-460000-310",B:AB,26+8,0),0)</f>
        <v>0</v>
      </c>
      <c r="AJ1535">
        <f>IFERROR(VLOOKUP("906-460000-310",B:AB,27+8,0),0)</f>
        <v>0</v>
      </c>
      <c r="AK1535">
        <f>IFERROR(VLOOKUP("906-460000-310",B:AB,28+8,0),0)</f>
        <v>0</v>
      </c>
      <c r="AL1535">
        <f>IFERROR(VLOOKUP("906-460000-310",B:AB,29+8,0),0)</f>
        <v>0</v>
      </c>
      <c r="AM1535">
        <f>IFERROR(VLOOKUP("906-460000-310",B:AB,30+8,0),0)</f>
        <v>0</v>
      </c>
      <c r="AN1535">
        <f>IFERROR(VLOOKUP("906-460000-310",B:AB,31+8,0),0)</f>
        <v>0</v>
      </c>
      <c r="AO1535">
        <f>SUN(INDIRECT(ADDRESS(1534,8)):INDIRECT(ADDRESS(1534,39)))</f>
        <v>0</v>
      </c>
    </row>
    <row r="1536" spans="1:41">
      <c r="H1536" t="s">
        <v>179</v>
      </c>
      <c r="J1536">
        <f>INDIRECT(ADDRESS(1536,9))+INDIRECT(ADDRESS(1534,10))-INDIRECT(ADDRESS(1535,10))</f>
        <v>0</v>
      </c>
      <c r="K1536">
        <f>INDIRECT(ADDRESS(1536,10))+INDIRECT(ADDRESS(1534,11))-INDIRECT(ADDRESS(1535,11))</f>
        <v>0</v>
      </c>
      <c r="L1536">
        <f>INDIRECT(ADDRESS(1536,11))+INDIRECT(ADDRESS(1534,12))-INDIRECT(ADDRESS(1535,12))</f>
        <v>0</v>
      </c>
      <c r="M1536">
        <f>INDIRECT(ADDRESS(1536,12))+INDIRECT(ADDRESS(1534,13))-INDIRECT(ADDRESS(1535,13))</f>
        <v>0</v>
      </c>
      <c r="N1536">
        <f>INDIRECT(ADDRESS(1536,13))+INDIRECT(ADDRESS(1534,14))-INDIRECT(ADDRESS(1535,14))</f>
        <v>0</v>
      </c>
      <c r="O1536">
        <f>INDIRECT(ADDRESS(1536,14))+INDIRECT(ADDRESS(1534,15))-INDIRECT(ADDRESS(1535,15))</f>
        <v>0</v>
      </c>
      <c r="P1536">
        <f>INDIRECT(ADDRESS(1536,15))+INDIRECT(ADDRESS(1534,16))-INDIRECT(ADDRESS(1535,16))</f>
        <v>0</v>
      </c>
      <c r="Q1536">
        <f>INDIRECT(ADDRESS(1536,16))+INDIRECT(ADDRESS(1534,17))-INDIRECT(ADDRESS(1535,17))</f>
        <v>0</v>
      </c>
      <c r="R1536">
        <f>INDIRECT(ADDRESS(1536,17))+INDIRECT(ADDRESS(1534,18))-INDIRECT(ADDRESS(1535,18))</f>
        <v>0</v>
      </c>
      <c r="S1536">
        <f>INDIRECT(ADDRESS(1536,18))+INDIRECT(ADDRESS(1534,19))-INDIRECT(ADDRESS(1535,19))</f>
        <v>0</v>
      </c>
      <c r="T1536">
        <f>INDIRECT(ADDRESS(1536,19))+INDIRECT(ADDRESS(1534,20))-INDIRECT(ADDRESS(1535,20))</f>
        <v>0</v>
      </c>
      <c r="U1536">
        <f>INDIRECT(ADDRESS(1536,20))+INDIRECT(ADDRESS(1534,21))-INDIRECT(ADDRESS(1535,21))</f>
        <v>0</v>
      </c>
      <c r="V1536">
        <f>INDIRECT(ADDRESS(1536,21))+INDIRECT(ADDRESS(1534,22))-INDIRECT(ADDRESS(1535,22))</f>
        <v>0</v>
      </c>
      <c r="W1536">
        <f>INDIRECT(ADDRESS(1536,22))+INDIRECT(ADDRESS(1534,23))-INDIRECT(ADDRESS(1535,23))</f>
        <v>0</v>
      </c>
      <c r="X1536">
        <f>INDIRECT(ADDRESS(1536,23))+INDIRECT(ADDRESS(1534,24))-INDIRECT(ADDRESS(1535,24))</f>
        <v>0</v>
      </c>
      <c r="Y1536">
        <f>INDIRECT(ADDRESS(1536,24))+INDIRECT(ADDRESS(1534,25))-INDIRECT(ADDRESS(1535,25))</f>
        <v>0</v>
      </c>
      <c r="Z1536">
        <f>INDIRECT(ADDRESS(1536,25))+INDIRECT(ADDRESS(1534,26))-INDIRECT(ADDRESS(1535,26))</f>
        <v>0</v>
      </c>
      <c r="AA1536">
        <f>INDIRECT(ADDRESS(1536,26))+INDIRECT(ADDRESS(1534,27))-INDIRECT(ADDRESS(1535,27))</f>
        <v>0</v>
      </c>
      <c r="AB1536">
        <f>INDIRECT(ADDRESS(1536,27))+INDIRECT(ADDRESS(1534,28))-INDIRECT(ADDRESS(1535,28))</f>
        <v>0</v>
      </c>
      <c r="AC1536">
        <f>INDIRECT(ADDRESS(1536,28))+INDIRECT(ADDRESS(1534,29))-INDIRECT(ADDRESS(1535,29))</f>
        <v>0</v>
      </c>
      <c r="AD1536">
        <f>INDIRECT(ADDRESS(1536,29))+INDIRECT(ADDRESS(1534,30))-INDIRECT(ADDRESS(1535,30))</f>
        <v>0</v>
      </c>
      <c r="AE1536">
        <f>INDIRECT(ADDRESS(1536,30))+INDIRECT(ADDRESS(1534,31))-INDIRECT(ADDRESS(1535,31))</f>
        <v>0</v>
      </c>
      <c r="AF1536">
        <f>INDIRECT(ADDRESS(1536,31))+INDIRECT(ADDRESS(1534,32))-INDIRECT(ADDRESS(1535,32))</f>
        <v>0</v>
      </c>
      <c r="AG1536">
        <f>INDIRECT(ADDRESS(1536,32))+INDIRECT(ADDRESS(1534,33))-INDIRECT(ADDRESS(1535,33))</f>
        <v>0</v>
      </c>
      <c r="AH1536">
        <f>INDIRECT(ADDRESS(1536,33))+INDIRECT(ADDRESS(1534,34))-INDIRECT(ADDRESS(1535,34))</f>
        <v>0</v>
      </c>
      <c r="AI1536">
        <f>INDIRECT(ADDRESS(1536,34))+INDIRECT(ADDRESS(1534,35))-INDIRECT(ADDRESS(1535,35))</f>
        <v>0</v>
      </c>
      <c r="AJ1536">
        <f>INDIRECT(ADDRESS(1536,35))+INDIRECT(ADDRESS(1534,36))-INDIRECT(ADDRESS(1535,36))</f>
        <v>0</v>
      </c>
      <c r="AK1536">
        <f>INDIRECT(ADDRESS(1536,36))+INDIRECT(ADDRESS(1534,37))-INDIRECT(ADDRESS(1535,37))</f>
        <v>0</v>
      </c>
      <c r="AL1536">
        <f>INDIRECT(ADDRESS(1536,37))+INDIRECT(ADDRESS(1534,38))-INDIRECT(ADDRESS(1535,38))</f>
        <v>0</v>
      </c>
      <c r="AM1536">
        <f>INDIRECT(ADDRESS(1536,38))+INDIRECT(ADDRESS(1534,39))-INDIRECT(ADDRESS(1535,39))</f>
        <v>0</v>
      </c>
      <c r="AN1536">
        <f>INDIRECT(ADDRESS(1536,39))+INDIRECT(ADDRESS(1534,40))-INDIRECT(ADDRESS(1535,40))</f>
        <v>0</v>
      </c>
      <c r="AO1536">
        <f>SUM(INDIRECT(ADDRESS(1535,8)):INDIRECT(ADDRESS(1535,39)))</f>
        <v>0</v>
      </c>
    </row>
    <row r="1537" spans="1:41">
      <c r="A1537" t="s">
        <v>185</v>
      </c>
      <c r="B1537" t="s">
        <v>725</v>
      </c>
      <c r="C1537" t="s">
        <v>727</v>
      </c>
      <c r="E1537">
        <v>1</v>
      </c>
      <c r="I1537" t="s">
        <v>177</v>
      </c>
    </row>
    <row r="1538" spans="1:41">
      <c r="I1538" t="s">
        <v>178</v>
      </c>
      <c r="J1538">
        <f>IFERROR(VLOOKUP("906-460000-310",B:AB,1+8,0),0)</f>
        <v>0</v>
      </c>
      <c r="K1538">
        <f>IFERROR(VLOOKUP("906-460000-310",B:AB,2+8,0),0)</f>
        <v>0</v>
      </c>
      <c r="L1538">
        <f>IFERROR(VLOOKUP("906-460000-310",B:AB,3+8,0),0)</f>
        <v>0</v>
      </c>
      <c r="M1538">
        <f>IFERROR(VLOOKUP("906-460000-310",B:AB,4+8,0),0)</f>
        <v>0</v>
      </c>
      <c r="N1538">
        <f>IFERROR(VLOOKUP("906-460000-310",B:AB,5+8,0),0)</f>
        <v>0</v>
      </c>
      <c r="O1538">
        <f>IFERROR(VLOOKUP("906-460000-310",B:AB,6+8,0),0)</f>
        <v>0</v>
      </c>
      <c r="P1538">
        <f>IFERROR(VLOOKUP("906-460000-310",B:AB,7+8,0),0)</f>
        <v>0</v>
      </c>
      <c r="Q1538">
        <f>IFERROR(VLOOKUP("906-460000-310",B:AB,8+8,0),0)</f>
        <v>0</v>
      </c>
      <c r="R1538">
        <f>IFERROR(VLOOKUP("906-460000-310",B:AB,9+8,0),0)</f>
        <v>0</v>
      </c>
      <c r="S1538">
        <f>IFERROR(VLOOKUP("906-460000-310",B:AB,10+8,0),0)</f>
        <v>0</v>
      </c>
      <c r="T1538">
        <f>IFERROR(VLOOKUP("906-460000-310",B:AB,11+8,0),0)</f>
        <v>0</v>
      </c>
      <c r="U1538">
        <f>IFERROR(VLOOKUP("906-460000-310",B:AB,12+8,0),0)</f>
        <v>0</v>
      </c>
      <c r="V1538">
        <f>IFERROR(VLOOKUP("906-460000-310",B:AB,13+8,0),0)</f>
        <v>0</v>
      </c>
      <c r="W1538">
        <f>IFERROR(VLOOKUP("906-460000-310",B:AB,14+8,0),0)</f>
        <v>0</v>
      </c>
      <c r="X1538">
        <f>IFERROR(VLOOKUP("906-460000-310",B:AB,15+8,0),0)</f>
        <v>0</v>
      </c>
      <c r="Y1538">
        <f>IFERROR(VLOOKUP("906-460000-310",B:AB,16+8,0),0)</f>
        <v>0</v>
      </c>
      <c r="Z1538">
        <f>IFERROR(VLOOKUP("906-460000-310",B:AB,17+8,0),0)</f>
        <v>0</v>
      </c>
      <c r="AA1538">
        <f>IFERROR(VLOOKUP("906-460000-310",B:AB,18+8,0),0)</f>
        <v>0</v>
      </c>
      <c r="AB1538">
        <f>IFERROR(VLOOKUP("906-460000-310",B:AB,19+8,0),0)</f>
        <v>0</v>
      </c>
      <c r="AC1538">
        <f>IFERROR(VLOOKUP("906-460000-310",B:AB,20+8,0),0)</f>
        <v>0</v>
      </c>
      <c r="AD1538">
        <f>IFERROR(VLOOKUP("906-460000-310",B:AB,21+8,0),0)</f>
        <v>0</v>
      </c>
      <c r="AE1538">
        <f>IFERROR(VLOOKUP("906-460000-310",B:AB,22+8,0),0)</f>
        <v>0</v>
      </c>
      <c r="AF1538">
        <f>IFERROR(VLOOKUP("906-460000-310",B:AB,23+8,0),0)</f>
        <v>0</v>
      </c>
      <c r="AG1538">
        <f>IFERROR(VLOOKUP("906-460000-310",B:AB,24+8,0),0)</f>
        <v>0</v>
      </c>
      <c r="AH1538">
        <f>IFERROR(VLOOKUP("906-460000-310",B:AB,25+8,0),0)</f>
        <v>0</v>
      </c>
      <c r="AI1538">
        <f>IFERROR(VLOOKUP("906-460000-310",B:AB,26+8,0),0)</f>
        <v>0</v>
      </c>
      <c r="AJ1538">
        <f>IFERROR(VLOOKUP("906-460000-310",B:AB,27+8,0),0)</f>
        <v>0</v>
      </c>
      <c r="AK1538">
        <f>IFERROR(VLOOKUP("906-460000-310",B:AB,28+8,0),0)</f>
        <v>0</v>
      </c>
      <c r="AL1538">
        <f>IFERROR(VLOOKUP("906-460000-310",B:AB,29+8,0),0)</f>
        <v>0</v>
      </c>
      <c r="AM1538">
        <f>IFERROR(VLOOKUP("906-460000-310",B:AB,30+8,0),0)</f>
        <v>0</v>
      </c>
      <c r="AN1538">
        <f>IFERROR(VLOOKUP("906-460000-310",B:AB,31+8,0),0)</f>
        <v>0</v>
      </c>
      <c r="AO1538">
        <f>SUN(INDIRECT(ADDRESS(1537,8)):INDIRECT(ADDRESS(1537,39)))</f>
        <v>0</v>
      </c>
    </row>
    <row r="1539" spans="1:41">
      <c r="H1539" t="s">
        <v>179</v>
      </c>
      <c r="J1539">
        <f>INDIRECT(ADDRESS(1539,9))+INDIRECT(ADDRESS(1537,10))-INDIRECT(ADDRESS(1538,10))</f>
        <v>0</v>
      </c>
      <c r="K1539">
        <f>INDIRECT(ADDRESS(1539,10))+INDIRECT(ADDRESS(1537,11))-INDIRECT(ADDRESS(1538,11))</f>
        <v>0</v>
      </c>
      <c r="L1539">
        <f>INDIRECT(ADDRESS(1539,11))+INDIRECT(ADDRESS(1537,12))-INDIRECT(ADDRESS(1538,12))</f>
        <v>0</v>
      </c>
      <c r="M1539">
        <f>INDIRECT(ADDRESS(1539,12))+INDIRECT(ADDRESS(1537,13))-INDIRECT(ADDRESS(1538,13))</f>
        <v>0</v>
      </c>
      <c r="N1539">
        <f>INDIRECT(ADDRESS(1539,13))+INDIRECT(ADDRESS(1537,14))-INDIRECT(ADDRESS(1538,14))</f>
        <v>0</v>
      </c>
      <c r="O1539">
        <f>INDIRECT(ADDRESS(1539,14))+INDIRECT(ADDRESS(1537,15))-INDIRECT(ADDRESS(1538,15))</f>
        <v>0</v>
      </c>
      <c r="P1539">
        <f>INDIRECT(ADDRESS(1539,15))+INDIRECT(ADDRESS(1537,16))-INDIRECT(ADDRESS(1538,16))</f>
        <v>0</v>
      </c>
      <c r="Q1539">
        <f>INDIRECT(ADDRESS(1539,16))+INDIRECT(ADDRESS(1537,17))-INDIRECT(ADDRESS(1538,17))</f>
        <v>0</v>
      </c>
      <c r="R1539">
        <f>INDIRECT(ADDRESS(1539,17))+INDIRECT(ADDRESS(1537,18))-INDIRECT(ADDRESS(1538,18))</f>
        <v>0</v>
      </c>
      <c r="S1539">
        <f>INDIRECT(ADDRESS(1539,18))+INDIRECT(ADDRESS(1537,19))-INDIRECT(ADDRESS(1538,19))</f>
        <v>0</v>
      </c>
      <c r="T1539">
        <f>INDIRECT(ADDRESS(1539,19))+INDIRECT(ADDRESS(1537,20))-INDIRECT(ADDRESS(1538,20))</f>
        <v>0</v>
      </c>
      <c r="U1539">
        <f>INDIRECT(ADDRESS(1539,20))+INDIRECT(ADDRESS(1537,21))-INDIRECT(ADDRESS(1538,21))</f>
        <v>0</v>
      </c>
      <c r="V1539">
        <f>INDIRECT(ADDRESS(1539,21))+INDIRECT(ADDRESS(1537,22))-INDIRECT(ADDRESS(1538,22))</f>
        <v>0</v>
      </c>
      <c r="W1539">
        <f>INDIRECT(ADDRESS(1539,22))+INDIRECT(ADDRESS(1537,23))-INDIRECT(ADDRESS(1538,23))</f>
        <v>0</v>
      </c>
      <c r="X1539">
        <f>INDIRECT(ADDRESS(1539,23))+INDIRECT(ADDRESS(1537,24))-INDIRECT(ADDRESS(1538,24))</f>
        <v>0</v>
      </c>
      <c r="Y1539">
        <f>INDIRECT(ADDRESS(1539,24))+INDIRECT(ADDRESS(1537,25))-INDIRECT(ADDRESS(1538,25))</f>
        <v>0</v>
      </c>
      <c r="Z1539">
        <f>INDIRECT(ADDRESS(1539,25))+INDIRECT(ADDRESS(1537,26))-INDIRECT(ADDRESS(1538,26))</f>
        <v>0</v>
      </c>
      <c r="AA1539">
        <f>INDIRECT(ADDRESS(1539,26))+INDIRECT(ADDRESS(1537,27))-INDIRECT(ADDRESS(1538,27))</f>
        <v>0</v>
      </c>
      <c r="AB1539">
        <f>INDIRECT(ADDRESS(1539,27))+INDIRECT(ADDRESS(1537,28))-INDIRECT(ADDRESS(1538,28))</f>
        <v>0</v>
      </c>
      <c r="AC1539">
        <f>INDIRECT(ADDRESS(1539,28))+INDIRECT(ADDRESS(1537,29))-INDIRECT(ADDRESS(1538,29))</f>
        <v>0</v>
      </c>
      <c r="AD1539">
        <f>INDIRECT(ADDRESS(1539,29))+INDIRECT(ADDRESS(1537,30))-INDIRECT(ADDRESS(1538,30))</f>
        <v>0</v>
      </c>
      <c r="AE1539">
        <f>INDIRECT(ADDRESS(1539,30))+INDIRECT(ADDRESS(1537,31))-INDIRECT(ADDRESS(1538,31))</f>
        <v>0</v>
      </c>
      <c r="AF1539">
        <f>INDIRECT(ADDRESS(1539,31))+INDIRECT(ADDRESS(1537,32))-INDIRECT(ADDRESS(1538,32))</f>
        <v>0</v>
      </c>
      <c r="AG1539">
        <f>INDIRECT(ADDRESS(1539,32))+INDIRECT(ADDRESS(1537,33))-INDIRECT(ADDRESS(1538,33))</f>
        <v>0</v>
      </c>
      <c r="AH1539">
        <f>INDIRECT(ADDRESS(1539,33))+INDIRECT(ADDRESS(1537,34))-INDIRECT(ADDRESS(1538,34))</f>
        <v>0</v>
      </c>
      <c r="AI1539">
        <f>INDIRECT(ADDRESS(1539,34))+INDIRECT(ADDRESS(1537,35))-INDIRECT(ADDRESS(1538,35))</f>
        <v>0</v>
      </c>
      <c r="AJ1539">
        <f>INDIRECT(ADDRESS(1539,35))+INDIRECT(ADDRESS(1537,36))-INDIRECT(ADDRESS(1538,36))</f>
        <v>0</v>
      </c>
      <c r="AK1539">
        <f>INDIRECT(ADDRESS(1539,36))+INDIRECT(ADDRESS(1537,37))-INDIRECT(ADDRESS(1538,37))</f>
        <v>0</v>
      </c>
      <c r="AL1539">
        <f>INDIRECT(ADDRESS(1539,37))+INDIRECT(ADDRESS(1537,38))-INDIRECT(ADDRESS(1538,38))</f>
        <v>0</v>
      </c>
      <c r="AM1539">
        <f>INDIRECT(ADDRESS(1539,38))+INDIRECT(ADDRESS(1537,39))-INDIRECT(ADDRESS(1538,39))</f>
        <v>0</v>
      </c>
      <c r="AN1539">
        <f>INDIRECT(ADDRESS(1539,39))+INDIRECT(ADDRESS(1537,40))-INDIRECT(ADDRESS(1538,40))</f>
        <v>0</v>
      </c>
      <c r="AO1539">
        <f>SUM(INDIRECT(ADDRESS(1538,8)):INDIRECT(ADDRESS(1538,39)))</f>
        <v>0</v>
      </c>
    </row>
    <row r="1540" spans="1:41">
      <c r="A1540" t="s">
        <v>206</v>
      </c>
      <c r="B1540" t="s">
        <v>725</v>
      </c>
      <c r="C1540" t="s">
        <v>727</v>
      </c>
      <c r="E1540">
        <v>1</v>
      </c>
      <c r="I1540" t="s">
        <v>177</v>
      </c>
    </row>
    <row r="1541" spans="1:41">
      <c r="I1541" t="s">
        <v>178</v>
      </c>
      <c r="J1541">
        <f>IFERROR(VLOOKUP("906-460000-310",B:AB,1+8,0),0)</f>
        <v>0</v>
      </c>
      <c r="K1541">
        <f>IFERROR(VLOOKUP("906-460000-310",B:AB,2+8,0),0)</f>
        <v>0</v>
      </c>
      <c r="L1541">
        <f>IFERROR(VLOOKUP("906-460000-310",B:AB,3+8,0),0)</f>
        <v>0</v>
      </c>
      <c r="M1541">
        <f>IFERROR(VLOOKUP("906-460000-310",B:AB,4+8,0),0)</f>
        <v>0</v>
      </c>
      <c r="N1541">
        <f>IFERROR(VLOOKUP("906-460000-310",B:AB,5+8,0),0)</f>
        <v>0</v>
      </c>
      <c r="O1541">
        <f>IFERROR(VLOOKUP("906-460000-310",B:AB,6+8,0),0)</f>
        <v>0</v>
      </c>
      <c r="P1541">
        <f>IFERROR(VLOOKUP("906-460000-310",B:AB,7+8,0),0)</f>
        <v>0</v>
      </c>
      <c r="Q1541">
        <f>IFERROR(VLOOKUP("906-460000-310",B:AB,8+8,0),0)</f>
        <v>0</v>
      </c>
      <c r="R1541">
        <f>IFERROR(VLOOKUP("906-460000-310",B:AB,9+8,0),0)</f>
        <v>0</v>
      </c>
      <c r="S1541">
        <f>IFERROR(VLOOKUP("906-460000-310",B:AB,10+8,0),0)</f>
        <v>0</v>
      </c>
      <c r="T1541">
        <f>IFERROR(VLOOKUP("906-460000-310",B:AB,11+8,0),0)</f>
        <v>0</v>
      </c>
      <c r="U1541">
        <f>IFERROR(VLOOKUP("906-460000-310",B:AB,12+8,0),0)</f>
        <v>0</v>
      </c>
      <c r="V1541">
        <f>IFERROR(VLOOKUP("906-460000-310",B:AB,13+8,0),0)</f>
        <v>0</v>
      </c>
      <c r="W1541">
        <f>IFERROR(VLOOKUP("906-460000-310",B:AB,14+8,0),0)</f>
        <v>0</v>
      </c>
      <c r="X1541">
        <f>IFERROR(VLOOKUP("906-460000-310",B:AB,15+8,0),0)</f>
        <v>0</v>
      </c>
      <c r="Y1541">
        <f>IFERROR(VLOOKUP("906-460000-310",B:AB,16+8,0),0)</f>
        <v>0</v>
      </c>
      <c r="Z1541">
        <f>IFERROR(VLOOKUP("906-460000-310",B:AB,17+8,0),0)</f>
        <v>0</v>
      </c>
      <c r="AA1541">
        <f>IFERROR(VLOOKUP("906-460000-310",B:AB,18+8,0),0)</f>
        <v>0</v>
      </c>
      <c r="AB1541">
        <f>IFERROR(VLOOKUP("906-460000-310",B:AB,19+8,0),0)</f>
        <v>0</v>
      </c>
      <c r="AC1541">
        <f>IFERROR(VLOOKUP("906-460000-310",B:AB,20+8,0),0)</f>
        <v>0</v>
      </c>
      <c r="AD1541">
        <f>IFERROR(VLOOKUP("906-460000-310",B:AB,21+8,0),0)</f>
        <v>0</v>
      </c>
      <c r="AE1541">
        <f>IFERROR(VLOOKUP("906-460000-310",B:AB,22+8,0),0)</f>
        <v>0</v>
      </c>
      <c r="AF1541">
        <f>IFERROR(VLOOKUP("906-460000-310",B:AB,23+8,0),0)</f>
        <v>0</v>
      </c>
      <c r="AG1541">
        <f>IFERROR(VLOOKUP("906-460000-310",B:AB,24+8,0),0)</f>
        <v>0</v>
      </c>
      <c r="AH1541">
        <f>IFERROR(VLOOKUP("906-460000-310",B:AB,25+8,0),0)</f>
        <v>0</v>
      </c>
      <c r="AI1541">
        <f>IFERROR(VLOOKUP("906-460000-310",B:AB,26+8,0),0)</f>
        <v>0</v>
      </c>
      <c r="AJ1541">
        <f>IFERROR(VLOOKUP("906-460000-310",B:AB,27+8,0),0)</f>
        <v>0</v>
      </c>
      <c r="AK1541">
        <f>IFERROR(VLOOKUP("906-460000-310",B:AB,28+8,0),0)</f>
        <v>0</v>
      </c>
      <c r="AL1541">
        <f>IFERROR(VLOOKUP("906-460000-310",B:AB,29+8,0),0)</f>
        <v>0</v>
      </c>
      <c r="AM1541">
        <f>IFERROR(VLOOKUP("906-460000-310",B:AB,30+8,0),0)</f>
        <v>0</v>
      </c>
      <c r="AN1541">
        <f>IFERROR(VLOOKUP("906-460000-310",B:AB,31+8,0),0)</f>
        <v>0</v>
      </c>
      <c r="AO1541">
        <f>SUN(INDIRECT(ADDRESS(1540,8)):INDIRECT(ADDRESS(1540,39)))</f>
        <v>0</v>
      </c>
    </row>
    <row r="1542" spans="1:41">
      <c r="H1542" t="s">
        <v>179</v>
      </c>
      <c r="J1542">
        <f>INDIRECT(ADDRESS(1542,9))+INDIRECT(ADDRESS(1540,10))-INDIRECT(ADDRESS(1541,10))</f>
        <v>0</v>
      </c>
      <c r="K1542">
        <f>INDIRECT(ADDRESS(1542,10))+INDIRECT(ADDRESS(1540,11))-INDIRECT(ADDRESS(1541,11))</f>
        <v>0</v>
      </c>
      <c r="L1542">
        <f>INDIRECT(ADDRESS(1542,11))+INDIRECT(ADDRESS(1540,12))-INDIRECT(ADDRESS(1541,12))</f>
        <v>0</v>
      </c>
      <c r="M1542">
        <f>INDIRECT(ADDRESS(1542,12))+INDIRECT(ADDRESS(1540,13))-INDIRECT(ADDRESS(1541,13))</f>
        <v>0</v>
      </c>
      <c r="N1542">
        <f>INDIRECT(ADDRESS(1542,13))+INDIRECT(ADDRESS(1540,14))-INDIRECT(ADDRESS(1541,14))</f>
        <v>0</v>
      </c>
      <c r="O1542">
        <f>INDIRECT(ADDRESS(1542,14))+INDIRECT(ADDRESS(1540,15))-INDIRECT(ADDRESS(1541,15))</f>
        <v>0</v>
      </c>
      <c r="P1542">
        <f>INDIRECT(ADDRESS(1542,15))+INDIRECT(ADDRESS(1540,16))-INDIRECT(ADDRESS(1541,16))</f>
        <v>0</v>
      </c>
      <c r="Q1542">
        <f>INDIRECT(ADDRESS(1542,16))+INDIRECT(ADDRESS(1540,17))-INDIRECT(ADDRESS(1541,17))</f>
        <v>0</v>
      </c>
      <c r="R1542">
        <f>INDIRECT(ADDRESS(1542,17))+INDIRECT(ADDRESS(1540,18))-INDIRECT(ADDRESS(1541,18))</f>
        <v>0</v>
      </c>
      <c r="S1542">
        <f>INDIRECT(ADDRESS(1542,18))+INDIRECT(ADDRESS(1540,19))-INDIRECT(ADDRESS(1541,19))</f>
        <v>0</v>
      </c>
      <c r="T1542">
        <f>INDIRECT(ADDRESS(1542,19))+INDIRECT(ADDRESS(1540,20))-INDIRECT(ADDRESS(1541,20))</f>
        <v>0</v>
      </c>
      <c r="U1542">
        <f>INDIRECT(ADDRESS(1542,20))+INDIRECT(ADDRESS(1540,21))-INDIRECT(ADDRESS(1541,21))</f>
        <v>0</v>
      </c>
      <c r="V1542">
        <f>INDIRECT(ADDRESS(1542,21))+INDIRECT(ADDRESS(1540,22))-INDIRECT(ADDRESS(1541,22))</f>
        <v>0</v>
      </c>
      <c r="W1542">
        <f>INDIRECT(ADDRESS(1542,22))+INDIRECT(ADDRESS(1540,23))-INDIRECT(ADDRESS(1541,23))</f>
        <v>0</v>
      </c>
      <c r="X1542">
        <f>INDIRECT(ADDRESS(1542,23))+INDIRECT(ADDRESS(1540,24))-INDIRECT(ADDRESS(1541,24))</f>
        <v>0</v>
      </c>
      <c r="Y1542">
        <f>INDIRECT(ADDRESS(1542,24))+INDIRECT(ADDRESS(1540,25))-INDIRECT(ADDRESS(1541,25))</f>
        <v>0</v>
      </c>
      <c r="Z1542">
        <f>INDIRECT(ADDRESS(1542,25))+INDIRECT(ADDRESS(1540,26))-INDIRECT(ADDRESS(1541,26))</f>
        <v>0</v>
      </c>
      <c r="AA1542">
        <f>INDIRECT(ADDRESS(1542,26))+INDIRECT(ADDRESS(1540,27))-INDIRECT(ADDRESS(1541,27))</f>
        <v>0</v>
      </c>
      <c r="AB1542">
        <f>INDIRECT(ADDRESS(1542,27))+INDIRECT(ADDRESS(1540,28))-INDIRECT(ADDRESS(1541,28))</f>
        <v>0</v>
      </c>
      <c r="AC1542">
        <f>INDIRECT(ADDRESS(1542,28))+INDIRECT(ADDRESS(1540,29))-INDIRECT(ADDRESS(1541,29))</f>
        <v>0</v>
      </c>
      <c r="AD1542">
        <f>INDIRECT(ADDRESS(1542,29))+INDIRECT(ADDRESS(1540,30))-INDIRECT(ADDRESS(1541,30))</f>
        <v>0</v>
      </c>
      <c r="AE1542">
        <f>INDIRECT(ADDRESS(1542,30))+INDIRECT(ADDRESS(1540,31))-INDIRECT(ADDRESS(1541,31))</f>
        <v>0</v>
      </c>
      <c r="AF1542">
        <f>INDIRECT(ADDRESS(1542,31))+INDIRECT(ADDRESS(1540,32))-INDIRECT(ADDRESS(1541,32))</f>
        <v>0</v>
      </c>
      <c r="AG1542">
        <f>INDIRECT(ADDRESS(1542,32))+INDIRECT(ADDRESS(1540,33))-INDIRECT(ADDRESS(1541,33))</f>
        <v>0</v>
      </c>
      <c r="AH1542">
        <f>INDIRECT(ADDRESS(1542,33))+INDIRECT(ADDRESS(1540,34))-INDIRECT(ADDRESS(1541,34))</f>
        <v>0</v>
      </c>
      <c r="AI1542">
        <f>INDIRECT(ADDRESS(1542,34))+INDIRECT(ADDRESS(1540,35))-INDIRECT(ADDRESS(1541,35))</f>
        <v>0</v>
      </c>
      <c r="AJ1542">
        <f>INDIRECT(ADDRESS(1542,35))+INDIRECT(ADDRESS(1540,36))-INDIRECT(ADDRESS(1541,36))</f>
        <v>0</v>
      </c>
      <c r="AK1542">
        <f>INDIRECT(ADDRESS(1542,36))+INDIRECT(ADDRESS(1540,37))-INDIRECT(ADDRESS(1541,37))</f>
        <v>0</v>
      </c>
      <c r="AL1542">
        <f>INDIRECT(ADDRESS(1542,37))+INDIRECT(ADDRESS(1540,38))-INDIRECT(ADDRESS(1541,38))</f>
        <v>0</v>
      </c>
      <c r="AM1542">
        <f>INDIRECT(ADDRESS(1542,38))+INDIRECT(ADDRESS(1540,39))-INDIRECT(ADDRESS(1541,39))</f>
        <v>0</v>
      </c>
      <c r="AN1542">
        <f>INDIRECT(ADDRESS(1542,39))+INDIRECT(ADDRESS(1540,40))-INDIRECT(ADDRESS(1541,40))</f>
        <v>0</v>
      </c>
      <c r="AO1542">
        <f>SUM(INDIRECT(ADDRESS(1541,8)):INDIRECT(ADDRESS(1541,39)))</f>
        <v>0</v>
      </c>
    </row>
    <row r="1543" spans="1:41">
      <c r="A1543" t="s">
        <v>8</v>
      </c>
      <c r="B1543" t="s">
        <v>119</v>
      </c>
      <c r="C1543" t="s">
        <v>118</v>
      </c>
      <c r="E1543">
        <v>1</v>
      </c>
      <c r="I1543" t="s">
        <v>177</v>
      </c>
    </row>
    <row r="1544" spans="1:41">
      <c r="I1544" t="s">
        <v>178</v>
      </c>
      <c r="J1544">
        <f>IFERROR(VLOOKUP("906-394000-210",Out!B:AB,1+8,0),0)</f>
        <v>0</v>
      </c>
      <c r="K1544">
        <f>IFERROR(VLOOKUP("906-394000-210",Out!B:AB,2+8,0),0)</f>
        <v>0</v>
      </c>
      <c r="L1544">
        <f>IFERROR(VLOOKUP("906-394000-210",Out!B:AB,3+8,0),0)</f>
        <v>0</v>
      </c>
      <c r="M1544">
        <f>IFERROR(VLOOKUP("906-394000-210",Out!B:AB,4+8,0),0)</f>
        <v>0</v>
      </c>
      <c r="N1544">
        <f>IFERROR(VLOOKUP("906-394000-210",Out!B:AB,5+8,0),0)</f>
        <v>0</v>
      </c>
      <c r="O1544">
        <f>IFERROR(VLOOKUP("906-394000-210",Out!B:AB,6+8,0),0)</f>
        <v>0</v>
      </c>
      <c r="P1544">
        <f>IFERROR(VLOOKUP("906-394000-210",Out!B:AB,7+8,0),0)</f>
        <v>0</v>
      </c>
      <c r="Q1544">
        <f>IFERROR(VLOOKUP("906-394000-210",Out!B:AB,8+8,0),0)</f>
        <v>0</v>
      </c>
      <c r="R1544">
        <f>IFERROR(VLOOKUP("906-394000-210",Out!B:AB,9+8,0),0)</f>
        <v>0</v>
      </c>
      <c r="S1544">
        <f>IFERROR(VLOOKUP("906-394000-210",Out!B:AB,10+8,0),0)</f>
        <v>0</v>
      </c>
      <c r="T1544">
        <f>IFERROR(VLOOKUP("906-394000-210",Out!B:AB,11+8,0),0)</f>
        <v>0</v>
      </c>
      <c r="U1544">
        <f>IFERROR(VLOOKUP("906-394000-210",Out!B:AB,12+8,0),0)</f>
        <v>0</v>
      </c>
      <c r="V1544">
        <f>IFERROR(VLOOKUP("906-394000-210",Out!B:AB,13+8,0),0)</f>
        <v>0</v>
      </c>
      <c r="W1544">
        <f>IFERROR(VLOOKUP("906-394000-210",Out!B:AB,14+8,0),0)</f>
        <v>0</v>
      </c>
      <c r="X1544">
        <f>IFERROR(VLOOKUP("906-394000-210",Out!B:AB,15+8,0),0)</f>
        <v>0</v>
      </c>
      <c r="Y1544">
        <f>IFERROR(VLOOKUP("906-394000-210",Out!B:AB,16+8,0),0)</f>
        <v>0</v>
      </c>
      <c r="Z1544">
        <f>IFERROR(VLOOKUP("906-394000-210",Out!B:AB,17+8,0),0)</f>
        <v>0</v>
      </c>
      <c r="AA1544">
        <f>IFERROR(VLOOKUP("906-394000-210",Out!B:AB,18+8,0),0)</f>
        <v>0</v>
      </c>
      <c r="AB1544">
        <f>IFERROR(VLOOKUP("906-394000-210",Out!B:AB,19+8,0),0)</f>
        <v>0</v>
      </c>
      <c r="AC1544">
        <f>IFERROR(VLOOKUP("906-394000-210",Out!B:AB,20+8,0),0)</f>
        <v>0</v>
      </c>
      <c r="AD1544">
        <f>IFERROR(VLOOKUP("906-394000-210",Out!B:AB,21+8,0),0)</f>
        <v>0</v>
      </c>
      <c r="AE1544">
        <f>IFERROR(VLOOKUP("906-394000-210",Out!B:AB,22+8,0),0)</f>
        <v>0</v>
      </c>
      <c r="AF1544">
        <f>IFERROR(VLOOKUP("906-394000-210",Out!B:AB,23+8,0),0)</f>
        <v>0</v>
      </c>
      <c r="AG1544">
        <f>IFERROR(VLOOKUP("906-394000-210",Out!B:AB,24+8,0),0)</f>
        <v>0</v>
      </c>
      <c r="AH1544">
        <f>IFERROR(VLOOKUP("906-394000-210",Out!B:AB,25+8,0),0)</f>
        <v>0</v>
      </c>
      <c r="AI1544">
        <f>IFERROR(VLOOKUP("906-394000-210",Out!B:AB,26+8,0),0)</f>
        <v>0</v>
      </c>
      <c r="AJ1544">
        <f>IFERROR(VLOOKUP("906-394000-210",Out!B:AB,27+8,0),0)</f>
        <v>0</v>
      </c>
      <c r="AK1544">
        <f>IFERROR(VLOOKUP("906-394000-210",Out!B:AB,28+8,0),0)</f>
        <v>0</v>
      </c>
      <c r="AL1544">
        <f>IFERROR(VLOOKUP("906-394000-210",Out!B:AB,29+8,0),0)</f>
        <v>0</v>
      </c>
      <c r="AM1544">
        <f>IFERROR(VLOOKUP("906-394000-210",Out!B:AB,30+8,0),0)</f>
        <v>0</v>
      </c>
      <c r="AN1544">
        <f>IFERROR(VLOOKUP("906-394000-210",Out!B:AB,31+8,0),0)</f>
        <v>0</v>
      </c>
      <c r="AO1544">
        <f>SUN(INDIRECT(ADDRESS(1543,8)):INDIRECT(ADDRESS(1543,39)))</f>
        <v>0</v>
      </c>
    </row>
    <row r="1545" spans="1:41">
      <c r="H1545" t="s">
        <v>179</v>
      </c>
      <c r="J1545">
        <f>INDIRECT(ADDRESS(1545,9))+INDIRECT(ADDRESS(1543,10))-INDIRECT(ADDRESS(1544,10))</f>
        <v>0</v>
      </c>
      <c r="K1545">
        <f>INDIRECT(ADDRESS(1545,10))+INDIRECT(ADDRESS(1543,11))-INDIRECT(ADDRESS(1544,11))</f>
        <v>0</v>
      </c>
      <c r="L1545">
        <f>INDIRECT(ADDRESS(1545,11))+INDIRECT(ADDRESS(1543,12))-INDIRECT(ADDRESS(1544,12))</f>
        <v>0</v>
      </c>
      <c r="M1545">
        <f>INDIRECT(ADDRESS(1545,12))+INDIRECT(ADDRESS(1543,13))-INDIRECT(ADDRESS(1544,13))</f>
        <v>0</v>
      </c>
      <c r="N1545">
        <f>INDIRECT(ADDRESS(1545,13))+INDIRECT(ADDRESS(1543,14))-INDIRECT(ADDRESS(1544,14))</f>
        <v>0</v>
      </c>
      <c r="O1545">
        <f>INDIRECT(ADDRESS(1545,14))+INDIRECT(ADDRESS(1543,15))-INDIRECT(ADDRESS(1544,15))</f>
        <v>0</v>
      </c>
      <c r="P1545">
        <f>INDIRECT(ADDRESS(1545,15))+INDIRECT(ADDRESS(1543,16))-INDIRECT(ADDRESS(1544,16))</f>
        <v>0</v>
      </c>
      <c r="Q1545">
        <f>INDIRECT(ADDRESS(1545,16))+INDIRECT(ADDRESS(1543,17))-INDIRECT(ADDRESS(1544,17))</f>
        <v>0</v>
      </c>
      <c r="R1545">
        <f>INDIRECT(ADDRESS(1545,17))+INDIRECT(ADDRESS(1543,18))-INDIRECT(ADDRESS(1544,18))</f>
        <v>0</v>
      </c>
      <c r="S1545">
        <f>INDIRECT(ADDRESS(1545,18))+INDIRECT(ADDRESS(1543,19))-INDIRECT(ADDRESS(1544,19))</f>
        <v>0</v>
      </c>
      <c r="T1545">
        <f>INDIRECT(ADDRESS(1545,19))+INDIRECT(ADDRESS(1543,20))-INDIRECT(ADDRESS(1544,20))</f>
        <v>0</v>
      </c>
      <c r="U1545">
        <f>INDIRECT(ADDRESS(1545,20))+INDIRECT(ADDRESS(1543,21))-INDIRECT(ADDRESS(1544,21))</f>
        <v>0</v>
      </c>
      <c r="V1545">
        <f>INDIRECT(ADDRESS(1545,21))+INDIRECT(ADDRESS(1543,22))-INDIRECT(ADDRESS(1544,22))</f>
        <v>0</v>
      </c>
      <c r="W1545">
        <f>INDIRECT(ADDRESS(1545,22))+INDIRECT(ADDRESS(1543,23))-INDIRECT(ADDRESS(1544,23))</f>
        <v>0</v>
      </c>
      <c r="X1545">
        <f>INDIRECT(ADDRESS(1545,23))+INDIRECT(ADDRESS(1543,24))-INDIRECT(ADDRESS(1544,24))</f>
        <v>0</v>
      </c>
      <c r="Y1545">
        <f>INDIRECT(ADDRESS(1545,24))+INDIRECT(ADDRESS(1543,25))-INDIRECT(ADDRESS(1544,25))</f>
        <v>0</v>
      </c>
      <c r="Z1545">
        <f>INDIRECT(ADDRESS(1545,25))+INDIRECT(ADDRESS(1543,26))-INDIRECT(ADDRESS(1544,26))</f>
        <v>0</v>
      </c>
      <c r="AA1545">
        <f>INDIRECT(ADDRESS(1545,26))+INDIRECT(ADDRESS(1543,27))-INDIRECT(ADDRESS(1544,27))</f>
        <v>0</v>
      </c>
      <c r="AB1545">
        <f>INDIRECT(ADDRESS(1545,27))+INDIRECT(ADDRESS(1543,28))-INDIRECT(ADDRESS(1544,28))</f>
        <v>0</v>
      </c>
      <c r="AC1545">
        <f>INDIRECT(ADDRESS(1545,28))+INDIRECT(ADDRESS(1543,29))-INDIRECT(ADDRESS(1544,29))</f>
        <v>0</v>
      </c>
      <c r="AD1545">
        <f>INDIRECT(ADDRESS(1545,29))+INDIRECT(ADDRESS(1543,30))-INDIRECT(ADDRESS(1544,30))</f>
        <v>0</v>
      </c>
      <c r="AE1545">
        <f>INDIRECT(ADDRESS(1545,30))+INDIRECT(ADDRESS(1543,31))-INDIRECT(ADDRESS(1544,31))</f>
        <v>0</v>
      </c>
      <c r="AF1545">
        <f>INDIRECT(ADDRESS(1545,31))+INDIRECT(ADDRESS(1543,32))-INDIRECT(ADDRESS(1544,32))</f>
        <v>0</v>
      </c>
      <c r="AG1545">
        <f>INDIRECT(ADDRESS(1545,32))+INDIRECT(ADDRESS(1543,33))-INDIRECT(ADDRESS(1544,33))</f>
        <v>0</v>
      </c>
      <c r="AH1545">
        <f>INDIRECT(ADDRESS(1545,33))+INDIRECT(ADDRESS(1543,34))-INDIRECT(ADDRESS(1544,34))</f>
        <v>0</v>
      </c>
      <c r="AI1545">
        <f>INDIRECT(ADDRESS(1545,34))+INDIRECT(ADDRESS(1543,35))-INDIRECT(ADDRESS(1544,35))</f>
        <v>0</v>
      </c>
      <c r="AJ1545">
        <f>INDIRECT(ADDRESS(1545,35))+INDIRECT(ADDRESS(1543,36))-INDIRECT(ADDRESS(1544,36))</f>
        <v>0</v>
      </c>
      <c r="AK1545">
        <f>INDIRECT(ADDRESS(1545,36))+INDIRECT(ADDRESS(1543,37))-INDIRECT(ADDRESS(1544,37))</f>
        <v>0</v>
      </c>
      <c r="AL1545">
        <f>INDIRECT(ADDRESS(1545,37))+INDIRECT(ADDRESS(1543,38))-INDIRECT(ADDRESS(1544,38))</f>
        <v>0</v>
      </c>
      <c r="AM1545">
        <f>INDIRECT(ADDRESS(1545,38))+INDIRECT(ADDRESS(1543,39))-INDIRECT(ADDRESS(1544,39))</f>
        <v>0</v>
      </c>
      <c r="AN1545">
        <f>INDIRECT(ADDRESS(1545,39))+INDIRECT(ADDRESS(1543,40))-INDIRECT(ADDRESS(1544,40))</f>
        <v>0</v>
      </c>
      <c r="AO1545">
        <f>SUM(INDIRECT(ADDRESS(1544,8)):INDIRECT(ADDRESS(1544,39)))</f>
        <v>0</v>
      </c>
    </row>
    <row r="1546" spans="1:41">
      <c r="A1546" t="s">
        <v>180</v>
      </c>
      <c r="B1546" t="s">
        <v>728</v>
      </c>
      <c r="C1546" t="s">
        <v>729</v>
      </c>
      <c r="E1546">
        <v>1</v>
      </c>
      <c r="I1546" t="s">
        <v>177</v>
      </c>
    </row>
    <row r="1547" spans="1:41">
      <c r="I1547" t="s">
        <v>178</v>
      </c>
      <c r="J1547">
        <f>IFERROR(VLOOKUP("906-394000-210",B:AB,1+8,0),0)</f>
        <v>0</v>
      </c>
      <c r="K1547">
        <f>IFERROR(VLOOKUP("906-394000-210",B:AB,2+8,0),0)</f>
        <v>0</v>
      </c>
      <c r="L1547">
        <f>IFERROR(VLOOKUP("906-394000-210",B:AB,3+8,0),0)</f>
        <v>0</v>
      </c>
      <c r="M1547">
        <f>IFERROR(VLOOKUP("906-394000-210",B:AB,4+8,0),0)</f>
        <v>0</v>
      </c>
      <c r="N1547">
        <f>IFERROR(VLOOKUP("906-394000-210",B:AB,5+8,0),0)</f>
        <v>0</v>
      </c>
      <c r="O1547">
        <f>IFERROR(VLOOKUP("906-394000-210",B:AB,6+8,0),0)</f>
        <v>0</v>
      </c>
      <c r="P1547">
        <f>IFERROR(VLOOKUP("906-394000-210",B:AB,7+8,0),0)</f>
        <v>0</v>
      </c>
      <c r="Q1547">
        <f>IFERROR(VLOOKUP("906-394000-210",B:AB,8+8,0),0)</f>
        <v>0</v>
      </c>
      <c r="R1547">
        <f>IFERROR(VLOOKUP("906-394000-210",B:AB,9+8,0),0)</f>
        <v>0</v>
      </c>
      <c r="S1547">
        <f>IFERROR(VLOOKUP("906-394000-210",B:AB,10+8,0),0)</f>
        <v>0</v>
      </c>
      <c r="T1547">
        <f>IFERROR(VLOOKUP("906-394000-210",B:AB,11+8,0),0)</f>
        <v>0</v>
      </c>
      <c r="U1547">
        <f>IFERROR(VLOOKUP("906-394000-210",B:AB,12+8,0),0)</f>
        <v>0</v>
      </c>
      <c r="V1547">
        <f>IFERROR(VLOOKUP("906-394000-210",B:AB,13+8,0),0)</f>
        <v>0</v>
      </c>
      <c r="W1547">
        <f>IFERROR(VLOOKUP("906-394000-210",B:AB,14+8,0),0)</f>
        <v>0</v>
      </c>
      <c r="X1547">
        <f>IFERROR(VLOOKUP("906-394000-210",B:AB,15+8,0),0)</f>
        <v>0</v>
      </c>
      <c r="Y1547">
        <f>IFERROR(VLOOKUP("906-394000-210",B:AB,16+8,0),0)</f>
        <v>0</v>
      </c>
      <c r="Z1547">
        <f>IFERROR(VLOOKUP("906-394000-210",B:AB,17+8,0),0)</f>
        <v>0</v>
      </c>
      <c r="AA1547">
        <f>IFERROR(VLOOKUP("906-394000-210",B:AB,18+8,0),0)</f>
        <v>0</v>
      </c>
      <c r="AB1547">
        <f>IFERROR(VLOOKUP("906-394000-210",B:AB,19+8,0),0)</f>
        <v>0</v>
      </c>
      <c r="AC1547">
        <f>IFERROR(VLOOKUP("906-394000-210",B:AB,20+8,0),0)</f>
        <v>0</v>
      </c>
      <c r="AD1547">
        <f>IFERROR(VLOOKUP("906-394000-210",B:AB,21+8,0),0)</f>
        <v>0</v>
      </c>
      <c r="AE1547">
        <f>IFERROR(VLOOKUP("906-394000-210",B:AB,22+8,0),0)</f>
        <v>0</v>
      </c>
      <c r="AF1547">
        <f>IFERROR(VLOOKUP("906-394000-210",B:AB,23+8,0),0)</f>
        <v>0</v>
      </c>
      <c r="AG1547">
        <f>IFERROR(VLOOKUP("906-394000-210",B:AB,24+8,0),0)</f>
        <v>0</v>
      </c>
      <c r="AH1547">
        <f>IFERROR(VLOOKUP("906-394000-210",B:AB,25+8,0),0)</f>
        <v>0</v>
      </c>
      <c r="AI1547">
        <f>IFERROR(VLOOKUP("906-394000-210",B:AB,26+8,0),0)</f>
        <v>0</v>
      </c>
      <c r="AJ1547">
        <f>IFERROR(VLOOKUP("906-394000-210",B:AB,27+8,0),0)</f>
        <v>0</v>
      </c>
      <c r="AK1547">
        <f>IFERROR(VLOOKUP("906-394000-210",B:AB,28+8,0),0)</f>
        <v>0</v>
      </c>
      <c r="AL1547">
        <f>IFERROR(VLOOKUP("906-394000-210",B:AB,29+8,0),0)</f>
        <v>0</v>
      </c>
      <c r="AM1547">
        <f>IFERROR(VLOOKUP("906-394000-210",B:AB,30+8,0),0)</f>
        <v>0</v>
      </c>
      <c r="AN1547">
        <f>IFERROR(VLOOKUP("906-394000-210",B:AB,31+8,0),0)</f>
        <v>0</v>
      </c>
      <c r="AO1547">
        <f>SUN(INDIRECT(ADDRESS(1546,8)):INDIRECT(ADDRESS(1546,39)))</f>
        <v>0</v>
      </c>
    </row>
    <row r="1548" spans="1:41">
      <c r="H1548" t="s">
        <v>179</v>
      </c>
      <c r="J1548">
        <f>INDIRECT(ADDRESS(1548,9))+INDIRECT(ADDRESS(1546,10))-INDIRECT(ADDRESS(1547,10))</f>
        <v>0</v>
      </c>
      <c r="K1548">
        <f>INDIRECT(ADDRESS(1548,10))+INDIRECT(ADDRESS(1546,11))-INDIRECT(ADDRESS(1547,11))</f>
        <v>0</v>
      </c>
      <c r="L1548">
        <f>INDIRECT(ADDRESS(1548,11))+INDIRECT(ADDRESS(1546,12))-INDIRECT(ADDRESS(1547,12))</f>
        <v>0</v>
      </c>
      <c r="M1548">
        <f>INDIRECT(ADDRESS(1548,12))+INDIRECT(ADDRESS(1546,13))-INDIRECT(ADDRESS(1547,13))</f>
        <v>0</v>
      </c>
      <c r="N1548">
        <f>INDIRECT(ADDRESS(1548,13))+INDIRECT(ADDRESS(1546,14))-INDIRECT(ADDRESS(1547,14))</f>
        <v>0</v>
      </c>
      <c r="O1548">
        <f>INDIRECT(ADDRESS(1548,14))+INDIRECT(ADDRESS(1546,15))-INDIRECT(ADDRESS(1547,15))</f>
        <v>0</v>
      </c>
      <c r="P1548">
        <f>INDIRECT(ADDRESS(1548,15))+INDIRECT(ADDRESS(1546,16))-INDIRECT(ADDRESS(1547,16))</f>
        <v>0</v>
      </c>
      <c r="Q1548">
        <f>INDIRECT(ADDRESS(1548,16))+INDIRECT(ADDRESS(1546,17))-INDIRECT(ADDRESS(1547,17))</f>
        <v>0</v>
      </c>
      <c r="R1548">
        <f>INDIRECT(ADDRESS(1548,17))+INDIRECT(ADDRESS(1546,18))-INDIRECT(ADDRESS(1547,18))</f>
        <v>0</v>
      </c>
      <c r="S1548">
        <f>INDIRECT(ADDRESS(1548,18))+INDIRECT(ADDRESS(1546,19))-INDIRECT(ADDRESS(1547,19))</f>
        <v>0</v>
      </c>
      <c r="T1548">
        <f>INDIRECT(ADDRESS(1548,19))+INDIRECT(ADDRESS(1546,20))-INDIRECT(ADDRESS(1547,20))</f>
        <v>0</v>
      </c>
      <c r="U1548">
        <f>INDIRECT(ADDRESS(1548,20))+INDIRECT(ADDRESS(1546,21))-INDIRECT(ADDRESS(1547,21))</f>
        <v>0</v>
      </c>
      <c r="V1548">
        <f>INDIRECT(ADDRESS(1548,21))+INDIRECT(ADDRESS(1546,22))-INDIRECT(ADDRESS(1547,22))</f>
        <v>0</v>
      </c>
      <c r="W1548">
        <f>INDIRECT(ADDRESS(1548,22))+INDIRECT(ADDRESS(1546,23))-INDIRECT(ADDRESS(1547,23))</f>
        <v>0</v>
      </c>
      <c r="X1548">
        <f>INDIRECT(ADDRESS(1548,23))+INDIRECT(ADDRESS(1546,24))-INDIRECT(ADDRESS(1547,24))</f>
        <v>0</v>
      </c>
      <c r="Y1548">
        <f>INDIRECT(ADDRESS(1548,24))+INDIRECT(ADDRESS(1546,25))-INDIRECT(ADDRESS(1547,25))</f>
        <v>0</v>
      </c>
      <c r="Z1548">
        <f>INDIRECT(ADDRESS(1548,25))+INDIRECT(ADDRESS(1546,26))-INDIRECT(ADDRESS(1547,26))</f>
        <v>0</v>
      </c>
      <c r="AA1548">
        <f>INDIRECT(ADDRESS(1548,26))+INDIRECT(ADDRESS(1546,27))-INDIRECT(ADDRESS(1547,27))</f>
        <v>0</v>
      </c>
      <c r="AB1548">
        <f>INDIRECT(ADDRESS(1548,27))+INDIRECT(ADDRESS(1546,28))-INDIRECT(ADDRESS(1547,28))</f>
        <v>0</v>
      </c>
      <c r="AC1548">
        <f>INDIRECT(ADDRESS(1548,28))+INDIRECT(ADDRESS(1546,29))-INDIRECT(ADDRESS(1547,29))</f>
        <v>0</v>
      </c>
      <c r="AD1548">
        <f>INDIRECT(ADDRESS(1548,29))+INDIRECT(ADDRESS(1546,30))-INDIRECT(ADDRESS(1547,30))</f>
        <v>0</v>
      </c>
      <c r="AE1548">
        <f>INDIRECT(ADDRESS(1548,30))+INDIRECT(ADDRESS(1546,31))-INDIRECT(ADDRESS(1547,31))</f>
        <v>0</v>
      </c>
      <c r="AF1548">
        <f>INDIRECT(ADDRESS(1548,31))+INDIRECT(ADDRESS(1546,32))-INDIRECT(ADDRESS(1547,32))</f>
        <v>0</v>
      </c>
      <c r="AG1548">
        <f>INDIRECT(ADDRESS(1548,32))+INDIRECT(ADDRESS(1546,33))-INDIRECT(ADDRESS(1547,33))</f>
        <v>0</v>
      </c>
      <c r="AH1548">
        <f>INDIRECT(ADDRESS(1548,33))+INDIRECT(ADDRESS(1546,34))-INDIRECT(ADDRESS(1547,34))</f>
        <v>0</v>
      </c>
      <c r="AI1548">
        <f>INDIRECT(ADDRESS(1548,34))+INDIRECT(ADDRESS(1546,35))-INDIRECT(ADDRESS(1547,35))</f>
        <v>0</v>
      </c>
      <c r="AJ1548">
        <f>INDIRECT(ADDRESS(1548,35))+INDIRECT(ADDRESS(1546,36))-INDIRECT(ADDRESS(1547,36))</f>
        <v>0</v>
      </c>
      <c r="AK1548">
        <f>INDIRECT(ADDRESS(1548,36))+INDIRECT(ADDRESS(1546,37))-INDIRECT(ADDRESS(1547,37))</f>
        <v>0</v>
      </c>
      <c r="AL1548">
        <f>INDIRECT(ADDRESS(1548,37))+INDIRECT(ADDRESS(1546,38))-INDIRECT(ADDRESS(1547,38))</f>
        <v>0</v>
      </c>
      <c r="AM1548">
        <f>INDIRECT(ADDRESS(1548,38))+INDIRECT(ADDRESS(1546,39))-INDIRECT(ADDRESS(1547,39))</f>
        <v>0</v>
      </c>
      <c r="AN1548">
        <f>INDIRECT(ADDRESS(1548,39))+INDIRECT(ADDRESS(1546,40))-INDIRECT(ADDRESS(1547,40))</f>
        <v>0</v>
      </c>
      <c r="AO1548">
        <f>SUM(INDIRECT(ADDRESS(1547,8)):INDIRECT(ADDRESS(1547,39)))</f>
        <v>0</v>
      </c>
    </row>
    <row r="1549" spans="1:41">
      <c r="A1549" t="s">
        <v>185</v>
      </c>
      <c r="B1549" t="s">
        <v>730</v>
      </c>
      <c r="C1549" t="s">
        <v>731</v>
      </c>
      <c r="E1549">
        <v>1</v>
      </c>
      <c r="I1549" t="s">
        <v>177</v>
      </c>
    </row>
    <row r="1550" spans="1:41">
      <c r="I1550" t="s">
        <v>178</v>
      </c>
      <c r="J1550">
        <f>IFERROR(VLOOKUP("906-394000-210",B:AB,1+8,0),0)</f>
        <v>0</v>
      </c>
      <c r="K1550">
        <f>IFERROR(VLOOKUP("906-394000-210",B:AB,2+8,0),0)</f>
        <v>0</v>
      </c>
      <c r="L1550">
        <f>IFERROR(VLOOKUP("906-394000-210",B:AB,3+8,0),0)</f>
        <v>0</v>
      </c>
      <c r="M1550">
        <f>IFERROR(VLOOKUP("906-394000-210",B:AB,4+8,0),0)</f>
        <v>0</v>
      </c>
      <c r="N1550">
        <f>IFERROR(VLOOKUP("906-394000-210",B:AB,5+8,0),0)</f>
        <v>0</v>
      </c>
      <c r="O1550">
        <f>IFERROR(VLOOKUP("906-394000-210",B:AB,6+8,0),0)</f>
        <v>0</v>
      </c>
      <c r="P1550">
        <f>IFERROR(VLOOKUP("906-394000-210",B:AB,7+8,0),0)</f>
        <v>0</v>
      </c>
      <c r="Q1550">
        <f>IFERROR(VLOOKUP("906-394000-210",B:AB,8+8,0),0)</f>
        <v>0</v>
      </c>
      <c r="R1550">
        <f>IFERROR(VLOOKUP("906-394000-210",B:AB,9+8,0),0)</f>
        <v>0</v>
      </c>
      <c r="S1550">
        <f>IFERROR(VLOOKUP("906-394000-210",B:AB,10+8,0),0)</f>
        <v>0</v>
      </c>
      <c r="T1550">
        <f>IFERROR(VLOOKUP("906-394000-210",B:AB,11+8,0),0)</f>
        <v>0</v>
      </c>
      <c r="U1550">
        <f>IFERROR(VLOOKUP("906-394000-210",B:AB,12+8,0),0)</f>
        <v>0</v>
      </c>
      <c r="V1550">
        <f>IFERROR(VLOOKUP("906-394000-210",B:AB,13+8,0),0)</f>
        <v>0</v>
      </c>
      <c r="W1550">
        <f>IFERROR(VLOOKUP("906-394000-210",B:AB,14+8,0),0)</f>
        <v>0</v>
      </c>
      <c r="X1550">
        <f>IFERROR(VLOOKUP("906-394000-210",B:AB,15+8,0),0)</f>
        <v>0</v>
      </c>
      <c r="Y1550">
        <f>IFERROR(VLOOKUP("906-394000-210",B:AB,16+8,0),0)</f>
        <v>0</v>
      </c>
      <c r="Z1550">
        <f>IFERROR(VLOOKUP("906-394000-210",B:AB,17+8,0),0)</f>
        <v>0</v>
      </c>
      <c r="AA1550">
        <f>IFERROR(VLOOKUP("906-394000-210",B:AB,18+8,0),0)</f>
        <v>0</v>
      </c>
      <c r="AB1550">
        <f>IFERROR(VLOOKUP("906-394000-210",B:AB,19+8,0),0)</f>
        <v>0</v>
      </c>
      <c r="AC1550">
        <f>IFERROR(VLOOKUP("906-394000-210",B:AB,20+8,0),0)</f>
        <v>0</v>
      </c>
      <c r="AD1550">
        <f>IFERROR(VLOOKUP("906-394000-210",B:AB,21+8,0),0)</f>
        <v>0</v>
      </c>
      <c r="AE1550">
        <f>IFERROR(VLOOKUP("906-394000-210",B:AB,22+8,0),0)</f>
        <v>0</v>
      </c>
      <c r="AF1550">
        <f>IFERROR(VLOOKUP("906-394000-210",B:AB,23+8,0),0)</f>
        <v>0</v>
      </c>
      <c r="AG1550">
        <f>IFERROR(VLOOKUP("906-394000-210",B:AB,24+8,0),0)</f>
        <v>0</v>
      </c>
      <c r="AH1550">
        <f>IFERROR(VLOOKUP("906-394000-210",B:AB,25+8,0),0)</f>
        <v>0</v>
      </c>
      <c r="AI1550">
        <f>IFERROR(VLOOKUP("906-394000-210",B:AB,26+8,0),0)</f>
        <v>0</v>
      </c>
      <c r="AJ1550">
        <f>IFERROR(VLOOKUP("906-394000-210",B:AB,27+8,0),0)</f>
        <v>0</v>
      </c>
      <c r="AK1550">
        <f>IFERROR(VLOOKUP("906-394000-210",B:AB,28+8,0),0)</f>
        <v>0</v>
      </c>
      <c r="AL1550">
        <f>IFERROR(VLOOKUP("906-394000-210",B:AB,29+8,0),0)</f>
        <v>0</v>
      </c>
      <c r="AM1550">
        <f>IFERROR(VLOOKUP("906-394000-210",B:AB,30+8,0),0)</f>
        <v>0</v>
      </c>
      <c r="AN1550">
        <f>IFERROR(VLOOKUP("906-394000-210",B:AB,31+8,0),0)</f>
        <v>0</v>
      </c>
      <c r="AO1550">
        <f>SUN(INDIRECT(ADDRESS(1549,8)):INDIRECT(ADDRESS(1549,39)))</f>
        <v>0</v>
      </c>
    </row>
    <row r="1551" spans="1:41">
      <c r="H1551" t="s">
        <v>179</v>
      </c>
      <c r="J1551">
        <f>INDIRECT(ADDRESS(1551,9))+INDIRECT(ADDRESS(1549,10))-INDIRECT(ADDRESS(1550,10))</f>
        <v>0</v>
      </c>
      <c r="K1551">
        <f>INDIRECT(ADDRESS(1551,10))+INDIRECT(ADDRESS(1549,11))-INDIRECT(ADDRESS(1550,11))</f>
        <v>0</v>
      </c>
      <c r="L1551">
        <f>INDIRECT(ADDRESS(1551,11))+INDIRECT(ADDRESS(1549,12))-INDIRECT(ADDRESS(1550,12))</f>
        <v>0</v>
      </c>
      <c r="M1551">
        <f>INDIRECT(ADDRESS(1551,12))+INDIRECT(ADDRESS(1549,13))-INDIRECT(ADDRESS(1550,13))</f>
        <v>0</v>
      </c>
      <c r="N1551">
        <f>INDIRECT(ADDRESS(1551,13))+INDIRECT(ADDRESS(1549,14))-INDIRECT(ADDRESS(1550,14))</f>
        <v>0</v>
      </c>
      <c r="O1551">
        <f>INDIRECT(ADDRESS(1551,14))+INDIRECT(ADDRESS(1549,15))-INDIRECT(ADDRESS(1550,15))</f>
        <v>0</v>
      </c>
      <c r="P1551">
        <f>INDIRECT(ADDRESS(1551,15))+INDIRECT(ADDRESS(1549,16))-INDIRECT(ADDRESS(1550,16))</f>
        <v>0</v>
      </c>
      <c r="Q1551">
        <f>INDIRECT(ADDRESS(1551,16))+INDIRECT(ADDRESS(1549,17))-INDIRECT(ADDRESS(1550,17))</f>
        <v>0</v>
      </c>
      <c r="R1551">
        <f>INDIRECT(ADDRESS(1551,17))+INDIRECT(ADDRESS(1549,18))-INDIRECT(ADDRESS(1550,18))</f>
        <v>0</v>
      </c>
      <c r="S1551">
        <f>INDIRECT(ADDRESS(1551,18))+INDIRECT(ADDRESS(1549,19))-INDIRECT(ADDRESS(1550,19))</f>
        <v>0</v>
      </c>
      <c r="T1551">
        <f>INDIRECT(ADDRESS(1551,19))+INDIRECT(ADDRESS(1549,20))-INDIRECT(ADDRESS(1550,20))</f>
        <v>0</v>
      </c>
      <c r="U1551">
        <f>INDIRECT(ADDRESS(1551,20))+INDIRECT(ADDRESS(1549,21))-INDIRECT(ADDRESS(1550,21))</f>
        <v>0</v>
      </c>
      <c r="V1551">
        <f>INDIRECT(ADDRESS(1551,21))+INDIRECT(ADDRESS(1549,22))-INDIRECT(ADDRESS(1550,22))</f>
        <v>0</v>
      </c>
      <c r="W1551">
        <f>INDIRECT(ADDRESS(1551,22))+INDIRECT(ADDRESS(1549,23))-INDIRECT(ADDRESS(1550,23))</f>
        <v>0</v>
      </c>
      <c r="X1551">
        <f>INDIRECT(ADDRESS(1551,23))+INDIRECT(ADDRESS(1549,24))-INDIRECT(ADDRESS(1550,24))</f>
        <v>0</v>
      </c>
      <c r="Y1551">
        <f>INDIRECT(ADDRESS(1551,24))+INDIRECT(ADDRESS(1549,25))-INDIRECT(ADDRESS(1550,25))</f>
        <v>0</v>
      </c>
      <c r="Z1551">
        <f>INDIRECT(ADDRESS(1551,25))+INDIRECT(ADDRESS(1549,26))-INDIRECT(ADDRESS(1550,26))</f>
        <v>0</v>
      </c>
      <c r="AA1551">
        <f>INDIRECT(ADDRESS(1551,26))+INDIRECT(ADDRESS(1549,27))-INDIRECT(ADDRESS(1550,27))</f>
        <v>0</v>
      </c>
      <c r="AB1551">
        <f>INDIRECT(ADDRESS(1551,27))+INDIRECT(ADDRESS(1549,28))-INDIRECT(ADDRESS(1550,28))</f>
        <v>0</v>
      </c>
      <c r="AC1551">
        <f>INDIRECT(ADDRESS(1551,28))+INDIRECT(ADDRESS(1549,29))-INDIRECT(ADDRESS(1550,29))</f>
        <v>0</v>
      </c>
      <c r="AD1551">
        <f>INDIRECT(ADDRESS(1551,29))+INDIRECT(ADDRESS(1549,30))-INDIRECT(ADDRESS(1550,30))</f>
        <v>0</v>
      </c>
      <c r="AE1551">
        <f>INDIRECT(ADDRESS(1551,30))+INDIRECT(ADDRESS(1549,31))-INDIRECT(ADDRESS(1550,31))</f>
        <v>0</v>
      </c>
      <c r="AF1551">
        <f>INDIRECT(ADDRESS(1551,31))+INDIRECT(ADDRESS(1549,32))-INDIRECT(ADDRESS(1550,32))</f>
        <v>0</v>
      </c>
      <c r="AG1551">
        <f>INDIRECT(ADDRESS(1551,32))+INDIRECT(ADDRESS(1549,33))-INDIRECT(ADDRESS(1550,33))</f>
        <v>0</v>
      </c>
      <c r="AH1551">
        <f>INDIRECT(ADDRESS(1551,33))+INDIRECT(ADDRESS(1549,34))-INDIRECT(ADDRESS(1550,34))</f>
        <v>0</v>
      </c>
      <c r="AI1551">
        <f>INDIRECT(ADDRESS(1551,34))+INDIRECT(ADDRESS(1549,35))-INDIRECT(ADDRESS(1550,35))</f>
        <v>0</v>
      </c>
      <c r="AJ1551">
        <f>INDIRECT(ADDRESS(1551,35))+INDIRECT(ADDRESS(1549,36))-INDIRECT(ADDRESS(1550,36))</f>
        <v>0</v>
      </c>
      <c r="AK1551">
        <f>INDIRECT(ADDRESS(1551,36))+INDIRECT(ADDRESS(1549,37))-INDIRECT(ADDRESS(1550,37))</f>
        <v>0</v>
      </c>
      <c r="AL1551">
        <f>INDIRECT(ADDRESS(1551,37))+INDIRECT(ADDRESS(1549,38))-INDIRECT(ADDRESS(1550,38))</f>
        <v>0</v>
      </c>
      <c r="AM1551">
        <f>INDIRECT(ADDRESS(1551,38))+INDIRECT(ADDRESS(1549,39))-INDIRECT(ADDRESS(1550,39))</f>
        <v>0</v>
      </c>
      <c r="AN1551">
        <f>INDIRECT(ADDRESS(1551,39))+INDIRECT(ADDRESS(1549,40))-INDIRECT(ADDRESS(1550,40))</f>
        <v>0</v>
      </c>
      <c r="AO1551">
        <f>SUM(INDIRECT(ADDRESS(1550,8)):INDIRECT(ADDRESS(1550,39)))</f>
        <v>0</v>
      </c>
    </row>
    <row r="1552" spans="1:41">
      <c r="A1552" t="s">
        <v>185</v>
      </c>
      <c r="B1552" t="s">
        <v>732</v>
      </c>
      <c r="C1552" t="s">
        <v>733</v>
      </c>
      <c r="E1552">
        <v>0.003</v>
      </c>
      <c r="I1552" t="s">
        <v>177</v>
      </c>
    </row>
    <row r="1553" spans="1:41">
      <c r="I1553" t="s">
        <v>178</v>
      </c>
      <c r="J1553">
        <f>IFERROR(VLOOKUP("906-394000-210",B:AB,1+8,0),0)</f>
        <v>0</v>
      </c>
      <c r="K1553">
        <f>IFERROR(VLOOKUP("906-394000-210",B:AB,2+8,0),0)</f>
        <v>0</v>
      </c>
      <c r="L1553">
        <f>IFERROR(VLOOKUP("906-394000-210",B:AB,3+8,0),0)</f>
        <v>0</v>
      </c>
      <c r="M1553">
        <f>IFERROR(VLOOKUP("906-394000-210",B:AB,4+8,0),0)</f>
        <v>0</v>
      </c>
      <c r="N1553">
        <f>IFERROR(VLOOKUP("906-394000-210",B:AB,5+8,0),0)</f>
        <v>0</v>
      </c>
      <c r="O1553">
        <f>IFERROR(VLOOKUP("906-394000-210",B:AB,6+8,0),0)</f>
        <v>0</v>
      </c>
      <c r="P1553">
        <f>IFERROR(VLOOKUP("906-394000-210",B:AB,7+8,0),0)</f>
        <v>0</v>
      </c>
      <c r="Q1553">
        <f>IFERROR(VLOOKUP("906-394000-210",B:AB,8+8,0),0)</f>
        <v>0</v>
      </c>
      <c r="R1553">
        <f>IFERROR(VLOOKUP("906-394000-210",B:AB,9+8,0),0)</f>
        <v>0</v>
      </c>
      <c r="S1553">
        <f>IFERROR(VLOOKUP("906-394000-210",B:AB,10+8,0),0)</f>
        <v>0</v>
      </c>
      <c r="T1553">
        <f>IFERROR(VLOOKUP("906-394000-210",B:AB,11+8,0),0)</f>
        <v>0</v>
      </c>
      <c r="U1553">
        <f>IFERROR(VLOOKUP("906-394000-210",B:AB,12+8,0),0)</f>
        <v>0</v>
      </c>
      <c r="V1553">
        <f>IFERROR(VLOOKUP("906-394000-210",B:AB,13+8,0),0)</f>
        <v>0</v>
      </c>
      <c r="W1553">
        <f>IFERROR(VLOOKUP("906-394000-210",B:AB,14+8,0),0)</f>
        <v>0</v>
      </c>
      <c r="X1553">
        <f>IFERROR(VLOOKUP("906-394000-210",B:AB,15+8,0),0)</f>
        <v>0</v>
      </c>
      <c r="Y1553">
        <f>IFERROR(VLOOKUP("906-394000-210",B:AB,16+8,0),0)</f>
        <v>0</v>
      </c>
      <c r="Z1553">
        <f>IFERROR(VLOOKUP("906-394000-210",B:AB,17+8,0),0)</f>
        <v>0</v>
      </c>
      <c r="AA1553">
        <f>IFERROR(VLOOKUP("906-394000-210",B:AB,18+8,0),0)</f>
        <v>0</v>
      </c>
      <c r="AB1553">
        <f>IFERROR(VLOOKUP("906-394000-210",B:AB,19+8,0),0)</f>
        <v>0</v>
      </c>
      <c r="AC1553">
        <f>IFERROR(VLOOKUP("906-394000-210",B:AB,20+8,0),0)</f>
        <v>0</v>
      </c>
      <c r="AD1553">
        <f>IFERROR(VLOOKUP("906-394000-210",B:AB,21+8,0),0)</f>
        <v>0</v>
      </c>
      <c r="AE1553">
        <f>IFERROR(VLOOKUP("906-394000-210",B:AB,22+8,0),0)</f>
        <v>0</v>
      </c>
      <c r="AF1553">
        <f>IFERROR(VLOOKUP("906-394000-210",B:AB,23+8,0),0)</f>
        <v>0</v>
      </c>
      <c r="AG1553">
        <f>IFERROR(VLOOKUP("906-394000-210",B:AB,24+8,0),0)</f>
        <v>0</v>
      </c>
      <c r="AH1553">
        <f>IFERROR(VLOOKUP("906-394000-210",B:AB,25+8,0),0)</f>
        <v>0</v>
      </c>
      <c r="AI1553">
        <f>IFERROR(VLOOKUP("906-394000-210",B:AB,26+8,0),0)</f>
        <v>0</v>
      </c>
      <c r="AJ1553">
        <f>IFERROR(VLOOKUP("906-394000-210",B:AB,27+8,0),0)</f>
        <v>0</v>
      </c>
      <c r="AK1553">
        <f>IFERROR(VLOOKUP("906-394000-210",B:AB,28+8,0),0)</f>
        <v>0</v>
      </c>
      <c r="AL1553">
        <f>IFERROR(VLOOKUP("906-394000-210",B:AB,29+8,0),0)</f>
        <v>0</v>
      </c>
      <c r="AM1553">
        <f>IFERROR(VLOOKUP("906-394000-210",B:AB,30+8,0),0)</f>
        <v>0</v>
      </c>
      <c r="AN1553">
        <f>IFERROR(VLOOKUP("906-394000-210",B:AB,31+8,0),0)</f>
        <v>0</v>
      </c>
      <c r="AO1553">
        <f>SUN(INDIRECT(ADDRESS(1552,8)):INDIRECT(ADDRESS(1552,39)))</f>
        <v>0</v>
      </c>
    </row>
    <row r="1554" spans="1:41">
      <c r="H1554" t="s">
        <v>179</v>
      </c>
      <c r="J1554">
        <f>INDIRECT(ADDRESS(1554,9))+INDIRECT(ADDRESS(1552,10))-INDIRECT(ADDRESS(1553,10))</f>
        <v>0</v>
      </c>
      <c r="K1554">
        <f>INDIRECT(ADDRESS(1554,10))+INDIRECT(ADDRESS(1552,11))-INDIRECT(ADDRESS(1553,11))</f>
        <v>0</v>
      </c>
      <c r="L1554">
        <f>INDIRECT(ADDRESS(1554,11))+INDIRECT(ADDRESS(1552,12))-INDIRECT(ADDRESS(1553,12))</f>
        <v>0</v>
      </c>
      <c r="M1554">
        <f>INDIRECT(ADDRESS(1554,12))+INDIRECT(ADDRESS(1552,13))-INDIRECT(ADDRESS(1553,13))</f>
        <v>0</v>
      </c>
      <c r="N1554">
        <f>INDIRECT(ADDRESS(1554,13))+INDIRECT(ADDRESS(1552,14))-INDIRECT(ADDRESS(1553,14))</f>
        <v>0</v>
      </c>
      <c r="O1554">
        <f>INDIRECT(ADDRESS(1554,14))+INDIRECT(ADDRESS(1552,15))-INDIRECT(ADDRESS(1553,15))</f>
        <v>0</v>
      </c>
      <c r="P1554">
        <f>INDIRECT(ADDRESS(1554,15))+INDIRECT(ADDRESS(1552,16))-INDIRECT(ADDRESS(1553,16))</f>
        <v>0</v>
      </c>
      <c r="Q1554">
        <f>INDIRECT(ADDRESS(1554,16))+INDIRECT(ADDRESS(1552,17))-INDIRECT(ADDRESS(1553,17))</f>
        <v>0</v>
      </c>
      <c r="R1554">
        <f>INDIRECT(ADDRESS(1554,17))+INDIRECT(ADDRESS(1552,18))-INDIRECT(ADDRESS(1553,18))</f>
        <v>0</v>
      </c>
      <c r="S1554">
        <f>INDIRECT(ADDRESS(1554,18))+INDIRECT(ADDRESS(1552,19))-INDIRECT(ADDRESS(1553,19))</f>
        <v>0</v>
      </c>
      <c r="T1554">
        <f>INDIRECT(ADDRESS(1554,19))+INDIRECT(ADDRESS(1552,20))-INDIRECT(ADDRESS(1553,20))</f>
        <v>0</v>
      </c>
      <c r="U1554">
        <f>INDIRECT(ADDRESS(1554,20))+INDIRECT(ADDRESS(1552,21))-INDIRECT(ADDRESS(1553,21))</f>
        <v>0</v>
      </c>
      <c r="V1554">
        <f>INDIRECT(ADDRESS(1554,21))+INDIRECT(ADDRESS(1552,22))-INDIRECT(ADDRESS(1553,22))</f>
        <v>0</v>
      </c>
      <c r="W1554">
        <f>INDIRECT(ADDRESS(1554,22))+INDIRECT(ADDRESS(1552,23))-INDIRECT(ADDRESS(1553,23))</f>
        <v>0</v>
      </c>
      <c r="X1554">
        <f>INDIRECT(ADDRESS(1554,23))+INDIRECT(ADDRESS(1552,24))-INDIRECT(ADDRESS(1553,24))</f>
        <v>0</v>
      </c>
      <c r="Y1554">
        <f>INDIRECT(ADDRESS(1554,24))+INDIRECT(ADDRESS(1552,25))-INDIRECT(ADDRESS(1553,25))</f>
        <v>0</v>
      </c>
      <c r="Z1554">
        <f>INDIRECT(ADDRESS(1554,25))+INDIRECT(ADDRESS(1552,26))-INDIRECT(ADDRESS(1553,26))</f>
        <v>0</v>
      </c>
      <c r="AA1554">
        <f>INDIRECT(ADDRESS(1554,26))+INDIRECT(ADDRESS(1552,27))-INDIRECT(ADDRESS(1553,27))</f>
        <v>0</v>
      </c>
      <c r="AB1554">
        <f>INDIRECT(ADDRESS(1554,27))+INDIRECT(ADDRESS(1552,28))-INDIRECT(ADDRESS(1553,28))</f>
        <v>0</v>
      </c>
      <c r="AC1554">
        <f>INDIRECT(ADDRESS(1554,28))+INDIRECT(ADDRESS(1552,29))-INDIRECT(ADDRESS(1553,29))</f>
        <v>0</v>
      </c>
      <c r="AD1554">
        <f>INDIRECT(ADDRESS(1554,29))+INDIRECT(ADDRESS(1552,30))-INDIRECT(ADDRESS(1553,30))</f>
        <v>0</v>
      </c>
      <c r="AE1554">
        <f>INDIRECT(ADDRESS(1554,30))+INDIRECT(ADDRESS(1552,31))-INDIRECT(ADDRESS(1553,31))</f>
        <v>0</v>
      </c>
      <c r="AF1554">
        <f>INDIRECT(ADDRESS(1554,31))+INDIRECT(ADDRESS(1552,32))-INDIRECT(ADDRESS(1553,32))</f>
        <v>0</v>
      </c>
      <c r="AG1554">
        <f>INDIRECT(ADDRESS(1554,32))+INDIRECT(ADDRESS(1552,33))-INDIRECT(ADDRESS(1553,33))</f>
        <v>0</v>
      </c>
      <c r="AH1554">
        <f>INDIRECT(ADDRESS(1554,33))+INDIRECT(ADDRESS(1552,34))-INDIRECT(ADDRESS(1553,34))</f>
        <v>0</v>
      </c>
      <c r="AI1554">
        <f>INDIRECT(ADDRESS(1554,34))+INDIRECT(ADDRESS(1552,35))-INDIRECT(ADDRESS(1553,35))</f>
        <v>0</v>
      </c>
      <c r="AJ1554">
        <f>INDIRECT(ADDRESS(1554,35))+INDIRECT(ADDRESS(1552,36))-INDIRECT(ADDRESS(1553,36))</f>
        <v>0</v>
      </c>
      <c r="AK1554">
        <f>INDIRECT(ADDRESS(1554,36))+INDIRECT(ADDRESS(1552,37))-INDIRECT(ADDRESS(1553,37))</f>
        <v>0</v>
      </c>
      <c r="AL1554">
        <f>INDIRECT(ADDRESS(1554,37))+INDIRECT(ADDRESS(1552,38))-INDIRECT(ADDRESS(1553,38))</f>
        <v>0</v>
      </c>
      <c r="AM1554">
        <f>INDIRECT(ADDRESS(1554,38))+INDIRECT(ADDRESS(1552,39))-INDIRECT(ADDRESS(1553,39))</f>
        <v>0</v>
      </c>
      <c r="AN1554">
        <f>INDIRECT(ADDRESS(1554,39))+INDIRECT(ADDRESS(1552,40))-INDIRECT(ADDRESS(1553,40))</f>
        <v>0</v>
      </c>
      <c r="AO1554">
        <f>SUM(INDIRECT(ADDRESS(1553,8)):INDIRECT(ADDRESS(1553,39)))</f>
        <v>0</v>
      </c>
    </row>
    <row r="1555" spans="1:41">
      <c r="A1555" t="s">
        <v>185</v>
      </c>
      <c r="B1555" t="s">
        <v>120</v>
      </c>
      <c r="C1555" t="s">
        <v>734</v>
      </c>
      <c r="E1555">
        <v>0.003</v>
      </c>
      <c r="I1555" t="s">
        <v>177</v>
      </c>
    </row>
    <row r="1556" spans="1:41">
      <c r="I1556" t="s">
        <v>178</v>
      </c>
      <c r="J1556">
        <f>IFERROR(VLOOKUP("906-394000-210",B:AB,1+8,0),0)</f>
        <v>0</v>
      </c>
      <c r="K1556">
        <f>IFERROR(VLOOKUP("906-394000-210",B:AB,2+8,0),0)</f>
        <v>0</v>
      </c>
      <c r="L1556">
        <f>IFERROR(VLOOKUP("906-394000-210",B:AB,3+8,0),0)</f>
        <v>0</v>
      </c>
      <c r="M1556">
        <f>IFERROR(VLOOKUP("906-394000-210",B:AB,4+8,0),0)</f>
        <v>0</v>
      </c>
      <c r="N1556">
        <f>IFERROR(VLOOKUP("906-394000-210",B:AB,5+8,0),0)</f>
        <v>0</v>
      </c>
      <c r="O1556">
        <f>IFERROR(VLOOKUP("906-394000-210",B:AB,6+8,0),0)</f>
        <v>0</v>
      </c>
      <c r="P1556">
        <f>IFERROR(VLOOKUP("906-394000-210",B:AB,7+8,0),0)</f>
        <v>0</v>
      </c>
      <c r="Q1556">
        <f>IFERROR(VLOOKUP("906-394000-210",B:AB,8+8,0),0)</f>
        <v>0</v>
      </c>
      <c r="R1556">
        <f>IFERROR(VLOOKUP("906-394000-210",B:AB,9+8,0),0)</f>
        <v>0</v>
      </c>
      <c r="S1556">
        <f>IFERROR(VLOOKUP("906-394000-210",B:AB,10+8,0),0)</f>
        <v>0</v>
      </c>
      <c r="T1556">
        <f>IFERROR(VLOOKUP("906-394000-210",B:AB,11+8,0),0)</f>
        <v>0</v>
      </c>
      <c r="U1556">
        <f>IFERROR(VLOOKUP("906-394000-210",B:AB,12+8,0),0)</f>
        <v>0</v>
      </c>
      <c r="V1556">
        <f>IFERROR(VLOOKUP("906-394000-210",B:AB,13+8,0),0)</f>
        <v>0</v>
      </c>
      <c r="W1556">
        <f>IFERROR(VLOOKUP("906-394000-210",B:AB,14+8,0),0)</f>
        <v>0</v>
      </c>
      <c r="X1556">
        <f>IFERROR(VLOOKUP("906-394000-210",B:AB,15+8,0),0)</f>
        <v>0</v>
      </c>
      <c r="Y1556">
        <f>IFERROR(VLOOKUP("906-394000-210",B:AB,16+8,0),0)</f>
        <v>0</v>
      </c>
      <c r="Z1556">
        <f>IFERROR(VLOOKUP("906-394000-210",B:AB,17+8,0),0)</f>
        <v>0</v>
      </c>
      <c r="AA1556">
        <f>IFERROR(VLOOKUP("906-394000-210",B:AB,18+8,0),0)</f>
        <v>0</v>
      </c>
      <c r="AB1556">
        <f>IFERROR(VLOOKUP("906-394000-210",B:AB,19+8,0),0)</f>
        <v>0</v>
      </c>
      <c r="AC1556">
        <f>IFERROR(VLOOKUP("906-394000-210",B:AB,20+8,0),0)</f>
        <v>0</v>
      </c>
      <c r="AD1556">
        <f>IFERROR(VLOOKUP("906-394000-210",B:AB,21+8,0),0)</f>
        <v>0</v>
      </c>
      <c r="AE1556">
        <f>IFERROR(VLOOKUP("906-394000-210",B:AB,22+8,0),0)</f>
        <v>0</v>
      </c>
      <c r="AF1556">
        <f>IFERROR(VLOOKUP("906-394000-210",B:AB,23+8,0),0)</f>
        <v>0</v>
      </c>
      <c r="AG1556">
        <f>IFERROR(VLOOKUP("906-394000-210",B:AB,24+8,0),0)</f>
        <v>0</v>
      </c>
      <c r="AH1556">
        <f>IFERROR(VLOOKUP("906-394000-210",B:AB,25+8,0),0)</f>
        <v>0</v>
      </c>
      <c r="AI1556">
        <f>IFERROR(VLOOKUP("906-394000-210",B:AB,26+8,0),0)</f>
        <v>0</v>
      </c>
      <c r="AJ1556">
        <f>IFERROR(VLOOKUP("906-394000-210",B:AB,27+8,0),0)</f>
        <v>0</v>
      </c>
      <c r="AK1556">
        <f>IFERROR(VLOOKUP("906-394000-210",B:AB,28+8,0),0)</f>
        <v>0</v>
      </c>
      <c r="AL1556">
        <f>IFERROR(VLOOKUP("906-394000-210",B:AB,29+8,0),0)</f>
        <v>0</v>
      </c>
      <c r="AM1556">
        <f>IFERROR(VLOOKUP("906-394000-210",B:AB,30+8,0),0)</f>
        <v>0</v>
      </c>
      <c r="AN1556">
        <f>IFERROR(VLOOKUP("906-394000-210",B:AB,31+8,0),0)</f>
        <v>0</v>
      </c>
      <c r="AO1556">
        <f>SUN(INDIRECT(ADDRESS(1555,8)):INDIRECT(ADDRESS(1555,39)))</f>
        <v>0</v>
      </c>
    </row>
    <row r="1557" spans="1:41">
      <c r="H1557" t="s">
        <v>179</v>
      </c>
      <c r="J1557">
        <f>INDIRECT(ADDRESS(1557,9))+INDIRECT(ADDRESS(1555,10))-INDIRECT(ADDRESS(1556,10))</f>
        <v>0</v>
      </c>
      <c r="K1557">
        <f>INDIRECT(ADDRESS(1557,10))+INDIRECT(ADDRESS(1555,11))-INDIRECT(ADDRESS(1556,11))</f>
        <v>0</v>
      </c>
      <c r="L1557">
        <f>INDIRECT(ADDRESS(1557,11))+INDIRECT(ADDRESS(1555,12))-INDIRECT(ADDRESS(1556,12))</f>
        <v>0</v>
      </c>
      <c r="M1557">
        <f>INDIRECT(ADDRESS(1557,12))+INDIRECT(ADDRESS(1555,13))-INDIRECT(ADDRESS(1556,13))</f>
        <v>0</v>
      </c>
      <c r="N1557">
        <f>INDIRECT(ADDRESS(1557,13))+INDIRECT(ADDRESS(1555,14))-INDIRECT(ADDRESS(1556,14))</f>
        <v>0</v>
      </c>
      <c r="O1557">
        <f>INDIRECT(ADDRESS(1557,14))+INDIRECT(ADDRESS(1555,15))-INDIRECT(ADDRESS(1556,15))</f>
        <v>0</v>
      </c>
      <c r="P1557">
        <f>INDIRECT(ADDRESS(1557,15))+INDIRECT(ADDRESS(1555,16))-INDIRECT(ADDRESS(1556,16))</f>
        <v>0</v>
      </c>
      <c r="Q1557">
        <f>INDIRECT(ADDRESS(1557,16))+INDIRECT(ADDRESS(1555,17))-INDIRECT(ADDRESS(1556,17))</f>
        <v>0</v>
      </c>
      <c r="R1557">
        <f>INDIRECT(ADDRESS(1557,17))+INDIRECT(ADDRESS(1555,18))-INDIRECT(ADDRESS(1556,18))</f>
        <v>0</v>
      </c>
      <c r="S1557">
        <f>INDIRECT(ADDRESS(1557,18))+INDIRECT(ADDRESS(1555,19))-INDIRECT(ADDRESS(1556,19))</f>
        <v>0</v>
      </c>
      <c r="T1557">
        <f>INDIRECT(ADDRESS(1557,19))+INDIRECT(ADDRESS(1555,20))-INDIRECT(ADDRESS(1556,20))</f>
        <v>0</v>
      </c>
      <c r="U1557">
        <f>INDIRECT(ADDRESS(1557,20))+INDIRECT(ADDRESS(1555,21))-INDIRECT(ADDRESS(1556,21))</f>
        <v>0</v>
      </c>
      <c r="V1557">
        <f>INDIRECT(ADDRESS(1557,21))+INDIRECT(ADDRESS(1555,22))-INDIRECT(ADDRESS(1556,22))</f>
        <v>0</v>
      </c>
      <c r="W1557">
        <f>INDIRECT(ADDRESS(1557,22))+INDIRECT(ADDRESS(1555,23))-INDIRECT(ADDRESS(1556,23))</f>
        <v>0</v>
      </c>
      <c r="X1557">
        <f>INDIRECT(ADDRESS(1557,23))+INDIRECT(ADDRESS(1555,24))-INDIRECT(ADDRESS(1556,24))</f>
        <v>0</v>
      </c>
      <c r="Y1557">
        <f>INDIRECT(ADDRESS(1557,24))+INDIRECT(ADDRESS(1555,25))-INDIRECT(ADDRESS(1556,25))</f>
        <v>0</v>
      </c>
      <c r="Z1557">
        <f>INDIRECT(ADDRESS(1557,25))+INDIRECT(ADDRESS(1555,26))-INDIRECT(ADDRESS(1556,26))</f>
        <v>0</v>
      </c>
      <c r="AA1557">
        <f>INDIRECT(ADDRESS(1557,26))+INDIRECT(ADDRESS(1555,27))-INDIRECT(ADDRESS(1556,27))</f>
        <v>0</v>
      </c>
      <c r="AB1557">
        <f>INDIRECT(ADDRESS(1557,27))+INDIRECT(ADDRESS(1555,28))-INDIRECT(ADDRESS(1556,28))</f>
        <v>0</v>
      </c>
      <c r="AC1557">
        <f>INDIRECT(ADDRESS(1557,28))+INDIRECT(ADDRESS(1555,29))-INDIRECT(ADDRESS(1556,29))</f>
        <v>0</v>
      </c>
      <c r="AD1557">
        <f>INDIRECT(ADDRESS(1557,29))+INDIRECT(ADDRESS(1555,30))-INDIRECT(ADDRESS(1556,30))</f>
        <v>0</v>
      </c>
      <c r="AE1557">
        <f>INDIRECT(ADDRESS(1557,30))+INDIRECT(ADDRESS(1555,31))-INDIRECT(ADDRESS(1556,31))</f>
        <v>0</v>
      </c>
      <c r="AF1557">
        <f>INDIRECT(ADDRESS(1557,31))+INDIRECT(ADDRESS(1555,32))-INDIRECT(ADDRESS(1556,32))</f>
        <v>0</v>
      </c>
      <c r="AG1557">
        <f>INDIRECT(ADDRESS(1557,32))+INDIRECT(ADDRESS(1555,33))-INDIRECT(ADDRESS(1556,33))</f>
        <v>0</v>
      </c>
      <c r="AH1557">
        <f>INDIRECT(ADDRESS(1557,33))+INDIRECT(ADDRESS(1555,34))-INDIRECT(ADDRESS(1556,34))</f>
        <v>0</v>
      </c>
      <c r="AI1557">
        <f>INDIRECT(ADDRESS(1557,34))+INDIRECT(ADDRESS(1555,35))-INDIRECT(ADDRESS(1556,35))</f>
        <v>0</v>
      </c>
      <c r="AJ1557">
        <f>INDIRECT(ADDRESS(1557,35))+INDIRECT(ADDRESS(1555,36))-INDIRECT(ADDRESS(1556,36))</f>
        <v>0</v>
      </c>
      <c r="AK1557">
        <f>INDIRECT(ADDRESS(1557,36))+INDIRECT(ADDRESS(1555,37))-INDIRECT(ADDRESS(1556,37))</f>
        <v>0</v>
      </c>
      <c r="AL1557">
        <f>INDIRECT(ADDRESS(1557,37))+INDIRECT(ADDRESS(1555,38))-INDIRECT(ADDRESS(1556,38))</f>
        <v>0</v>
      </c>
      <c r="AM1557">
        <f>INDIRECT(ADDRESS(1557,38))+INDIRECT(ADDRESS(1555,39))-INDIRECT(ADDRESS(1556,39))</f>
        <v>0</v>
      </c>
      <c r="AN1557">
        <f>INDIRECT(ADDRESS(1557,39))+INDIRECT(ADDRESS(1555,40))-INDIRECT(ADDRESS(1556,40))</f>
        <v>0</v>
      </c>
      <c r="AO1557">
        <f>SUM(INDIRECT(ADDRESS(1556,8)):INDIRECT(ADDRESS(1556,39)))</f>
        <v>0</v>
      </c>
    </row>
    <row r="1558" spans="1:41">
      <c r="A1558" t="s">
        <v>206</v>
      </c>
      <c r="B1558" t="s">
        <v>120</v>
      </c>
      <c r="C1558" t="s">
        <v>734</v>
      </c>
      <c r="E1558">
        <v>0.012987013</v>
      </c>
      <c r="I1558" t="s">
        <v>177</v>
      </c>
    </row>
    <row r="1559" spans="1:41">
      <c r="I1559" t="s">
        <v>178</v>
      </c>
      <c r="J1559">
        <f>IFERROR(VLOOKUP("906-394000-210",B:AB,1+8,0),0)</f>
        <v>0</v>
      </c>
      <c r="K1559">
        <f>IFERROR(VLOOKUP("906-394000-210",B:AB,2+8,0),0)</f>
        <v>0</v>
      </c>
      <c r="L1559">
        <f>IFERROR(VLOOKUP("906-394000-210",B:AB,3+8,0),0)</f>
        <v>0</v>
      </c>
      <c r="M1559">
        <f>IFERROR(VLOOKUP("906-394000-210",B:AB,4+8,0),0)</f>
        <v>0</v>
      </c>
      <c r="N1559">
        <f>IFERROR(VLOOKUP("906-394000-210",B:AB,5+8,0),0)</f>
        <v>0</v>
      </c>
      <c r="O1559">
        <f>IFERROR(VLOOKUP("906-394000-210",B:AB,6+8,0),0)</f>
        <v>0</v>
      </c>
      <c r="P1559">
        <f>IFERROR(VLOOKUP("906-394000-210",B:AB,7+8,0),0)</f>
        <v>0</v>
      </c>
      <c r="Q1559">
        <f>IFERROR(VLOOKUP("906-394000-210",B:AB,8+8,0),0)</f>
        <v>0</v>
      </c>
      <c r="R1559">
        <f>IFERROR(VLOOKUP("906-394000-210",B:AB,9+8,0),0)</f>
        <v>0</v>
      </c>
      <c r="S1559">
        <f>IFERROR(VLOOKUP("906-394000-210",B:AB,10+8,0),0)</f>
        <v>0</v>
      </c>
      <c r="T1559">
        <f>IFERROR(VLOOKUP("906-394000-210",B:AB,11+8,0),0)</f>
        <v>0</v>
      </c>
      <c r="U1559">
        <f>IFERROR(VLOOKUP("906-394000-210",B:AB,12+8,0),0)</f>
        <v>0</v>
      </c>
      <c r="V1559">
        <f>IFERROR(VLOOKUP("906-394000-210",B:AB,13+8,0),0)</f>
        <v>0</v>
      </c>
      <c r="W1559">
        <f>IFERROR(VLOOKUP("906-394000-210",B:AB,14+8,0),0)</f>
        <v>0</v>
      </c>
      <c r="X1559">
        <f>IFERROR(VLOOKUP("906-394000-210",B:AB,15+8,0),0)</f>
        <v>0</v>
      </c>
      <c r="Y1559">
        <f>IFERROR(VLOOKUP("906-394000-210",B:AB,16+8,0),0)</f>
        <v>0</v>
      </c>
      <c r="Z1559">
        <f>IFERROR(VLOOKUP("906-394000-210",B:AB,17+8,0),0)</f>
        <v>0</v>
      </c>
      <c r="AA1559">
        <f>IFERROR(VLOOKUP("906-394000-210",B:AB,18+8,0),0)</f>
        <v>0</v>
      </c>
      <c r="AB1559">
        <f>IFERROR(VLOOKUP("906-394000-210",B:AB,19+8,0),0)</f>
        <v>0</v>
      </c>
      <c r="AC1559">
        <f>IFERROR(VLOOKUP("906-394000-210",B:AB,20+8,0),0)</f>
        <v>0</v>
      </c>
      <c r="AD1559">
        <f>IFERROR(VLOOKUP("906-394000-210",B:AB,21+8,0),0)</f>
        <v>0</v>
      </c>
      <c r="AE1559">
        <f>IFERROR(VLOOKUP("906-394000-210",B:AB,22+8,0),0)</f>
        <v>0</v>
      </c>
      <c r="AF1559">
        <f>IFERROR(VLOOKUP("906-394000-210",B:AB,23+8,0),0)</f>
        <v>0</v>
      </c>
      <c r="AG1559">
        <f>IFERROR(VLOOKUP("906-394000-210",B:AB,24+8,0),0)</f>
        <v>0</v>
      </c>
      <c r="AH1559">
        <f>IFERROR(VLOOKUP("906-394000-210",B:AB,25+8,0),0)</f>
        <v>0</v>
      </c>
      <c r="AI1559">
        <f>IFERROR(VLOOKUP("906-394000-210",B:AB,26+8,0),0)</f>
        <v>0</v>
      </c>
      <c r="AJ1559">
        <f>IFERROR(VLOOKUP("906-394000-210",B:AB,27+8,0),0)</f>
        <v>0</v>
      </c>
      <c r="AK1559">
        <f>IFERROR(VLOOKUP("906-394000-210",B:AB,28+8,0),0)</f>
        <v>0</v>
      </c>
      <c r="AL1559">
        <f>IFERROR(VLOOKUP("906-394000-210",B:AB,29+8,0),0)</f>
        <v>0</v>
      </c>
      <c r="AM1559">
        <f>IFERROR(VLOOKUP("906-394000-210",B:AB,30+8,0),0)</f>
        <v>0</v>
      </c>
      <c r="AN1559">
        <f>IFERROR(VLOOKUP("906-394000-210",B:AB,31+8,0),0)</f>
        <v>0</v>
      </c>
      <c r="AO1559">
        <f>SUN(INDIRECT(ADDRESS(1558,8)):INDIRECT(ADDRESS(1558,39)))</f>
        <v>0</v>
      </c>
    </row>
    <row r="1560" spans="1:41">
      <c r="H1560" t="s">
        <v>179</v>
      </c>
      <c r="J1560">
        <f>INDIRECT(ADDRESS(1560,9))+INDIRECT(ADDRESS(1558,10))-INDIRECT(ADDRESS(1559,10))</f>
        <v>0</v>
      </c>
      <c r="K1560">
        <f>INDIRECT(ADDRESS(1560,10))+INDIRECT(ADDRESS(1558,11))-INDIRECT(ADDRESS(1559,11))</f>
        <v>0</v>
      </c>
      <c r="L1560">
        <f>INDIRECT(ADDRESS(1560,11))+INDIRECT(ADDRESS(1558,12))-INDIRECT(ADDRESS(1559,12))</f>
        <v>0</v>
      </c>
      <c r="M1560">
        <f>INDIRECT(ADDRESS(1560,12))+INDIRECT(ADDRESS(1558,13))-INDIRECT(ADDRESS(1559,13))</f>
        <v>0</v>
      </c>
      <c r="N1560">
        <f>INDIRECT(ADDRESS(1560,13))+INDIRECT(ADDRESS(1558,14))-INDIRECT(ADDRESS(1559,14))</f>
        <v>0</v>
      </c>
      <c r="O1560">
        <f>INDIRECT(ADDRESS(1560,14))+INDIRECT(ADDRESS(1558,15))-INDIRECT(ADDRESS(1559,15))</f>
        <v>0</v>
      </c>
      <c r="P1560">
        <f>INDIRECT(ADDRESS(1560,15))+INDIRECT(ADDRESS(1558,16))-INDIRECT(ADDRESS(1559,16))</f>
        <v>0</v>
      </c>
      <c r="Q1560">
        <f>INDIRECT(ADDRESS(1560,16))+INDIRECT(ADDRESS(1558,17))-INDIRECT(ADDRESS(1559,17))</f>
        <v>0</v>
      </c>
      <c r="R1560">
        <f>INDIRECT(ADDRESS(1560,17))+INDIRECT(ADDRESS(1558,18))-INDIRECT(ADDRESS(1559,18))</f>
        <v>0</v>
      </c>
      <c r="S1560">
        <f>INDIRECT(ADDRESS(1560,18))+INDIRECT(ADDRESS(1558,19))-INDIRECT(ADDRESS(1559,19))</f>
        <v>0</v>
      </c>
      <c r="T1560">
        <f>INDIRECT(ADDRESS(1560,19))+INDIRECT(ADDRESS(1558,20))-INDIRECT(ADDRESS(1559,20))</f>
        <v>0</v>
      </c>
      <c r="U1560">
        <f>INDIRECT(ADDRESS(1560,20))+INDIRECT(ADDRESS(1558,21))-INDIRECT(ADDRESS(1559,21))</f>
        <v>0</v>
      </c>
      <c r="V1560">
        <f>INDIRECT(ADDRESS(1560,21))+INDIRECT(ADDRESS(1558,22))-INDIRECT(ADDRESS(1559,22))</f>
        <v>0</v>
      </c>
      <c r="W1560">
        <f>INDIRECT(ADDRESS(1560,22))+INDIRECT(ADDRESS(1558,23))-INDIRECT(ADDRESS(1559,23))</f>
        <v>0</v>
      </c>
      <c r="X1560">
        <f>INDIRECT(ADDRESS(1560,23))+INDIRECT(ADDRESS(1558,24))-INDIRECT(ADDRESS(1559,24))</f>
        <v>0</v>
      </c>
      <c r="Y1560">
        <f>INDIRECT(ADDRESS(1560,24))+INDIRECT(ADDRESS(1558,25))-INDIRECT(ADDRESS(1559,25))</f>
        <v>0</v>
      </c>
      <c r="Z1560">
        <f>INDIRECT(ADDRESS(1560,25))+INDIRECT(ADDRESS(1558,26))-INDIRECT(ADDRESS(1559,26))</f>
        <v>0</v>
      </c>
      <c r="AA1560">
        <f>INDIRECT(ADDRESS(1560,26))+INDIRECT(ADDRESS(1558,27))-INDIRECT(ADDRESS(1559,27))</f>
        <v>0</v>
      </c>
      <c r="AB1560">
        <f>INDIRECT(ADDRESS(1560,27))+INDIRECT(ADDRESS(1558,28))-INDIRECT(ADDRESS(1559,28))</f>
        <v>0</v>
      </c>
      <c r="AC1560">
        <f>INDIRECT(ADDRESS(1560,28))+INDIRECT(ADDRESS(1558,29))-INDIRECT(ADDRESS(1559,29))</f>
        <v>0</v>
      </c>
      <c r="AD1560">
        <f>INDIRECT(ADDRESS(1560,29))+INDIRECT(ADDRESS(1558,30))-INDIRECT(ADDRESS(1559,30))</f>
        <v>0</v>
      </c>
      <c r="AE1560">
        <f>INDIRECT(ADDRESS(1560,30))+INDIRECT(ADDRESS(1558,31))-INDIRECT(ADDRESS(1559,31))</f>
        <v>0</v>
      </c>
      <c r="AF1560">
        <f>INDIRECT(ADDRESS(1560,31))+INDIRECT(ADDRESS(1558,32))-INDIRECT(ADDRESS(1559,32))</f>
        <v>0</v>
      </c>
      <c r="AG1560">
        <f>INDIRECT(ADDRESS(1560,32))+INDIRECT(ADDRESS(1558,33))-INDIRECT(ADDRESS(1559,33))</f>
        <v>0</v>
      </c>
      <c r="AH1560">
        <f>INDIRECT(ADDRESS(1560,33))+INDIRECT(ADDRESS(1558,34))-INDIRECT(ADDRESS(1559,34))</f>
        <v>0</v>
      </c>
      <c r="AI1560">
        <f>INDIRECT(ADDRESS(1560,34))+INDIRECT(ADDRESS(1558,35))-INDIRECT(ADDRESS(1559,35))</f>
        <v>0</v>
      </c>
      <c r="AJ1560">
        <f>INDIRECT(ADDRESS(1560,35))+INDIRECT(ADDRESS(1558,36))-INDIRECT(ADDRESS(1559,36))</f>
        <v>0</v>
      </c>
      <c r="AK1560">
        <f>INDIRECT(ADDRESS(1560,36))+INDIRECT(ADDRESS(1558,37))-INDIRECT(ADDRESS(1559,37))</f>
        <v>0</v>
      </c>
      <c r="AL1560">
        <f>INDIRECT(ADDRESS(1560,37))+INDIRECT(ADDRESS(1558,38))-INDIRECT(ADDRESS(1559,38))</f>
        <v>0</v>
      </c>
      <c r="AM1560">
        <f>INDIRECT(ADDRESS(1560,38))+INDIRECT(ADDRESS(1558,39))-INDIRECT(ADDRESS(1559,39))</f>
        <v>0</v>
      </c>
      <c r="AN1560">
        <f>INDIRECT(ADDRESS(1560,39))+INDIRECT(ADDRESS(1558,40))-INDIRECT(ADDRESS(1559,40))</f>
        <v>0</v>
      </c>
      <c r="AO1560">
        <f>SUM(INDIRECT(ADDRESS(1559,8)):INDIRECT(ADDRESS(1559,39)))</f>
        <v>0</v>
      </c>
    </row>
    <row r="1561" spans="1:41">
      <c r="A1561" t="s">
        <v>206</v>
      </c>
      <c r="B1561" t="s">
        <v>120</v>
      </c>
      <c r="C1561" t="s">
        <v>734</v>
      </c>
      <c r="E1561">
        <v>0.012987013</v>
      </c>
      <c r="I1561" t="s">
        <v>177</v>
      </c>
    </row>
    <row r="1562" spans="1:41">
      <c r="I1562" t="s">
        <v>178</v>
      </c>
      <c r="J1562">
        <f>IFERROR(VLOOKUP("906-394000-210",B:AB,1+8,0),0)</f>
        <v>0</v>
      </c>
      <c r="K1562">
        <f>IFERROR(VLOOKUP("906-394000-210",B:AB,2+8,0),0)</f>
        <v>0</v>
      </c>
      <c r="L1562">
        <f>IFERROR(VLOOKUP("906-394000-210",B:AB,3+8,0),0)</f>
        <v>0</v>
      </c>
      <c r="M1562">
        <f>IFERROR(VLOOKUP("906-394000-210",B:AB,4+8,0),0)</f>
        <v>0</v>
      </c>
      <c r="N1562">
        <f>IFERROR(VLOOKUP("906-394000-210",B:AB,5+8,0),0)</f>
        <v>0</v>
      </c>
      <c r="O1562">
        <f>IFERROR(VLOOKUP("906-394000-210",B:AB,6+8,0),0)</f>
        <v>0</v>
      </c>
      <c r="P1562">
        <f>IFERROR(VLOOKUP("906-394000-210",B:AB,7+8,0),0)</f>
        <v>0</v>
      </c>
      <c r="Q1562">
        <f>IFERROR(VLOOKUP("906-394000-210",B:AB,8+8,0),0)</f>
        <v>0</v>
      </c>
      <c r="R1562">
        <f>IFERROR(VLOOKUP("906-394000-210",B:AB,9+8,0),0)</f>
        <v>0</v>
      </c>
      <c r="S1562">
        <f>IFERROR(VLOOKUP("906-394000-210",B:AB,10+8,0),0)</f>
        <v>0</v>
      </c>
      <c r="T1562">
        <f>IFERROR(VLOOKUP("906-394000-210",B:AB,11+8,0),0)</f>
        <v>0</v>
      </c>
      <c r="U1562">
        <f>IFERROR(VLOOKUP("906-394000-210",B:AB,12+8,0),0)</f>
        <v>0</v>
      </c>
      <c r="V1562">
        <f>IFERROR(VLOOKUP("906-394000-210",B:AB,13+8,0),0)</f>
        <v>0</v>
      </c>
      <c r="W1562">
        <f>IFERROR(VLOOKUP("906-394000-210",B:AB,14+8,0),0)</f>
        <v>0</v>
      </c>
      <c r="X1562">
        <f>IFERROR(VLOOKUP("906-394000-210",B:AB,15+8,0),0)</f>
        <v>0</v>
      </c>
      <c r="Y1562">
        <f>IFERROR(VLOOKUP("906-394000-210",B:AB,16+8,0),0)</f>
        <v>0</v>
      </c>
      <c r="Z1562">
        <f>IFERROR(VLOOKUP("906-394000-210",B:AB,17+8,0),0)</f>
        <v>0</v>
      </c>
      <c r="AA1562">
        <f>IFERROR(VLOOKUP("906-394000-210",B:AB,18+8,0),0)</f>
        <v>0</v>
      </c>
      <c r="AB1562">
        <f>IFERROR(VLOOKUP("906-394000-210",B:AB,19+8,0),0)</f>
        <v>0</v>
      </c>
      <c r="AC1562">
        <f>IFERROR(VLOOKUP("906-394000-210",B:AB,20+8,0),0)</f>
        <v>0</v>
      </c>
      <c r="AD1562">
        <f>IFERROR(VLOOKUP("906-394000-210",B:AB,21+8,0),0)</f>
        <v>0</v>
      </c>
      <c r="AE1562">
        <f>IFERROR(VLOOKUP("906-394000-210",B:AB,22+8,0),0)</f>
        <v>0</v>
      </c>
      <c r="AF1562">
        <f>IFERROR(VLOOKUP("906-394000-210",B:AB,23+8,0),0)</f>
        <v>0</v>
      </c>
      <c r="AG1562">
        <f>IFERROR(VLOOKUP("906-394000-210",B:AB,24+8,0),0)</f>
        <v>0</v>
      </c>
      <c r="AH1562">
        <f>IFERROR(VLOOKUP("906-394000-210",B:AB,25+8,0),0)</f>
        <v>0</v>
      </c>
      <c r="AI1562">
        <f>IFERROR(VLOOKUP("906-394000-210",B:AB,26+8,0),0)</f>
        <v>0</v>
      </c>
      <c r="AJ1562">
        <f>IFERROR(VLOOKUP("906-394000-210",B:AB,27+8,0),0)</f>
        <v>0</v>
      </c>
      <c r="AK1562">
        <f>IFERROR(VLOOKUP("906-394000-210",B:AB,28+8,0),0)</f>
        <v>0</v>
      </c>
      <c r="AL1562">
        <f>IFERROR(VLOOKUP("906-394000-210",B:AB,29+8,0),0)</f>
        <v>0</v>
      </c>
      <c r="AM1562">
        <f>IFERROR(VLOOKUP("906-394000-210",B:AB,30+8,0),0)</f>
        <v>0</v>
      </c>
      <c r="AN1562">
        <f>IFERROR(VLOOKUP("906-394000-210",B:AB,31+8,0),0)</f>
        <v>0</v>
      </c>
      <c r="AO1562">
        <f>SUN(INDIRECT(ADDRESS(1561,8)):INDIRECT(ADDRESS(1561,39)))</f>
        <v>0</v>
      </c>
    </row>
    <row r="1563" spans="1:41">
      <c r="H1563" t="s">
        <v>179</v>
      </c>
      <c r="J1563">
        <f>INDIRECT(ADDRESS(1563,9))+INDIRECT(ADDRESS(1561,10))-INDIRECT(ADDRESS(1562,10))</f>
        <v>0</v>
      </c>
      <c r="K1563">
        <f>INDIRECT(ADDRESS(1563,10))+INDIRECT(ADDRESS(1561,11))-INDIRECT(ADDRESS(1562,11))</f>
        <v>0</v>
      </c>
      <c r="L1563">
        <f>INDIRECT(ADDRESS(1563,11))+INDIRECT(ADDRESS(1561,12))-INDIRECT(ADDRESS(1562,12))</f>
        <v>0</v>
      </c>
      <c r="M1563">
        <f>INDIRECT(ADDRESS(1563,12))+INDIRECT(ADDRESS(1561,13))-INDIRECT(ADDRESS(1562,13))</f>
        <v>0</v>
      </c>
      <c r="N1563">
        <f>INDIRECT(ADDRESS(1563,13))+INDIRECT(ADDRESS(1561,14))-INDIRECT(ADDRESS(1562,14))</f>
        <v>0</v>
      </c>
      <c r="O1563">
        <f>INDIRECT(ADDRESS(1563,14))+INDIRECT(ADDRESS(1561,15))-INDIRECT(ADDRESS(1562,15))</f>
        <v>0</v>
      </c>
      <c r="P1563">
        <f>INDIRECT(ADDRESS(1563,15))+INDIRECT(ADDRESS(1561,16))-INDIRECT(ADDRESS(1562,16))</f>
        <v>0</v>
      </c>
      <c r="Q1563">
        <f>INDIRECT(ADDRESS(1563,16))+INDIRECT(ADDRESS(1561,17))-INDIRECT(ADDRESS(1562,17))</f>
        <v>0</v>
      </c>
      <c r="R1563">
        <f>INDIRECT(ADDRESS(1563,17))+INDIRECT(ADDRESS(1561,18))-INDIRECT(ADDRESS(1562,18))</f>
        <v>0</v>
      </c>
      <c r="S1563">
        <f>INDIRECT(ADDRESS(1563,18))+INDIRECT(ADDRESS(1561,19))-INDIRECT(ADDRESS(1562,19))</f>
        <v>0</v>
      </c>
      <c r="T1563">
        <f>INDIRECT(ADDRESS(1563,19))+INDIRECT(ADDRESS(1561,20))-INDIRECT(ADDRESS(1562,20))</f>
        <v>0</v>
      </c>
      <c r="U1563">
        <f>INDIRECT(ADDRESS(1563,20))+INDIRECT(ADDRESS(1561,21))-INDIRECT(ADDRESS(1562,21))</f>
        <v>0</v>
      </c>
      <c r="V1563">
        <f>INDIRECT(ADDRESS(1563,21))+INDIRECT(ADDRESS(1561,22))-INDIRECT(ADDRESS(1562,22))</f>
        <v>0</v>
      </c>
      <c r="W1563">
        <f>INDIRECT(ADDRESS(1563,22))+INDIRECT(ADDRESS(1561,23))-INDIRECT(ADDRESS(1562,23))</f>
        <v>0</v>
      </c>
      <c r="X1563">
        <f>INDIRECT(ADDRESS(1563,23))+INDIRECT(ADDRESS(1561,24))-INDIRECT(ADDRESS(1562,24))</f>
        <v>0</v>
      </c>
      <c r="Y1563">
        <f>INDIRECT(ADDRESS(1563,24))+INDIRECT(ADDRESS(1561,25))-INDIRECT(ADDRESS(1562,25))</f>
        <v>0</v>
      </c>
      <c r="Z1563">
        <f>INDIRECT(ADDRESS(1563,25))+INDIRECT(ADDRESS(1561,26))-INDIRECT(ADDRESS(1562,26))</f>
        <v>0</v>
      </c>
      <c r="AA1563">
        <f>INDIRECT(ADDRESS(1563,26))+INDIRECT(ADDRESS(1561,27))-INDIRECT(ADDRESS(1562,27))</f>
        <v>0</v>
      </c>
      <c r="AB1563">
        <f>INDIRECT(ADDRESS(1563,27))+INDIRECT(ADDRESS(1561,28))-INDIRECT(ADDRESS(1562,28))</f>
        <v>0</v>
      </c>
      <c r="AC1563">
        <f>INDIRECT(ADDRESS(1563,28))+INDIRECT(ADDRESS(1561,29))-INDIRECT(ADDRESS(1562,29))</f>
        <v>0</v>
      </c>
      <c r="AD1563">
        <f>INDIRECT(ADDRESS(1563,29))+INDIRECT(ADDRESS(1561,30))-INDIRECT(ADDRESS(1562,30))</f>
        <v>0</v>
      </c>
      <c r="AE1563">
        <f>INDIRECT(ADDRESS(1563,30))+INDIRECT(ADDRESS(1561,31))-INDIRECT(ADDRESS(1562,31))</f>
        <v>0</v>
      </c>
      <c r="AF1563">
        <f>INDIRECT(ADDRESS(1563,31))+INDIRECT(ADDRESS(1561,32))-INDIRECT(ADDRESS(1562,32))</f>
        <v>0</v>
      </c>
      <c r="AG1563">
        <f>INDIRECT(ADDRESS(1563,32))+INDIRECT(ADDRESS(1561,33))-INDIRECT(ADDRESS(1562,33))</f>
        <v>0</v>
      </c>
      <c r="AH1563">
        <f>INDIRECT(ADDRESS(1563,33))+INDIRECT(ADDRESS(1561,34))-INDIRECT(ADDRESS(1562,34))</f>
        <v>0</v>
      </c>
      <c r="AI1563">
        <f>INDIRECT(ADDRESS(1563,34))+INDIRECT(ADDRESS(1561,35))-INDIRECT(ADDRESS(1562,35))</f>
        <v>0</v>
      </c>
      <c r="AJ1563">
        <f>INDIRECT(ADDRESS(1563,35))+INDIRECT(ADDRESS(1561,36))-INDIRECT(ADDRESS(1562,36))</f>
        <v>0</v>
      </c>
      <c r="AK1563">
        <f>INDIRECT(ADDRESS(1563,36))+INDIRECT(ADDRESS(1561,37))-INDIRECT(ADDRESS(1562,37))</f>
        <v>0</v>
      </c>
      <c r="AL1563">
        <f>INDIRECT(ADDRESS(1563,37))+INDIRECT(ADDRESS(1561,38))-INDIRECT(ADDRESS(1562,38))</f>
        <v>0</v>
      </c>
      <c r="AM1563">
        <f>INDIRECT(ADDRESS(1563,38))+INDIRECT(ADDRESS(1561,39))-INDIRECT(ADDRESS(1562,39))</f>
        <v>0</v>
      </c>
      <c r="AN1563">
        <f>INDIRECT(ADDRESS(1563,39))+INDIRECT(ADDRESS(1561,40))-INDIRECT(ADDRESS(1562,40))</f>
        <v>0</v>
      </c>
      <c r="AO1563">
        <f>SUM(INDIRECT(ADDRESS(1562,8)):INDIRECT(ADDRESS(1562,39)))</f>
        <v>0</v>
      </c>
    </row>
    <row r="1564" spans="1:41">
      <c r="A1564" t="s">
        <v>8</v>
      </c>
      <c r="B1564" t="s">
        <v>120</v>
      </c>
      <c r="C1564" t="s">
        <v>121</v>
      </c>
      <c r="E1564">
        <v>1</v>
      </c>
      <c r="I1564" t="s">
        <v>177</v>
      </c>
    </row>
    <row r="1565" spans="1:41">
      <c r="I1565" t="s">
        <v>178</v>
      </c>
      <c r="J1565">
        <f>IFERROR(VLOOKUP("211-020200-000",Out!B:AB,1+8,0),0)</f>
        <v>0</v>
      </c>
      <c r="K1565">
        <f>IFERROR(VLOOKUP("211-020200-000",Out!B:AB,2+8,0),0)</f>
        <v>0</v>
      </c>
      <c r="L1565">
        <f>IFERROR(VLOOKUP("211-020200-000",Out!B:AB,3+8,0),0)</f>
        <v>0</v>
      </c>
      <c r="M1565">
        <f>IFERROR(VLOOKUP("211-020200-000",Out!B:AB,4+8,0),0)</f>
        <v>0</v>
      </c>
      <c r="N1565">
        <f>IFERROR(VLOOKUP("211-020200-000",Out!B:AB,5+8,0),0)</f>
        <v>0</v>
      </c>
      <c r="O1565">
        <f>IFERROR(VLOOKUP("211-020200-000",Out!B:AB,6+8,0),0)</f>
        <v>0</v>
      </c>
      <c r="P1565">
        <f>IFERROR(VLOOKUP("211-020200-000",Out!B:AB,7+8,0),0)</f>
        <v>0</v>
      </c>
      <c r="Q1565">
        <f>IFERROR(VLOOKUP("211-020200-000",Out!B:AB,8+8,0),0)</f>
        <v>0</v>
      </c>
      <c r="R1565">
        <f>IFERROR(VLOOKUP("211-020200-000",Out!B:AB,9+8,0),0)</f>
        <v>0</v>
      </c>
      <c r="S1565">
        <f>IFERROR(VLOOKUP("211-020200-000",Out!B:AB,10+8,0),0)</f>
        <v>0</v>
      </c>
      <c r="T1565">
        <f>IFERROR(VLOOKUP("211-020200-000",Out!B:AB,11+8,0),0)</f>
        <v>0</v>
      </c>
      <c r="U1565">
        <f>IFERROR(VLOOKUP("211-020200-000",Out!B:AB,12+8,0),0)</f>
        <v>0</v>
      </c>
      <c r="V1565">
        <f>IFERROR(VLOOKUP("211-020200-000",Out!B:AB,13+8,0),0)</f>
        <v>0</v>
      </c>
      <c r="W1565">
        <f>IFERROR(VLOOKUP("211-020200-000",Out!B:AB,14+8,0),0)</f>
        <v>0</v>
      </c>
      <c r="X1565">
        <f>IFERROR(VLOOKUP("211-020200-000",Out!B:AB,15+8,0),0)</f>
        <v>0</v>
      </c>
      <c r="Y1565">
        <f>IFERROR(VLOOKUP("211-020200-000",Out!B:AB,16+8,0),0)</f>
        <v>0</v>
      </c>
      <c r="Z1565">
        <f>IFERROR(VLOOKUP("211-020200-000",Out!B:AB,17+8,0),0)</f>
        <v>0</v>
      </c>
      <c r="AA1565">
        <f>IFERROR(VLOOKUP("211-020200-000",Out!B:AB,18+8,0),0)</f>
        <v>0</v>
      </c>
      <c r="AB1565">
        <f>IFERROR(VLOOKUP("211-020200-000",Out!B:AB,19+8,0),0)</f>
        <v>0</v>
      </c>
      <c r="AC1565">
        <f>IFERROR(VLOOKUP("211-020200-000",Out!B:AB,20+8,0),0)</f>
        <v>0</v>
      </c>
      <c r="AD1565">
        <f>IFERROR(VLOOKUP("211-020200-000",Out!B:AB,21+8,0),0)</f>
        <v>0</v>
      </c>
      <c r="AE1565">
        <f>IFERROR(VLOOKUP("211-020200-000",Out!B:AB,22+8,0),0)</f>
        <v>0</v>
      </c>
      <c r="AF1565">
        <f>IFERROR(VLOOKUP("211-020200-000",Out!B:AB,23+8,0),0)</f>
        <v>0</v>
      </c>
      <c r="AG1565">
        <f>IFERROR(VLOOKUP("211-020200-000",Out!B:AB,24+8,0),0)</f>
        <v>0</v>
      </c>
      <c r="AH1565">
        <f>IFERROR(VLOOKUP("211-020200-000",Out!B:AB,25+8,0),0)</f>
        <v>0</v>
      </c>
      <c r="AI1565">
        <f>IFERROR(VLOOKUP("211-020200-000",Out!B:AB,26+8,0),0)</f>
        <v>0</v>
      </c>
      <c r="AJ1565">
        <f>IFERROR(VLOOKUP("211-020200-000",Out!B:AB,27+8,0),0)</f>
        <v>0</v>
      </c>
      <c r="AK1565">
        <f>IFERROR(VLOOKUP("211-020200-000",Out!B:AB,28+8,0),0)</f>
        <v>0</v>
      </c>
      <c r="AL1565">
        <f>IFERROR(VLOOKUP("211-020200-000",Out!B:AB,29+8,0),0)</f>
        <v>0</v>
      </c>
      <c r="AM1565">
        <f>IFERROR(VLOOKUP("211-020200-000",Out!B:AB,30+8,0),0)</f>
        <v>0</v>
      </c>
      <c r="AN1565">
        <f>IFERROR(VLOOKUP("211-020200-000",Out!B:AB,31+8,0),0)</f>
        <v>0</v>
      </c>
      <c r="AO1565">
        <f>SUN(INDIRECT(ADDRESS(1564,8)):INDIRECT(ADDRESS(1564,39)))</f>
        <v>0</v>
      </c>
    </row>
    <row r="1566" spans="1:41">
      <c r="H1566" t="s">
        <v>179</v>
      </c>
      <c r="J1566">
        <f>INDIRECT(ADDRESS(1566,9))+INDIRECT(ADDRESS(1564,10))-INDIRECT(ADDRESS(1565,10))</f>
        <v>0</v>
      </c>
      <c r="K1566">
        <f>INDIRECT(ADDRESS(1566,10))+INDIRECT(ADDRESS(1564,11))-INDIRECT(ADDRESS(1565,11))</f>
        <v>0</v>
      </c>
      <c r="L1566">
        <f>INDIRECT(ADDRESS(1566,11))+INDIRECT(ADDRESS(1564,12))-INDIRECT(ADDRESS(1565,12))</f>
        <v>0</v>
      </c>
      <c r="M1566">
        <f>INDIRECT(ADDRESS(1566,12))+INDIRECT(ADDRESS(1564,13))-INDIRECT(ADDRESS(1565,13))</f>
        <v>0</v>
      </c>
      <c r="N1566">
        <f>INDIRECT(ADDRESS(1566,13))+INDIRECT(ADDRESS(1564,14))-INDIRECT(ADDRESS(1565,14))</f>
        <v>0</v>
      </c>
      <c r="O1566">
        <f>INDIRECT(ADDRESS(1566,14))+INDIRECT(ADDRESS(1564,15))-INDIRECT(ADDRESS(1565,15))</f>
        <v>0</v>
      </c>
      <c r="P1566">
        <f>INDIRECT(ADDRESS(1566,15))+INDIRECT(ADDRESS(1564,16))-INDIRECT(ADDRESS(1565,16))</f>
        <v>0</v>
      </c>
      <c r="Q1566">
        <f>INDIRECT(ADDRESS(1566,16))+INDIRECT(ADDRESS(1564,17))-INDIRECT(ADDRESS(1565,17))</f>
        <v>0</v>
      </c>
      <c r="R1566">
        <f>INDIRECT(ADDRESS(1566,17))+INDIRECT(ADDRESS(1564,18))-INDIRECT(ADDRESS(1565,18))</f>
        <v>0</v>
      </c>
      <c r="S1566">
        <f>INDIRECT(ADDRESS(1566,18))+INDIRECT(ADDRESS(1564,19))-INDIRECT(ADDRESS(1565,19))</f>
        <v>0</v>
      </c>
      <c r="T1566">
        <f>INDIRECT(ADDRESS(1566,19))+INDIRECT(ADDRESS(1564,20))-INDIRECT(ADDRESS(1565,20))</f>
        <v>0</v>
      </c>
      <c r="U1566">
        <f>INDIRECT(ADDRESS(1566,20))+INDIRECT(ADDRESS(1564,21))-INDIRECT(ADDRESS(1565,21))</f>
        <v>0</v>
      </c>
      <c r="V1566">
        <f>INDIRECT(ADDRESS(1566,21))+INDIRECT(ADDRESS(1564,22))-INDIRECT(ADDRESS(1565,22))</f>
        <v>0</v>
      </c>
      <c r="W1566">
        <f>INDIRECT(ADDRESS(1566,22))+INDIRECT(ADDRESS(1564,23))-INDIRECT(ADDRESS(1565,23))</f>
        <v>0</v>
      </c>
      <c r="X1566">
        <f>INDIRECT(ADDRESS(1566,23))+INDIRECT(ADDRESS(1564,24))-INDIRECT(ADDRESS(1565,24))</f>
        <v>0</v>
      </c>
      <c r="Y1566">
        <f>INDIRECT(ADDRESS(1566,24))+INDIRECT(ADDRESS(1564,25))-INDIRECT(ADDRESS(1565,25))</f>
        <v>0</v>
      </c>
      <c r="Z1566">
        <f>INDIRECT(ADDRESS(1566,25))+INDIRECT(ADDRESS(1564,26))-INDIRECT(ADDRESS(1565,26))</f>
        <v>0</v>
      </c>
      <c r="AA1566">
        <f>INDIRECT(ADDRESS(1566,26))+INDIRECT(ADDRESS(1564,27))-INDIRECT(ADDRESS(1565,27))</f>
        <v>0</v>
      </c>
      <c r="AB1566">
        <f>INDIRECT(ADDRESS(1566,27))+INDIRECT(ADDRESS(1564,28))-INDIRECT(ADDRESS(1565,28))</f>
        <v>0</v>
      </c>
      <c r="AC1566">
        <f>INDIRECT(ADDRESS(1566,28))+INDIRECT(ADDRESS(1564,29))-INDIRECT(ADDRESS(1565,29))</f>
        <v>0</v>
      </c>
      <c r="AD1566">
        <f>INDIRECT(ADDRESS(1566,29))+INDIRECT(ADDRESS(1564,30))-INDIRECT(ADDRESS(1565,30))</f>
        <v>0</v>
      </c>
      <c r="AE1566">
        <f>INDIRECT(ADDRESS(1566,30))+INDIRECT(ADDRESS(1564,31))-INDIRECT(ADDRESS(1565,31))</f>
        <v>0</v>
      </c>
      <c r="AF1566">
        <f>INDIRECT(ADDRESS(1566,31))+INDIRECT(ADDRESS(1564,32))-INDIRECT(ADDRESS(1565,32))</f>
        <v>0</v>
      </c>
      <c r="AG1566">
        <f>INDIRECT(ADDRESS(1566,32))+INDIRECT(ADDRESS(1564,33))-INDIRECT(ADDRESS(1565,33))</f>
        <v>0</v>
      </c>
      <c r="AH1566">
        <f>INDIRECT(ADDRESS(1566,33))+INDIRECT(ADDRESS(1564,34))-INDIRECT(ADDRESS(1565,34))</f>
        <v>0</v>
      </c>
      <c r="AI1566">
        <f>INDIRECT(ADDRESS(1566,34))+INDIRECT(ADDRESS(1564,35))-INDIRECT(ADDRESS(1565,35))</f>
        <v>0</v>
      </c>
      <c r="AJ1566">
        <f>INDIRECT(ADDRESS(1566,35))+INDIRECT(ADDRESS(1564,36))-INDIRECT(ADDRESS(1565,36))</f>
        <v>0</v>
      </c>
      <c r="AK1566">
        <f>INDIRECT(ADDRESS(1566,36))+INDIRECT(ADDRESS(1564,37))-INDIRECT(ADDRESS(1565,37))</f>
        <v>0</v>
      </c>
      <c r="AL1566">
        <f>INDIRECT(ADDRESS(1566,37))+INDIRECT(ADDRESS(1564,38))-INDIRECT(ADDRESS(1565,38))</f>
        <v>0</v>
      </c>
      <c r="AM1566">
        <f>INDIRECT(ADDRESS(1566,38))+INDIRECT(ADDRESS(1564,39))-INDIRECT(ADDRESS(1565,39))</f>
        <v>0</v>
      </c>
      <c r="AN1566">
        <f>INDIRECT(ADDRESS(1566,39))+INDIRECT(ADDRESS(1564,40))-INDIRECT(ADDRESS(1565,40))</f>
        <v>0</v>
      </c>
      <c r="AO1566">
        <f>SUM(INDIRECT(ADDRESS(1565,8)):INDIRECT(ADDRESS(1565,39)))</f>
        <v>0</v>
      </c>
    </row>
    <row r="1567" spans="1:41">
      <c r="A1567" t="s">
        <v>185</v>
      </c>
      <c r="B1567" t="s">
        <v>120</v>
      </c>
      <c r="C1567" t="s">
        <v>735</v>
      </c>
      <c r="E1567">
        <v>1</v>
      </c>
      <c r="I1567" t="s">
        <v>177</v>
      </c>
    </row>
    <row r="1568" spans="1:41">
      <c r="I1568" t="s">
        <v>178</v>
      </c>
      <c r="J1568">
        <f>IFERROR(VLOOKUP("211-020200-000",B:AB,1+8,0),0)</f>
        <v>0</v>
      </c>
      <c r="K1568">
        <f>IFERROR(VLOOKUP("211-020200-000",B:AB,2+8,0),0)</f>
        <v>0</v>
      </c>
      <c r="L1568">
        <f>IFERROR(VLOOKUP("211-020200-000",B:AB,3+8,0),0)</f>
        <v>0</v>
      </c>
      <c r="M1568">
        <f>IFERROR(VLOOKUP("211-020200-000",B:AB,4+8,0),0)</f>
        <v>0</v>
      </c>
      <c r="N1568">
        <f>IFERROR(VLOOKUP("211-020200-000",B:AB,5+8,0),0)</f>
        <v>0</v>
      </c>
      <c r="O1568">
        <f>IFERROR(VLOOKUP("211-020200-000",B:AB,6+8,0),0)</f>
        <v>0</v>
      </c>
      <c r="P1568">
        <f>IFERROR(VLOOKUP("211-020200-000",B:AB,7+8,0),0)</f>
        <v>0</v>
      </c>
      <c r="Q1568">
        <f>IFERROR(VLOOKUP("211-020200-000",B:AB,8+8,0),0)</f>
        <v>0</v>
      </c>
      <c r="R1568">
        <f>IFERROR(VLOOKUP("211-020200-000",B:AB,9+8,0),0)</f>
        <v>0</v>
      </c>
      <c r="S1568">
        <f>IFERROR(VLOOKUP("211-020200-000",B:AB,10+8,0),0)</f>
        <v>0</v>
      </c>
      <c r="T1568">
        <f>IFERROR(VLOOKUP("211-020200-000",B:AB,11+8,0),0)</f>
        <v>0</v>
      </c>
      <c r="U1568">
        <f>IFERROR(VLOOKUP("211-020200-000",B:AB,12+8,0),0)</f>
        <v>0</v>
      </c>
      <c r="V1568">
        <f>IFERROR(VLOOKUP("211-020200-000",B:AB,13+8,0),0)</f>
        <v>0</v>
      </c>
      <c r="W1568">
        <f>IFERROR(VLOOKUP("211-020200-000",B:AB,14+8,0),0)</f>
        <v>0</v>
      </c>
      <c r="X1568">
        <f>IFERROR(VLOOKUP("211-020200-000",B:AB,15+8,0),0)</f>
        <v>0</v>
      </c>
      <c r="Y1568">
        <f>IFERROR(VLOOKUP("211-020200-000",B:AB,16+8,0),0)</f>
        <v>0</v>
      </c>
      <c r="Z1568">
        <f>IFERROR(VLOOKUP("211-020200-000",B:AB,17+8,0),0)</f>
        <v>0</v>
      </c>
      <c r="AA1568">
        <f>IFERROR(VLOOKUP("211-020200-000",B:AB,18+8,0),0)</f>
        <v>0</v>
      </c>
      <c r="AB1568">
        <f>IFERROR(VLOOKUP("211-020200-000",B:AB,19+8,0),0)</f>
        <v>0</v>
      </c>
      <c r="AC1568">
        <f>IFERROR(VLOOKUP("211-020200-000",B:AB,20+8,0),0)</f>
        <v>0</v>
      </c>
      <c r="AD1568">
        <f>IFERROR(VLOOKUP("211-020200-000",B:AB,21+8,0),0)</f>
        <v>0</v>
      </c>
      <c r="AE1568">
        <f>IFERROR(VLOOKUP("211-020200-000",B:AB,22+8,0),0)</f>
        <v>0</v>
      </c>
      <c r="AF1568">
        <f>IFERROR(VLOOKUP("211-020200-000",B:AB,23+8,0),0)</f>
        <v>0</v>
      </c>
      <c r="AG1568">
        <f>IFERROR(VLOOKUP("211-020200-000",B:AB,24+8,0),0)</f>
        <v>0</v>
      </c>
      <c r="AH1568">
        <f>IFERROR(VLOOKUP("211-020200-000",B:AB,25+8,0),0)</f>
        <v>0</v>
      </c>
      <c r="AI1568">
        <f>IFERROR(VLOOKUP("211-020200-000",B:AB,26+8,0),0)</f>
        <v>0</v>
      </c>
      <c r="AJ1568">
        <f>IFERROR(VLOOKUP("211-020200-000",B:AB,27+8,0),0)</f>
        <v>0</v>
      </c>
      <c r="AK1568">
        <f>IFERROR(VLOOKUP("211-020200-000",B:AB,28+8,0),0)</f>
        <v>0</v>
      </c>
      <c r="AL1568">
        <f>IFERROR(VLOOKUP("211-020200-000",B:AB,29+8,0),0)</f>
        <v>0</v>
      </c>
      <c r="AM1568">
        <f>IFERROR(VLOOKUP("211-020200-000",B:AB,30+8,0),0)</f>
        <v>0</v>
      </c>
      <c r="AN1568">
        <f>IFERROR(VLOOKUP("211-020200-000",B:AB,31+8,0),0)</f>
        <v>0</v>
      </c>
      <c r="AO1568">
        <f>SUN(INDIRECT(ADDRESS(1567,8)):INDIRECT(ADDRESS(1567,39)))</f>
        <v>0</v>
      </c>
    </row>
    <row r="1569" spans="1:41">
      <c r="H1569" t="s">
        <v>179</v>
      </c>
      <c r="J1569">
        <f>INDIRECT(ADDRESS(1569,9))+INDIRECT(ADDRESS(1567,10))-INDIRECT(ADDRESS(1568,10))</f>
        <v>0</v>
      </c>
      <c r="K1569">
        <f>INDIRECT(ADDRESS(1569,10))+INDIRECT(ADDRESS(1567,11))-INDIRECT(ADDRESS(1568,11))</f>
        <v>0</v>
      </c>
      <c r="L1569">
        <f>INDIRECT(ADDRESS(1569,11))+INDIRECT(ADDRESS(1567,12))-INDIRECT(ADDRESS(1568,12))</f>
        <v>0</v>
      </c>
      <c r="M1569">
        <f>INDIRECT(ADDRESS(1569,12))+INDIRECT(ADDRESS(1567,13))-INDIRECT(ADDRESS(1568,13))</f>
        <v>0</v>
      </c>
      <c r="N1569">
        <f>INDIRECT(ADDRESS(1569,13))+INDIRECT(ADDRESS(1567,14))-INDIRECT(ADDRESS(1568,14))</f>
        <v>0</v>
      </c>
      <c r="O1569">
        <f>INDIRECT(ADDRESS(1569,14))+INDIRECT(ADDRESS(1567,15))-INDIRECT(ADDRESS(1568,15))</f>
        <v>0</v>
      </c>
      <c r="P1569">
        <f>INDIRECT(ADDRESS(1569,15))+INDIRECT(ADDRESS(1567,16))-INDIRECT(ADDRESS(1568,16))</f>
        <v>0</v>
      </c>
      <c r="Q1569">
        <f>INDIRECT(ADDRESS(1569,16))+INDIRECT(ADDRESS(1567,17))-INDIRECT(ADDRESS(1568,17))</f>
        <v>0</v>
      </c>
      <c r="R1569">
        <f>INDIRECT(ADDRESS(1569,17))+INDIRECT(ADDRESS(1567,18))-INDIRECT(ADDRESS(1568,18))</f>
        <v>0</v>
      </c>
      <c r="S1569">
        <f>INDIRECT(ADDRESS(1569,18))+INDIRECT(ADDRESS(1567,19))-INDIRECT(ADDRESS(1568,19))</f>
        <v>0</v>
      </c>
      <c r="T1569">
        <f>INDIRECT(ADDRESS(1569,19))+INDIRECT(ADDRESS(1567,20))-INDIRECT(ADDRESS(1568,20))</f>
        <v>0</v>
      </c>
      <c r="U1569">
        <f>INDIRECT(ADDRESS(1569,20))+INDIRECT(ADDRESS(1567,21))-INDIRECT(ADDRESS(1568,21))</f>
        <v>0</v>
      </c>
      <c r="V1569">
        <f>INDIRECT(ADDRESS(1569,21))+INDIRECT(ADDRESS(1567,22))-INDIRECT(ADDRESS(1568,22))</f>
        <v>0</v>
      </c>
      <c r="W1569">
        <f>INDIRECT(ADDRESS(1569,22))+INDIRECT(ADDRESS(1567,23))-INDIRECT(ADDRESS(1568,23))</f>
        <v>0</v>
      </c>
      <c r="X1569">
        <f>INDIRECT(ADDRESS(1569,23))+INDIRECT(ADDRESS(1567,24))-INDIRECT(ADDRESS(1568,24))</f>
        <v>0</v>
      </c>
      <c r="Y1569">
        <f>INDIRECT(ADDRESS(1569,24))+INDIRECT(ADDRESS(1567,25))-INDIRECT(ADDRESS(1568,25))</f>
        <v>0</v>
      </c>
      <c r="Z1569">
        <f>INDIRECT(ADDRESS(1569,25))+INDIRECT(ADDRESS(1567,26))-INDIRECT(ADDRESS(1568,26))</f>
        <v>0</v>
      </c>
      <c r="AA1569">
        <f>INDIRECT(ADDRESS(1569,26))+INDIRECT(ADDRESS(1567,27))-INDIRECT(ADDRESS(1568,27))</f>
        <v>0</v>
      </c>
      <c r="AB1569">
        <f>INDIRECT(ADDRESS(1569,27))+INDIRECT(ADDRESS(1567,28))-INDIRECT(ADDRESS(1568,28))</f>
        <v>0</v>
      </c>
      <c r="AC1569">
        <f>INDIRECT(ADDRESS(1569,28))+INDIRECT(ADDRESS(1567,29))-INDIRECT(ADDRESS(1568,29))</f>
        <v>0</v>
      </c>
      <c r="AD1569">
        <f>INDIRECT(ADDRESS(1569,29))+INDIRECT(ADDRESS(1567,30))-INDIRECT(ADDRESS(1568,30))</f>
        <v>0</v>
      </c>
      <c r="AE1569">
        <f>INDIRECT(ADDRESS(1569,30))+INDIRECT(ADDRESS(1567,31))-INDIRECT(ADDRESS(1568,31))</f>
        <v>0</v>
      </c>
      <c r="AF1569">
        <f>INDIRECT(ADDRESS(1569,31))+INDIRECT(ADDRESS(1567,32))-INDIRECT(ADDRESS(1568,32))</f>
        <v>0</v>
      </c>
      <c r="AG1569">
        <f>INDIRECT(ADDRESS(1569,32))+INDIRECT(ADDRESS(1567,33))-INDIRECT(ADDRESS(1568,33))</f>
        <v>0</v>
      </c>
      <c r="AH1569">
        <f>INDIRECT(ADDRESS(1569,33))+INDIRECT(ADDRESS(1567,34))-INDIRECT(ADDRESS(1568,34))</f>
        <v>0</v>
      </c>
      <c r="AI1569">
        <f>INDIRECT(ADDRESS(1569,34))+INDIRECT(ADDRESS(1567,35))-INDIRECT(ADDRESS(1568,35))</f>
        <v>0</v>
      </c>
      <c r="AJ1569">
        <f>INDIRECT(ADDRESS(1569,35))+INDIRECT(ADDRESS(1567,36))-INDIRECT(ADDRESS(1568,36))</f>
        <v>0</v>
      </c>
      <c r="AK1569">
        <f>INDIRECT(ADDRESS(1569,36))+INDIRECT(ADDRESS(1567,37))-INDIRECT(ADDRESS(1568,37))</f>
        <v>0</v>
      </c>
      <c r="AL1569">
        <f>INDIRECT(ADDRESS(1569,37))+INDIRECT(ADDRESS(1567,38))-INDIRECT(ADDRESS(1568,38))</f>
        <v>0</v>
      </c>
      <c r="AM1569">
        <f>INDIRECT(ADDRESS(1569,38))+INDIRECT(ADDRESS(1567,39))-INDIRECT(ADDRESS(1568,39))</f>
        <v>0</v>
      </c>
      <c r="AN1569">
        <f>INDIRECT(ADDRESS(1569,39))+INDIRECT(ADDRESS(1567,40))-INDIRECT(ADDRESS(1568,40))</f>
        <v>0</v>
      </c>
      <c r="AO1569">
        <f>SUM(INDIRECT(ADDRESS(1568,8)):INDIRECT(ADDRESS(1568,39)))</f>
        <v>0</v>
      </c>
    </row>
    <row r="1570" spans="1:41">
      <c r="A1570" t="s">
        <v>8</v>
      </c>
      <c r="B1570" t="s">
        <v>122</v>
      </c>
      <c r="C1570" t="s">
        <v>123</v>
      </c>
      <c r="E1570">
        <v>1</v>
      </c>
      <c r="I1570" t="s">
        <v>177</v>
      </c>
    </row>
    <row r="1571" spans="1:41">
      <c r="I1571" t="s">
        <v>178</v>
      </c>
      <c r="J1571">
        <f>IFERROR(VLOOKUP("906-094000-210",Out!B:AB,1+8,0),0)</f>
        <v>0</v>
      </c>
      <c r="K1571">
        <f>IFERROR(VLOOKUP("906-094000-210",Out!B:AB,2+8,0),0)</f>
        <v>0</v>
      </c>
      <c r="L1571">
        <f>IFERROR(VLOOKUP("906-094000-210",Out!B:AB,3+8,0),0)</f>
        <v>0</v>
      </c>
      <c r="M1571">
        <f>IFERROR(VLOOKUP("906-094000-210",Out!B:AB,4+8,0),0)</f>
        <v>0</v>
      </c>
      <c r="N1571">
        <f>IFERROR(VLOOKUP("906-094000-210",Out!B:AB,5+8,0),0)</f>
        <v>0</v>
      </c>
      <c r="O1571">
        <f>IFERROR(VLOOKUP("906-094000-210",Out!B:AB,6+8,0),0)</f>
        <v>0</v>
      </c>
      <c r="P1571">
        <f>IFERROR(VLOOKUP("906-094000-210",Out!B:AB,7+8,0),0)</f>
        <v>0</v>
      </c>
      <c r="Q1571">
        <f>IFERROR(VLOOKUP("906-094000-210",Out!B:AB,8+8,0),0)</f>
        <v>0</v>
      </c>
      <c r="R1571">
        <f>IFERROR(VLOOKUP("906-094000-210",Out!B:AB,9+8,0),0)</f>
        <v>0</v>
      </c>
      <c r="S1571">
        <f>IFERROR(VLOOKUP("906-094000-210",Out!B:AB,10+8,0),0)</f>
        <v>0</v>
      </c>
      <c r="T1571">
        <f>IFERROR(VLOOKUP("906-094000-210",Out!B:AB,11+8,0),0)</f>
        <v>0</v>
      </c>
      <c r="U1571">
        <f>IFERROR(VLOOKUP("906-094000-210",Out!B:AB,12+8,0),0)</f>
        <v>0</v>
      </c>
      <c r="V1571">
        <f>IFERROR(VLOOKUP("906-094000-210",Out!B:AB,13+8,0),0)</f>
        <v>0</v>
      </c>
      <c r="W1571">
        <f>IFERROR(VLOOKUP("906-094000-210",Out!B:AB,14+8,0),0)</f>
        <v>0</v>
      </c>
      <c r="X1571">
        <f>IFERROR(VLOOKUP("906-094000-210",Out!B:AB,15+8,0),0)</f>
        <v>0</v>
      </c>
      <c r="Y1571">
        <f>IFERROR(VLOOKUP("906-094000-210",Out!B:AB,16+8,0),0)</f>
        <v>0</v>
      </c>
      <c r="Z1571">
        <f>IFERROR(VLOOKUP("906-094000-210",Out!B:AB,17+8,0),0)</f>
        <v>0</v>
      </c>
      <c r="AA1571">
        <f>IFERROR(VLOOKUP("906-094000-210",Out!B:AB,18+8,0),0)</f>
        <v>0</v>
      </c>
      <c r="AB1571">
        <f>IFERROR(VLOOKUP("906-094000-210",Out!B:AB,19+8,0),0)</f>
        <v>0</v>
      </c>
      <c r="AC1571">
        <f>IFERROR(VLOOKUP("906-094000-210",Out!B:AB,20+8,0),0)</f>
        <v>0</v>
      </c>
      <c r="AD1571">
        <f>IFERROR(VLOOKUP("906-094000-210",Out!B:AB,21+8,0),0)</f>
        <v>0</v>
      </c>
      <c r="AE1571">
        <f>IFERROR(VLOOKUP("906-094000-210",Out!B:AB,22+8,0),0)</f>
        <v>0</v>
      </c>
      <c r="AF1571">
        <f>IFERROR(VLOOKUP("906-094000-210",Out!B:AB,23+8,0),0)</f>
        <v>0</v>
      </c>
      <c r="AG1571">
        <f>IFERROR(VLOOKUP("906-094000-210",Out!B:AB,24+8,0),0)</f>
        <v>0</v>
      </c>
      <c r="AH1571">
        <f>IFERROR(VLOOKUP("906-094000-210",Out!B:AB,25+8,0),0)</f>
        <v>0</v>
      </c>
      <c r="AI1571">
        <f>IFERROR(VLOOKUP("906-094000-210",Out!B:AB,26+8,0),0)</f>
        <v>0</v>
      </c>
      <c r="AJ1571">
        <f>IFERROR(VLOOKUP("906-094000-210",Out!B:AB,27+8,0),0)</f>
        <v>0</v>
      </c>
      <c r="AK1571">
        <f>IFERROR(VLOOKUP("906-094000-210",Out!B:AB,28+8,0),0)</f>
        <v>0</v>
      </c>
      <c r="AL1571">
        <f>IFERROR(VLOOKUP("906-094000-210",Out!B:AB,29+8,0),0)</f>
        <v>0</v>
      </c>
      <c r="AM1571">
        <f>IFERROR(VLOOKUP("906-094000-210",Out!B:AB,30+8,0),0)</f>
        <v>0</v>
      </c>
      <c r="AN1571">
        <f>IFERROR(VLOOKUP("906-094000-210",Out!B:AB,31+8,0),0)</f>
        <v>0</v>
      </c>
      <c r="AO1571">
        <f>SUN(INDIRECT(ADDRESS(1570,8)):INDIRECT(ADDRESS(1570,39)))</f>
        <v>0</v>
      </c>
    </row>
    <row r="1572" spans="1:41">
      <c r="H1572" t="s">
        <v>179</v>
      </c>
      <c r="J1572">
        <f>INDIRECT(ADDRESS(1572,9))+INDIRECT(ADDRESS(1570,10))-INDIRECT(ADDRESS(1571,10))</f>
        <v>0</v>
      </c>
      <c r="K1572">
        <f>INDIRECT(ADDRESS(1572,10))+INDIRECT(ADDRESS(1570,11))-INDIRECT(ADDRESS(1571,11))</f>
        <v>0</v>
      </c>
      <c r="L1572">
        <f>INDIRECT(ADDRESS(1572,11))+INDIRECT(ADDRESS(1570,12))-INDIRECT(ADDRESS(1571,12))</f>
        <v>0</v>
      </c>
      <c r="M1572">
        <f>INDIRECT(ADDRESS(1572,12))+INDIRECT(ADDRESS(1570,13))-INDIRECT(ADDRESS(1571,13))</f>
        <v>0</v>
      </c>
      <c r="N1572">
        <f>INDIRECT(ADDRESS(1572,13))+INDIRECT(ADDRESS(1570,14))-INDIRECT(ADDRESS(1571,14))</f>
        <v>0</v>
      </c>
      <c r="O1572">
        <f>INDIRECT(ADDRESS(1572,14))+INDIRECT(ADDRESS(1570,15))-INDIRECT(ADDRESS(1571,15))</f>
        <v>0</v>
      </c>
      <c r="P1572">
        <f>INDIRECT(ADDRESS(1572,15))+INDIRECT(ADDRESS(1570,16))-INDIRECT(ADDRESS(1571,16))</f>
        <v>0</v>
      </c>
      <c r="Q1572">
        <f>INDIRECT(ADDRESS(1572,16))+INDIRECT(ADDRESS(1570,17))-INDIRECT(ADDRESS(1571,17))</f>
        <v>0</v>
      </c>
      <c r="R1572">
        <f>INDIRECT(ADDRESS(1572,17))+INDIRECT(ADDRESS(1570,18))-INDIRECT(ADDRESS(1571,18))</f>
        <v>0</v>
      </c>
      <c r="S1572">
        <f>INDIRECT(ADDRESS(1572,18))+INDIRECT(ADDRESS(1570,19))-INDIRECT(ADDRESS(1571,19))</f>
        <v>0</v>
      </c>
      <c r="T1572">
        <f>INDIRECT(ADDRESS(1572,19))+INDIRECT(ADDRESS(1570,20))-INDIRECT(ADDRESS(1571,20))</f>
        <v>0</v>
      </c>
      <c r="U1572">
        <f>INDIRECT(ADDRESS(1572,20))+INDIRECT(ADDRESS(1570,21))-INDIRECT(ADDRESS(1571,21))</f>
        <v>0</v>
      </c>
      <c r="V1572">
        <f>INDIRECT(ADDRESS(1572,21))+INDIRECT(ADDRESS(1570,22))-INDIRECT(ADDRESS(1571,22))</f>
        <v>0</v>
      </c>
      <c r="W1572">
        <f>INDIRECT(ADDRESS(1572,22))+INDIRECT(ADDRESS(1570,23))-INDIRECT(ADDRESS(1571,23))</f>
        <v>0</v>
      </c>
      <c r="X1572">
        <f>INDIRECT(ADDRESS(1572,23))+INDIRECT(ADDRESS(1570,24))-INDIRECT(ADDRESS(1571,24))</f>
        <v>0</v>
      </c>
      <c r="Y1572">
        <f>INDIRECT(ADDRESS(1572,24))+INDIRECT(ADDRESS(1570,25))-INDIRECT(ADDRESS(1571,25))</f>
        <v>0</v>
      </c>
      <c r="Z1572">
        <f>INDIRECT(ADDRESS(1572,25))+INDIRECT(ADDRESS(1570,26))-INDIRECT(ADDRESS(1571,26))</f>
        <v>0</v>
      </c>
      <c r="AA1572">
        <f>INDIRECT(ADDRESS(1572,26))+INDIRECT(ADDRESS(1570,27))-INDIRECT(ADDRESS(1571,27))</f>
        <v>0</v>
      </c>
      <c r="AB1572">
        <f>INDIRECT(ADDRESS(1572,27))+INDIRECT(ADDRESS(1570,28))-INDIRECT(ADDRESS(1571,28))</f>
        <v>0</v>
      </c>
      <c r="AC1572">
        <f>INDIRECT(ADDRESS(1572,28))+INDIRECT(ADDRESS(1570,29))-INDIRECT(ADDRESS(1571,29))</f>
        <v>0</v>
      </c>
      <c r="AD1572">
        <f>INDIRECT(ADDRESS(1572,29))+INDIRECT(ADDRESS(1570,30))-INDIRECT(ADDRESS(1571,30))</f>
        <v>0</v>
      </c>
      <c r="AE1572">
        <f>INDIRECT(ADDRESS(1572,30))+INDIRECT(ADDRESS(1570,31))-INDIRECT(ADDRESS(1571,31))</f>
        <v>0</v>
      </c>
      <c r="AF1572">
        <f>INDIRECT(ADDRESS(1572,31))+INDIRECT(ADDRESS(1570,32))-INDIRECT(ADDRESS(1571,32))</f>
        <v>0</v>
      </c>
      <c r="AG1572">
        <f>INDIRECT(ADDRESS(1572,32))+INDIRECT(ADDRESS(1570,33))-INDIRECT(ADDRESS(1571,33))</f>
        <v>0</v>
      </c>
      <c r="AH1572">
        <f>INDIRECT(ADDRESS(1572,33))+INDIRECT(ADDRESS(1570,34))-INDIRECT(ADDRESS(1571,34))</f>
        <v>0</v>
      </c>
      <c r="AI1572">
        <f>INDIRECT(ADDRESS(1572,34))+INDIRECT(ADDRESS(1570,35))-INDIRECT(ADDRESS(1571,35))</f>
        <v>0</v>
      </c>
      <c r="AJ1572">
        <f>INDIRECT(ADDRESS(1572,35))+INDIRECT(ADDRESS(1570,36))-INDIRECT(ADDRESS(1571,36))</f>
        <v>0</v>
      </c>
      <c r="AK1572">
        <f>INDIRECT(ADDRESS(1572,36))+INDIRECT(ADDRESS(1570,37))-INDIRECT(ADDRESS(1571,37))</f>
        <v>0</v>
      </c>
      <c r="AL1572">
        <f>INDIRECT(ADDRESS(1572,37))+INDIRECT(ADDRESS(1570,38))-INDIRECT(ADDRESS(1571,38))</f>
        <v>0</v>
      </c>
      <c r="AM1572">
        <f>INDIRECT(ADDRESS(1572,38))+INDIRECT(ADDRESS(1570,39))-INDIRECT(ADDRESS(1571,39))</f>
        <v>0</v>
      </c>
      <c r="AN1572">
        <f>INDIRECT(ADDRESS(1572,39))+INDIRECT(ADDRESS(1570,40))-INDIRECT(ADDRESS(1571,40))</f>
        <v>0</v>
      </c>
      <c r="AO1572">
        <f>SUM(INDIRECT(ADDRESS(1571,8)):INDIRECT(ADDRESS(1571,39)))</f>
        <v>0</v>
      </c>
    </row>
    <row r="1573" spans="1:41">
      <c r="A1573" t="s">
        <v>180</v>
      </c>
      <c r="B1573" t="s">
        <v>736</v>
      </c>
      <c r="C1573" t="s">
        <v>737</v>
      </c>
      <c r="E1573">
        <v>1</v>
      </c>
      <c r="I1573" t="s">
        <v>177</v>
      </c>
    </row>
    <row r="1574" spans="1:41">
      <c r="I1574" t="s">
        <v>178</v>
      </c>
      <c r="J1574">
        <f>IFERROR(VLOOKUP("906-094000-210",B:AB,1+8,0),0)</f>
        <v>0</v>
      </c>
      <c r="K1574">
        <f>IFERROR(VLOOKUP("906-094000-210",B:AB,2+8,0),0)</f>
        <v>0</v>
      </c>
      <c r="L1574">
        <f>IFERROR(VLOOKUP("906-094000-210",B:AB,3+8,0),0)</f>
        <v>0</v>
      </c>
      <c r="M1574">
        <f>IFERROR(VLOOKUP("906-094000-210",B:AB,4+8,0),0)</f>
        <v>0</v>
      </c>
      <c r="N1574">
        <f>IFERROR(VLOOKUP("906-094000-210",B:AB,5+8,0),0)</f>
        <v>0</v>
      </c>
      <c r="O1574">
        <f>IFERROR(VLOOKUP("906-094000-210",B:AB,6+8,0),0)</f>
        <v>0</v>
      </c>
      <c r="P1574">
        <f>IFERROR(VLOOKUP("906-094000-210",B:AB,7+8,0),0)</f>
        <v>0</v>
      </c>
      <c r="Q1574">
        <f>IFERROR(VLOOKUP("906-094000-210",B:AB,8+8,0),0)</f>
        <v>0</v>
      </c>
      <c r="R1574">
        <f>IFERROR(VLOOKUP("906-094000-210",B:AB,9+8,0),0)</f>
        <v>0</v>
      </c>
      <c r="S1574">
        <f>IFERROR(VLOOKUP("906-094000-210",B:AB,10+8,0),0)</f>
        <v>0</v>
      </c>
      <c r="T1574">
        <f>IFERROR(VLOOKUP("906-094000-210",B:AB,11+8,0),0)</f>
        <v>0</v>
      </c>
      <c r="U1574">
        <f>IFERROR(VLOOKUP("906-094000-210",B:AB,12+8,0),0)</f>
        <v>0</v>
      </c>
      <c r="V1574">
        <f>IFERROR(VLOOKUP("906-094000-210",B:AB,13+8,0),0)</f>
        <v>0</v>
      </c>
      <c r="W1574">
        <f>IFERROR(VLOOKUP("906-094000-210",B:AB,14+8,0),0)</f>
        <v>0</v>
      </c>
      <c r="X1574">
        <f>IFERROR(VLOOKUP("906-094000-210",B:AB,15+8,0),0)</f>
        <v>0</v>
      </c>
      <c r="Y1574">
        <f>IFERROR(VLOOKUP("906-094000-210",B:AB,16+8,0),0)</f>
        <v>0</v>
      </c>
      <c r="Z1574">
        <f>IFERROR(VLOOKUP("906-094000-210",B:AB,17+8,0),0)</f>
        <v>0</v>
      </c>
      <c r="AA1574">
        <f>IFERROR(VLOOKUP("906-094000-210",B:AB,18+8,0),0)</f>
        <v>0</v>
      </c>
      <c r="AB1574">
        <f>IFERROR(VLOOKUP("906-094000-210",B:AB,19+8,0),0)</f>
        <v>0</v>
      </c>
      <c r="AC1574">
        <f>IFERROR(VLOOKUP("906-094000-210",B:AB,20+8,0),0)</f>
        <v>0</v>
      </c>
      <c r="AD1574">
        <f>IFERROR(VLOOKUP("906-094000-210",B:AB,21+8,0),0)</f>
        <v>0</v>
      </c>
      <c r="AE1574">
        <f>IFERROR(VLOOKUP("906-094000-210",B:AB,22+8,0),0)</f>
        <v>0</v>
      </c>
      <c r="AF1574">
        <f>IFERROR(VLOOKUP("906-094000-210",B:AB,23+8,0),0)</f>
        <v>0</v>
      </c>
      <c r="AG1574">
        <f>IFERROR(VLOOKUP("906-094000-210",B:AB,24+8,0),0)</f>
        <v>0</v>
      </c>
      <c r="AH1574">
        <f>IFERROR(VLOOKUP("906-094000-210",B:AB,25+8,0),0)</f>
        <v>0</v>
      </c>
      <c r="AI1574">
        <f>IFERROR(VLOOKUP("906-094000-210",B:AB,26+8,0),0)</f>
        <v>0</v>
      </c>
      <c r="AJ1574">
        <f>IFERROR(VLOOKUP("906-094000-210",B:AB,27+8,0),0)</f>
        <v>0</v>
      </c>
      <c r="AK1574">
        <f>IFERROR(VLOOKUP("906-094000-210",B:AB,28+8,0),0)</f>
        <v>0</v>
      </c>
      <c r="AL1574">
        <f>IFERROR(VLOOKUP("906-094000-210",B:AB,29+8,0),0)</f>
        <v>0</v>
      </c>
      <c r="AM1574">
        <f>IFERROR(VLOOKUP("906-094000-210",B:AB,30+8,0),0)</f>
        <v>0</v>
      </c>
      <c r="AN1574">
        <f>IFERROR(VLOOKUP("906-094000-210",B:AB,31+8,0),0)</f>
        <v>0</v>
      </c>
      <c r="AO1574">
        <f>SUN(INDIRECT(ADDRESS(1573,8)):INDIRECT(ADDRESS(1573,39)))</f>
        <v>0</v>
      </c>
    </row>
    <row r="1575" spans="1:41">
      <c r="H1575" t="s">
        <v>179</v>
      </c>
      <c r="J1575">
        <f>INDIRECT(ADDRESS(1575,9))+INDIRECT(ADDRESS(1573,10))-INDIRECT(ADDRESS(1574,10))</f>
        <v>0</v>
      </c>
      <c r="K1575">
        <f>INDIRECT(ADDRESS(1575,10))+INDIRECT(ADDRESS(1573,11))-INDIRECT(ADDRESS(1574,11))</f>
        <v>0</v>
      </c>
      <c r="L1575">
        <f>INDIRECT(ADDRESS(1575,11))+INDIRECT(ADDRESS(1573,12))-INDIRECT(ADDRESS(1574,12))</f>
        <v>0</v>
      </c>
      <c r="M1575">
        <f>INDIRECT(ADDRESS(1575,12))+INDIRECT(ADDRESS(1573,13))-INDIRECT(ADDRESS(1574,13))</f>
        <v>0</v>
      </c>
      <c r="N1575">
        <f>INDIRECT(ADDRESS(1575,13))+INDIRECT(ADDRESS(1573,14))-INDIRECT(ADDRESS(1574,14))</f>
        <v>0</v>
      </c>
      <c r="O1575">
        <f>INDIRECT(ADDRESS(1575,14))+INDIRECT(ADDRESS(1573,15))-INDIRECT(ADDRESS(1574,15))</f>
        <v>0</v>
      </c>
      <c r="P1575">
        <f>INDIRECT(ADDRESS(1575,15))+INDIRECT(ADDRESS(1573,16))-INDIRECT(ADDRESS(1574,16))</f>
        <v>0</v>
      </c>
      <c r="Q1575">
        <f>INDIRECT(ADDRESS(1575,16))+INDIRECT(ADDRESS(1573,17))-INDIRECT(ADDRESS(1574,17))</f>
        <v>0</v>
      </c>
      <c r="R1575">
        <f>INDIRECT(ADDRESS(1575,17))+INDIRECT(ADDRESS(1573,18))-INDIRECT(ADDRESS(1574,18))</f>
        <v>0</v>
      </c>
      <c r="S1575">
        <f>INDIRECT(ADDRESS(1575,18))+INDIRECT(ADDRESS(1573,19))-INDIRECT(ADDRESS(1574,19))</f>
        <v>0</v>
      </c>
      <c r="T1575">
        <f>INDIRECT(ADDRESS(1575,19))+INDIRECT(ADDRESS(1573,20))-INDIRECT(ADDRESS(1574,20))</f>
        <v>0</v>
      </c>
      <c r="U1575">
        <f>INDIRECT(ADDRESS(1575,20))+INDIRECT(ADDRESS(1573,21))-INDIRECT(ADDRESS(1574,21))</f>
        <v>0</v>
      </c>
      <c r="V1575">
        <f>INDIRECT(ADDRESS(1575,21))+INDIRECT(ADDRESS(1573,22))-INDIRECT(ADDRESS(1574,22))</f>
        <v>0</v>
      </c>
      <c r="W1575">
        <f>INDIRECT(ADDRESS(1575,22))+INDIRECT(ADDRESS(1573,23))-INDIRECT(ADDRESS(1574,23))</f>
        <v>0</v>
      </c>
      <c r="X1575">
        <f>INDIRECT(ADDRESS(1575,23))+INDIRECT(ADDRESS(1573,24))-INDIRECT(ADDRESS(1574,24))</f>
        <v>0</v>
      </c>
      <c r="Y1575">
        <f>INDIRECT(ADDRESS(1575,24))+INDIRECT(ADDRESS(1573,25))-INDIRECT(ADDRESS(1574,25))</f>
        <v>0</v>
      </c>
      <c r="Z1575">
        <f>INDIRECT(ADDRESS(1575,25))+INDIRECT(ADDRESS(1573,26))-INDIRECT(ADDRESS(1574,26))</f>
        <v>0</v>
      </c>
      <c r="AA1575">
        <f>INDIRECT(ADDRESS(1575,26))+INDIRECT(ADDRESS(1573,27))-INDIRECT(ADDRESS(1574,27))</f>
        <v>0</v>
      </c>
      <c r="AB1575">
        <f>INDIRECT(ADDRESS(1575,27))+INDIRECT(ADDRESS(1573,28))-INDIRECT(ADDRESS(1574,28))</f>
        <v>0</v>
      </c>
      <c r="AC1575">
        <f>INDIRECT(ADDRESS(1575,28))+INDIRECT(ADDRESS(1573,29))-INDIRECT(ADDRESS(1574,29))</f>
        <v>0</v>
      </c>
      <c r="AD1575">
        <f>INDIRECT(ADDRESS(1575,29))+INDIRECT(ADDRESS(1573,30))-INDIRECT(ADDRESS(1574,30))</f>
        <v>0</v>
      </c>
      <c r="AE1575">
        <f>INDIRECT(ADDRESS(1575,30))+INDIRECT(ADDRESS(1573,31))-INDIRECT(ADDRESS(1574,31))</f>
        <v>0</v>
      </c>
      <c r="AF1575">
        <f>INDIRECT(ADDRESS(1575,31))+INDIRECT(ADDRESS(1573,32))-INDIRECT(ADDRESS(1574,32))</f>
        <v>0</v>
      </c>
      <c r="AG1575">
        <f>INDIRECT(ADDRESS(1575,32))+INDIRECT(ADDRESS(1573,33))-INDIRECT(ADDRESS(1574,33))</f>
        <v>0</v>
      </c>
      <c r="AH1575">
        <f>INDIRECT(ADDRESS(1575,33))+INDIRECT(ADDRESS(1573,34))-INDIRECT(ADDRESS(1574,34))</f>
        <v>0</v>
      </c>
      <c r="AI1575">
        <f>INDIRECT(ADDRESS(1575,34))+INDIRECT(ADDRESS(1573,35))-INDIRECT(ADDRESS(1574,35))</f>
        <v>0</v>
      </c>
      <c r="AJ1575">
        <f>INDIRECT(ADDRESS(1575,35))+INDIRECT(ADDRESS(1573,36))-INDIRECT(ADDRESS(1574,36))</f>
        <v>0</v>
      </c>
      <c r="AK1575">
        <f>INDIRECT(ADDRESS(1575,36))+INDIRECT(ADDRESS(1573,37))-INDIRECT(ADDRESS(1574,37))</f>
        <v>0</v>
      </c>
      <c r="AL1575">
        <f>INDIRECT(ADDRESS(1575,37))+INDIRECT(ADDRESS(1573,38))-INDIRECT(ADDRESS(1574,38))</f>
        <v>0</v>
      </c>
      <c r="AM1575">
        <f>INDIRECT(ADDRESS(1575,38))+INDIRECT(ADDRESS(1573,39))-INDIRECT(ADDRESS(1574,39))</f>
        <v>0</v>
      </c>
      <c r="AN1575">
        <f>INDIRECT(ADDRESS(1575,39))+INDIRECT(ADDRESS(1573,40))-INDIRECT(ADDRESS(1574,40))</f>
        <v>0</v>
      </c>
      <c r="AO1575">
        <f>SUM(INDIRECT(ADDRESS(1574,8)):INDIRECT(ADDRESS(1574,39)))</f>
        <v>0</v>
      </c>
    </row>
    <row r="1576" spans="1:41">
      <c r="A1576" t="s">
        <v>185</v>
      </c>
      <c r="B1576" t="s">
        <v>738</v>
      </c>
      <c r="C1576" t="s">
        <v>739</v>
      </c>
      <c r="E1576">
        <v>1</v>
      </c>
      <c r="I1576" t="s">
        <v>177</v>
      </c>
    </row>
    <row r="1577" spans="1:41">
      <c r="I1577" t="s">
        <v>178</v>
      </c>
      <c r="J1577">
        <f>IFERROR(VLOOKUP("906-094000-210",B:AB,1+8,0),0)</f>
        <v>0</v>
      </c>
      <c r="K1577">
        <f>IFERROR(VLOOKUP("906-094000-210",B:AB,2+8,0),0)</f>
        <v>0</v>
      </c>
      <c r="L1577">
        <f>IFERROR(VLOOKUP("906-094000-210",B:AB,3+8,0),0)</f>
        <v>0</v>
      </c>
      <c r="M1577">
        <f>IFERROR(VLOOKUP("906-094000-210",B:AB,4+8,0),0)</f>
        <v>0</v>
      </c>
      <c r="N1577">
        <f>IFERROR(VLOOKUP("906-094000-210",B:AB,5+8,0),0)</f>
        <v>0</v>
      </c>
      <c r="O1577">
        <f>IFERROR(VLOOKUP("906-094000-210",B:AB,6+8,0),0)</f>
        <v>0</v>
      </c>
      <c r="P1577">
        <f>IFERROR(VLOOKUP("906-094000-210",B:AB,7+8,0),0)</f>
        <v>0</v>
      </c>
      <c r="Q1577">
        <f>IFERROR(VLOOKUP("906-094000-210",B:AB,8+8,0),0)</f>
        <v>0</v>
      </c>
      <c r="R1577">
        <f>IFERROR(VLOOKUP("906-094000-210",B:AB,9+8,0),0)</f>
        <v>0</v>
      </c>
      <c r="S1577">
        <f>IFERROR(VLOOKUP("906-094000-210",B:AB,10+8,0),0)</f>
        <v>0</v>
      </c>
      <c r="T1577">
        <f>IFERROR(VLOOKUP("906-094000-210",B:AB,11+8,0),0)</f>
        <v>0</v>
      </c>
      <c r="U1577">
        <f>IFERROR(VLOOKUP("906-094000-210",B:AB,12+8,0),0)</f>
        <v>0</v>
      </c>
      <c r="V1577">
        <f>IFERROR(VLOOKUP("906-094000-210",B:AB,13+8,0),0)</f>
        <v>0</v>
      </c>
      <c r="W1577">
        <f>IFERROR(VLOOKUP("906-094000-210",B:AB,14+8,0),0)</f>
        <v>0</v>
      </c>
      <c r="X1577">
        <f>IFERROR(VLOOKUP("906-094000-210",B:AB,15+8,0),0)</f>
        <v>0</v>
      </c>
      <c r="Y1577">
        <f>IFERROR(VLOOKUP("906-094000-210",B:AB,16+8,0),0)</f>
        <v>0</v>
      </c>
      <c r="Z1577">
        <f>IFERROR(VLOOKUP("906-094000-210",B:AB,17+8,0),0)</f>
        <v>0</v>
      </c>
      <c r="AA1577">
        <f>IFERROR(VLOOKUP("906-094000-210",B:AB,18+8,0),0)</f>
        <v>0</v>
      </c>
      <c r="AB1577">
        <f>IFERROR(VLOOKUP("906-094000-210",B:AB,19+8,0),0)</f>
        <v>0</v>
      </c>
      <c r="AC1577">
        <f>IFERROR(VLOOKUP("906-094000-210",B:AB,20+8,0),0)</f>
        <v>0</v>
      </c>
      <c r="AD1577">
        <f>IFERROR(VLOOKUP("906-094000-210",B:AB,21+8,0),0)</f>
        <v>0</v>
      </c>
      <c r="AE1577">
        <f>IFERROR(VLOOKUP("906-094000-210",B:AB,22+8,0),0)</f>
        <v>0</v>
      </c>
      <c r="AF1577">
        <f>IFERROR(VLOOKUP("906-094000-210",B:AB,23+8,0),0)</f>
        <v>0</v>
      </c>
      <c r="AG1577">
        <f>IFERROR(VLOOKUP("906-094000-210",B:AB,24+8,0),0)</f>
        <v>0</v>
      </c>
      <c r="AH1577">
        <f>IFERROR(VLOOKUP("906-094000-210",B:AB,25+8,0),0)</f>
        <v>0</v>
      </c>
      <c r="AI1577">
        <f>IFERROR(VLOOKUP("906-094000-210",B:AB,26+8,0),0)</f>
        <v>0</v>
      </c>
      <c r="AJ1577">
        <f>IFERROR(VLOOKUP("906-094000-210",B:AB,27+8,0),0)</f>
        <v>0</v>
      </c>
      <c r="AK1577">
        <f>IFERROR(VLOOKUP("906-094000-210",B:AB,28+8,0),0)</f>
        <v>0</v>
      </c>
      <c r="AL1577">
        <f>IFERROR(VLOOKUP("906-094000-210",B:AB,29+8,0),0)</f>
        <v>0</v>
      </c>
      <c r="AM1577">
        <f>IFERROR(VLOOKUP("906-094000-210",B:AB,30+8,0),0)</f>
        <v>0</v>
      </c>
      <c r="AN1577">
        <f>IFERROR(VLOOKUP("906-094000-210",B:AB,31+8,0),0)</f>
        <v>0</v>
      </c>
      <c r="AO1577">
        <f>SUN(INDIRECT(ADDRESS(1576,8)):INDIRECT(ADDRESS(1576,39)))</f>
        <v>0</v>
      </c>
    </row>
    <row r="1578" spans="1:41">
      <c r="H1578" t="s">
        <v>179</v>
      </c>
      <c r="J1578">
        <f>INDIRECT(ADDRESS(1578,9))+INDIRECT(ADDRESS(1576,10))-INDIRECT(ADDRESS(1577,10))</f>
        <v>0</v>
      </c>
      <c r="K1578">
        <f>INDIRECT(ADDRESS(1578,10))+INDIRECT(ADDRESS(1576,11))-INDIRECT(ADDRESS(1577,11))</f>
        <v>0</v>
      </c>
      <c r="L1578">
        <f>INDIRECT(ADDRESS(1578,11))+INDIRECT(ADDRESS(1576,12))-INDIRECT(ADDRESS(1577,12))</f>
        <v>0</v>
      </c>
      <c r="M1578">
        <f>INDIRECT(ADDRESS(1578,12))+INDIRECT(ADDRESS(1576,13))-INDIRECT(ADDRESS(1577,13))</f>
        <v>0</v>
      </c>
      <c r="N1578">
        <f>INDIRECT(ADDRESS(1578,13))+INDIRECT(ADDRESS(1576,14))-INDIRECT(ADDRESS(1577,14))</f>
        <v>0</v>
      </c>
      <c r="O1578">
        <f>INDIRECT(ADDRESS(1578,14))+INDIRECT(ADDRESS(1576,15))-INDIRECT(ADDRESS(1577,15))</f>
        <v>0</v>
      </c>
      <c r="P1578">
        <f>INDIRECT(ADDRESS(1578,15))+INDIRECT(ADDRESS(1576,16))-INDIRECT(ADDRESS(1577,16))</f>
        <v>0</v>
      </c>
      <c r="Q1578">
        <f>INDIRECT(ADDRESS(1578,16))+INDIRECT(ADDRESS(1576,17))-INDIRECT(ADDRESS(1577,17))</f>
        <v>0</v>
      </c>
      <c r="R1578">
        <f>INDIRECT(ADDRESS(1578,17))+INDIRECT(ADDRESS(1576,18))-INDIRECT(ADDRESS(1577,18))</f>
        <v>0</v>
      </c>
      <c r="S1578">
        <f>INDIRECT(ADDRESS(1578,18))+INDIRECT(ADDRESS(1576,19))-INDIRECT(ADDRESS(1577,19))</f>
        <v>0</v>
      </c>
      <c r="T1578">
        <f>INDIRECT(ADDRESS(1578,19))+INDIRECT(ADDRESS(1576,20))-INDIRECT(ADDRESS(1577,20))</f>
        <v>0</v>
      </c>
      <c r="U1578">
        <f>INDIRECT(ADDRESS(1578,20))+INDIRECT(ADDRESS(1576,21))-INDIRECT(ADDRESS(1577,21))</f>
        <v>0</v>
      </c>
      <c r="V1578">
        <f>INDIRECT(ADDRESS(1578,21))+INDIRECT(ADDRESS(1576,22))-INDIRECT(ADDRESS(1577,22))</f>
        <v>0</v>
      </c>
      <c r="W1578">
        <f>INDIRECT(ADDRESS(1578,22))+INDIRECT(ADDRESS(1576,23))-INDIRECT(ADDRESS(1577,23))</f>
        <v>0</v>
      </c>
      <c r="X1578">
        <f>INDIRECT(ADDRESS(1578,23))+INDIRECT(ADDRESS(1576,24))-INDIRECT(ADDRESS(1577,24))</f>
        <v>0</v>
      </c>
      <c r="Y1578">
        <f>INDIRECT(ADDRESS(1578,24))+INDIRECT(ADDRESS(1576,25))-INDIRECT(ADDRESS(1577,25))</f>
        <v>0</v>
      </c>
      <c r="Z1578">
        <f>INDIRECT(ADDRESS(1578,25))+INDIRECT(ADDRESS(1576,26))-INDIRECT(ADDRESS(1577,26))</f>
        <v>0</v>
      </c>
      <c r="AA1578">
        <f>INDIRECT(ADDRESS(1578,26))+INDIRECT(ADDRESS(1576,27))-INDIRECT(ADDRESS(1577,27))</f>
        <v>0</v>
      </c>
      <c r="AB1578">
        <f>INDIRECT(ADDRESS(1578,27))+INDIRECT(ADDRESS(1576,28))-INDIRECT(ADDRESS(1577,28))</f>
        <v>0</v>
      </c>
      <c r="AC1578">
        <f>INDIRECT(ADDRESS(1578,28))+INDIRECT(ADDRESS(1576,29))-INDIRECT(ADDRESS(1577,29))</f>
        <v>0</v>
      </c>
      <c r="AD1578">
        <f>INDIRECT(ADDRESS(1578,29))+INDIRECT(ADDRESS(1576,30))-INDIRECT(ADDRESS(1577,30))</f>
        <v>0</v>
      </c>
      <c r="AE1578">
        <f>INDIRECT(ADDRESS(1578,30))+INDIRECT(ADDRESS(1576,31))-INDIRECT(ADDRESS(1577,31))</f>
        <v>0</v>
      </c>
      <c r="AF1578">
        <f>INDIRECT(ADDRESS(1578,31))+INDIRECT(ADDRESS(1576,32))-INDIRECT(ADDRESS(1577,32))</f>
        <v>0</v>
      </c>
      <c r="AG1578">
        <f>INDIRECT(ADDRESS(1578,32))+INDIRECT(ADDRESS(1576,33))-INDIRECT(ADDRESS(1577,33))</f>
        <v>0</v>
      </c>
      <c r="AH1578">
        <f>INDIRECT(ADDRESS(1578,33))+INDIRECT(ADDRESS(1576,34))-INDIRECT(ADDRESS(1577,34))</f>
        <v>0</v>
      </c>
      <c r="AI1578">
        <f>INDIRECT(ADDRESS(1578,34))+INDIRECT(ADDRESS(1576,35))-INDIRECT(ADDRESS(1577,35))</f>
        <v>0</v>
      </c>
      <c r="AJ1578">
        <f>INDIRECT(ADDRESS(1578,35))+INDIRECT(ADDRESS(1576,36))-INDIRECT(ADDRESS(1577,36))</f>
        <v>0</v>
      </c>
      <c r="AK1578">
        <f>INDIRECT(ADDRESS(1578,36))+INDIRECT(ADDRESS(1576,37))-INDIRECT(ADDRESS(1577,37))</f>
        <v>0</v>
      </c>
      <c r="AL1578">
        <f>INDIRECT(ADDRESS(1578,37))+INDIRECT(ADDRESS(1576,38))-INDIRECT(ADDRESS(1577,38))</f>
        <v>0</v>
      </c>
      <c r="AM1578">
        <f>INDIRECT(ADDRESS(1578,38))+INDIRECT(ADDRESS(1576,39))-INDIRECT(ADDRESS(1577,39))</f>
        <v>0</v>
      </c>
      <c r="AN1578">
        <f>INDIRECT(ADDRESS(1578,39))+INDIRECT(ADDRESS(1576,40))-INDIRECT(ADDRESS(1577,40))</f>
        <v>0</v>
      </c>
      <c r="AO1578">
        <f>SUM(INDIRECT(ADDRESS(1577,8)):INDIRECT(ADDRESS(1577,39)))</f>
        <v>0</v>
      </c>
    </row>
    <row r="1579" spans="1:41">
      <c r="A1579" t="s">
        <v>185</v>
      </c>
      <c r="B1579" t="s">
        <v>740</v>
      </c>
      <c r="C1579" t="s">
        <v>741</v>
      </c>
      <c r="E1579">
        <v>1</v>
      </c>
      <c r="I1579" t="s">
        <v>177</v>
      </c>
    </row>
    <row r="1580" spans="1:41">
      <c r="I1580" t="s">
        <v>178</v>
      </c>
      <c r="J1580">
        <f>IFERROR(VLOOKUP("906-094000-210",B:AB,1+8,0),0)</f>
        <v>0</v>
      </c>
      <c r="K1580">
        <f>IFERROR(VLOOKUP("906-094000-210",B:AB,2+8,0),0)</f>
        <v>0</v>
      </c>
      <c r="L1580">
        <f>IFERROR(VLOOKUP("906-094000-210",B:AB,3+8,0),0)</f>
        <v>0</v>
      </c>
      <c r="M1580">
        <f>IFERROR(VLOOKUP("906-094000-210",B:AB,4+8,0),0)</f>
        <v>0</v>
      </c>
      <c r="N1580">
        <f>IFERROR(VLOOKUP("906-094000-210",B:AB,5+8,0),0)</f>
        <v>0</v>
      </c>
      <c r="O1580">
        <f>IFERROR(VLOOKUP("906-094000-210",B:AB,6+8,0),0)</f>
        <v>0</v>
      </c>
      <c r="P1580">
        <f>IFERROR(VLOOKUP("906-094000-210",B:AB,7+8,0),0)</f>
        <v>0</v>
      </c>
      <c r="Q1580">
        <f>IFERROR(VLOOKUP("906-094000-210",B:AB,8+8,0),0)</f>
        <v>0</v>
      </c>
      <c r="R1580">
        <f>IFERROR(VLOOKUP("906-094000-210",B:AB,9+8,0),0)</f>
        <v>0</v>
      </c>
      <c r="S1580">
        <f>IFERROR(VLOOKUP("906-094000-210",B:AB,10+8,0),0)</f>
        <v>0</v>
      </c>
      <c r="T1580">
        <f>IFERROR(VLOOKUP("906-094000-210",B:AB,11+8,0),0)</f>
        <v>0</v>
      </c>
      <c r="U1580">
        <f>IFERROR(VLOOKUP("906-094000-210",B:AB,12+8,0),0)</f>
        <v>0</v>
      </c>
      <c r="V1580">
        <f>IFERROR(VLOOKUP("906-094000-210",B:AB,13+8,0),0)</f>
        <v>0</v>
      </c>
      <c r="W1580">
        <f>IFERROR(VLOOKUP("906-094000-210",B:AB,14+8,0),0)</f>
        <v>0</v>
      </c>
      <c r="X1580">
        <f>IFERROR(VLOOKUP("906-094000-210",B:AB,15+8,0),0)</f>
        <v>0</v>
      </c>
      <c r="Y1580">
        <f>IFERROR(VLOOKUP("906-094000-210",B:AB,16+8,0),0)</f>
        <v>0</v>
      </c>
      <c r="Z1580">
        <f>IFERROR(VLOOKUP("906-094000-210",B:AB,17+8,0),0)</f>
        <v>0</v>
      </c>
      <c r="AA1580">
        <f>IFERROR(VLOOKUP("906-094000-210",B:AB,18+8,0),0)</f>
        <v>0</v>
      </c>
      <c r="AB1580">
        <f>IFERROR(VLOOKUP("906-094000-210",B:AB,19+8,0),0)</f>
        <v>0</v>
      </c>
      <c r="AC1580">
        <f>IFERROR(VLOOKUP("906-094000-210",B:AB,20+8,0),0)</f>
        <v>0</v>
      </c>
      <c r="AD1580">
        <f>IFERROR(VLOOKUP("906-094000-210",B:AB,21+8,0),0)</f>
        <v>0</v>
      </c>
      <c r="AE1580">
        <f>IFERROR(VLOOKUP("906-094000-210",B:AB,22+8,0),0)</f>
        <v>0</v>
      </c>
      <c r="AF1580">
        <f>IFERROR(VLOOKUP("906-094000-210",B:AB,23+8,0),0)</f>
        <v>0</v>
      </c>
      <c r="AG1580">
        <f>IFERROR(VLOOKUP("906-094000-210",B:AB,24+8,0),0)</f>
        <v>0</v>
      </c>
      <c r="AH1580">
        <f>IFERROR(VLOOKUP("906-094000-210",B:AB,25+8,0),0)</f>
        <v>0</v>
      </c>
      <c r="AI1580">
        <f>IFERROR(VLOOKUP("906-094000-210",B:AB,26+8,0),0)</f>
        <v>0</v>
      </c>
      <c r="AJ1580">
        <f>IFERROR(VLOOKUP("906-094000-210",B:AB,27+8,0),0)</f>
        <v>0</v>
      </c>
      <c r="AK1580">
        <f>IFERROR(VLOOKUP("906-094000-210",B:AB,28+8,0),0)</f>
        <v>0</v>
      </c>
      <c r="AL1580">
        <f>IFERROR(VLOOKUP("906-094000-210",B:AB,29+8,0),0)</f>
        <v>0</v>
      </c>
      <c r="AM1580">
        <f>IFERROR(VLOOKUP("906-094000-210",B:AB,30+8,0),0)</f>
        <v>0</v>
      </c>
      <c r="AN1580">
        <f>IFERROR(VLOOKUP("906-094000-210",B:AB,31+8,0),0)</f>
        <v>0</v>
      </c>
      <c r="AO1580">
        <f>SUN(INDIRECT(ADDRESS(1579,8)):INDIRECT(ADDRESS(1579,39)))</f>
        <v>0</v>
      </c>
    </row>
    <row r="1581" spans="1:41">
      <c r="H1581" t="s">
        <v>179</v>
      </c>
      <c r="J1581">
        <f>INDIRECT(ADDRESS(1581,9))+INDIRECT(ADDRESS(1579,10))-INDIRECT(ADDRESS(1580,10))</f>
        <v>0</v>
      </c>
      <c r="K1581">
        <f>INDIRECT(ADDRESS(1581,10))+INDIRECT(ADDRESS(1579,11))-INDIRECT(ADDRESS(1580,11))</f>
        <v>0</v>
      </c>
      <c r="L1581">
        <f>INDIRECT(ADDRESS(1581,11))+INDIRECT(ADDRESS(1579,12))-INDIRECT(ADDRESS(1580,12))</f>
        <v>0</v>
      </c>
      <c r="M1581">
        <f>INDIRECT(ADDRESS(1581,12))+INDIRECT(ADDRESS(1579,13))-INDIRECT(ADDRESS(1580,13))</f>
        <v>0</v>
      </c>
      <c r="N1581">
        <f>INDIRECT(ADDRESS(1581,13))+INDIRECT(ADDRESS(1579,14))-INDIRECT(ADDRESS(1580,14))</f>
        <v>0</v>
      </c>
      <c r="O1581">
        <f>INDIRECT(ADDRESS(1581,14))+INDIRECT(ADDRESS(1579,15))-INDIRECT(ADDRESS(1580,15))</f>
        <v>0</v>
      </c>
      <c r="P1581">
        <f>INDIRECT(ADDRESS(1581,15))+INDIRECT(ADDRESS(1579,16))-INDIRECT(ADDRESS(1580,16))</f>
        <v>0</v>
      </c>
      <c r="Q1581">
        <f>INDIRECT(ADDRESS(1581,16))+INDIRECT(ADDRESS(1579,17))-INDIRECT(ADDRESS(1580,17))</f>
        <v>0</v>
      </c>
      <c r="R1581">
        <f>INDIRECT(ADDRESS(1581,17))+INDIRECT(ADDRESS(1579,18))-INDIRECT(ADDRESS(1580,18))</f>
        <v>0</v>
      </c>
      <c r="S1581">
        <f>INDIRECT(ADDRESS(1581,18))+INDIRECT(ADDRESS(1579,19))-INDIRECT(ADDRESS(1580,19))</f>
        <v>0</v>
      </c>
      <c r="T1581">
        <f>INDIRECT(ADDRESS(1581,19))+INDIRECT(ADDRESS(1579,20))-INDIRECT(ADDRESS(1580,20))</f>
        <v>0</v>
      </c>
      <c r="U1581">
        <f>INDIRECT(ADDRESS(1581,20))+INDIRECT(ADDRESS(1579,21))-INDIRECT(ADDRESS(1580,21))</f>
        <v>0</v>
      </c>
      <c r="V1581">
        <f>INDIRECT(ADDRESS(1581,21))+INDIRECT(ADDRESS(1579,22))-INDIRECT(ADDRESS(1580,22))</f>
        <v>0</v>
      </c>
      <c r="W1581">
        <f>INDIRECT(ADDRESS(1581,22))+INDIRECT(ADDRESS(1579,23))-INDIRECT(ADDRESS(1580,23))</f>
        <v>0</v>
      </c>
      <c r="X1581">
        <f>INDIRECT(ADDRESS(1581,23))+INDIRECT(ADDRESS(1579,24))-INDIRECT(ADDRESS(1580,24))</f>
        <v>0</v>
      </c>
      <c r="Y1581">
        <f>INDIRECT(ADDRESS(1581,24))+INDIRECT(ADDRESS(1579,25))-INDIRECT(ADDRESS(1580,25))</f>
        <v>0</v>
      </c>
      <c r="Z1581">
        <f>INDIRECT(ADDRESS(1581,25))+INDIRECT(ADDRESS(1579,26))-INDIRECT(ADDRESS(1580,26))</f>
        <v>0</v>
      </c>
      <c r="AA1581">
        <f>INDIRECT(ADDRESS(1581,26))+INDIRECT(ADDRESS(1579,27))-INDIRECT(ADDRESS(1580,27))</f>
        <v>0</v>
      </c>
      <c r="AB1581">
        <f>INDIRECT(ADDRESS(1581,27))+INDIRECT(ADDRESS(1579,28))-INDIRECT(ADDRESS(1580,28))</f>
        <v>0</v>
      </c>
      <c r="AC1581">
        <f>INDIRECT(ADDRESS(1581,28))+INDIRECT(ADDRESS(1579,29))-INDIRECT(ADDRESS(1580,29))</f>
        <v>0</v>
      </c>
      <c r="AD1581">
        <f>INDIRECT(ADDRESS(1581,29))+INDIRECT(ADDRESS(1579,30))-INDIRECT(ADDRESS(1580,30))</f>
        <v>0</v>
      </c>
      <c r="AE1581">
        <f>INDIRECT(ADDRESS(1581,30))+INDIRECT(ADDRESS(1579,31))-INDIRECT(ADDRESS(1580,31))</f>
        <v>0</v>
      </c>
      <c r="AF1581">
        <f>INDIRECT(ADDRESS(1581,31))+INDIRECT(ADDRESS(1579,32))-INDIRECT(ADDRESS(1580,32))</f>
        <v>0</v>
      </c>
      <c r="AG1581">
        <f>INDIRECT(ADDRESS(1581,32))+INDIRECT(ADDRESS(1579,33))-INDIRECT(ADDRESS(1580,33))</f>
        <v>0</v>
      </c>
      <c r="AH1581">
        <f>INDIRECT(ADDRESS(1581,33))+INDIRECT(ADDRESS(1579,34))-INDIRECT(ADDRESS(1580,34))</f>
        <v>0</v>
      </c>
      <c r="AI1581">
        <f>INDIRECT(ADDRESS(1581,34))+INDIRECT(ADDRESS(1579,35))-INDIRECT(ADDRESS(1580,35))</f>
        <v>0</v>
      </c>
      <c r="AJ1581">
        <f>INDIRECT(ADDRESS(1581,35))+INDIRECT(ADDRESS(1579,36))-INDIRECT(ADDRESS(1580,36))</f>
        <v>0</v>
      </c>
      <c r="AK1581">
        <f>INDIRECT(ADDRESS(1581,36))+INDIRECT(ADDRESS(1579,37))-INDIRECT(ADDRESS(1580,37))</f>
        <v>0</v>
      </c>
      <c r="AL1581">
        <f>INDIRECT(ADDRESS(1581,37))+INDIRECT(ADDRESS(1579,38))-INDIRECT(ADDRESS(1580,38))</f>
        <v>0</v>
      </c>
      <c r="AM1581">
        <f>INDIRECT(ADDRESS(1581,38))+INDIRECT(ADDRESS(1579,39))-INDIRECT(ADDRESS(1580,39))</f>
        <v>0</v>
      </c>
      <c r="AN1581">
        <f>INDIRECT(ADDRESS(1581,39))+INDIRECT(ADDRESS(1579,40))-INDIRECT(ADDRESS(1580,40))</f>
        <v>0</v>
      </c>
      <c r="AO1581">
        <f>SUM(INDIRECT(ADDRESS(1580,8)):INDIRECT(ADDRESS(1580,39)))</f>
        <v>0</v>
      </c>
    </row>
    <row r="1582" spans="1:41">
      <c r="A1582" t="s">
        <v>8</v>
      </c>
      <c r="B1582" t="s">
        <v>124</v>
      </c>
      <c r="C1582" t="s">
        <v>125</v>
      </c>
      <c r="E1582">
        <v>1</v>
      </c>
      <c r="I1582" t="s">
        <v>177</v>
      </c>
    </row>
    <row r="1583" spans="1:41">
      <c r="I1583" t="s">
        <v>178</v>
      </c>
      <c r="J1583">
        <f>IFERROR(VLOOKUP("906-257000-210",Out!B:AB,1+8,0),0)</f>
        <v>0</v>
      </c>
      <c r="K1583">
        <f>IFERROR(VLOOKUP("906-257000-210",Out!B:AB,2+8,0),0)</f>
        <v>0</v>
      </c>
      <c r="L1583">
        <f>IFERROR(VLOOKUP("906-257000-210",Out!B:AB,3+8,0),0)</f>
        <v>0</v>
      </c>
      <c r="M1583">
        <f>IFERROR(VLOOKUP("906-257000-210",Out!B:AB,4+8,0),0)</f>
        <v>0</v>
      </c>
      <c r="N1583">
        <f>IFERROR(VLOOKUP("906-257000-210",Out!B:AB,5+8,0),0)</f>
        <v>0</v>
      </c>
      <c r="O1583">
        <f>IFERROR(VLOOKUP("906-257000-210",Out!B:AB,6+8,0),0)</f>
        <v>0</v>
      </c>
      <c r="P1583">
        <f>IFERROR(VLOOKUP("906-257000-210",Out!B:AB,7+8,0),0)</f>
        <v>0</v>
      </c>
      <c r="Q1583">
        <f>IFERROR(VLOOKUP("906-257000-210",Out!B:AB,8+8,0),0)</f>
        <v>0</v>
      </c>
      <c r="R1583">
        <f>IFERROR(VLOOKUP("906-257000-210",Out!B:AB,9+8,0),0)</f>
        <v>0</v>
      </c>
      <c r="S1583">
        <f>IFERROR(VLOOKUP("906-257000-210",Out!B:AB,10+8,0),0)</f>
        <v>0</v>
      </c>
      <c r="T1583">
        <f>IFERROR(VLOOKUP("906-257000-210",Out!B:AB,11+8,0),0)</f>
        <v>0</v>
      </c>
      <c r="U1583">
        <f>IFERROR(VLOOKUP("906-257000-210",Out!B:AB,12+8,0),0)</f>
        <v>0</v>
      </c>
      <c r="V1583">
        <f>IFERROR(VLOOKUP("906-257000-210",Out!B:AB,13+8,0),0)</f>
        <v>0</v>
      </c>
      <c r="W1583">
        <f>IFERROR(VLOOKUP("906-257000-210",Out!B:AB,14+8,0),0)</f>
        <v>0</v>
      </c>
      <c r="X1583">
        <f>IFERROR(VLOOKUP("906-257000-210",Out!B:AB,15+8,0),0)</f>
        <v>0</v>
      </c>
      <c r="Y1583">
        <f>IFERROR(VLOOKUP("906-257000-210",Out!B:AB,16+8,0),0)</f>
        <v>0</v>
      </c>
      <c r="Z1583">
        <f>IFERROR(VLOOKUP("906-257000-210",Out!B:AB,17+8,0),0)</f>
        <v>0</v>
      </c>
      <c r="AA1583">
        <f>IFERROR(VLOOKUP("906-257000-210",Out!B:AB,18+8,0),0)</f>
        <v>0</v>
      </c>
      <c r="AB1583">
        <f>IFERROR(VLOOKUP("906-257000-210",Out!B:AB,19+8,0),0)</f>
        <v>0</v>
      </c>
      <c r="AC1583">
        <f>IFERROR(VLOOKUP("906-257000-210",Out!B:AB,20+8,0),0)</f>
        <v>0</v>
      </c>
      <c r="AD1583">
        <f>IFERROR(VLOOKUP("906-257000-210",Out!B:AB,21+8,0),0)</f>
        <v>0</v>
      </c>
      <c r="AE1583">
        <f>IFERROR(VLOOKUP("906-257000-210",Out!B:AB,22+8,0),0)</f>
        <v>0</v>
      </c>
      <c r="AF1583">
        <f>IFERROR(VLOOKUP("906-257000-210",Out!B:AB,23+8,0),0)</f>
        <v>0</v>
      </c>
      <c r="AG1583">
        <f>IFERROR(VLOOKUP("906-257000-210",Out!B:AB,24+8,0),0)</f>
        <v>0</v>
      </c>
      <c r="AH1583">
        <f>IFERROR(VLOOKUP("906-257000-210",Out!B:AB,25+8,0),0)</f>
        <v>0</v>
      </c>
      <c r="AI1583">
        <f>IFERROR(VLOOKUP("906-257000-210",Out!B:AB,26+8,0),0)</f>
        <v>0</v>
      </c>
      <c r="AJ1583">
        <f>IFERROR(VLOOKUP("906-257000-210",Out!B:AB,27+8,0),0)</f>
        <v>0</v>
      </c>
      <c r="AK1583">
        <f>IFERROR(VLOOKUP("906-257000-210",Out!B:AB,28+8,0),0)</f>
        <v>0</v>
      </c>
      <c r="AL1583">
        <f>IFERROR(VLOOKUP("906-257000-210",Out!B:AB,29+8,0),0)</f>
        <v>0</v>
      </c>
      <c r="AM1583">
        <f>IFERROR(VLOOKUP("906-257000-210",Out!B:AB,30+8,0),0)</f>
        <v>0</v>
      </c>
      <c r="AN1583">
        <f>IFERROR(VLOOKUP("906-257000-210",Out!B:AB,31+8,0),0)</f>
        <v>0</v>
      </c>
      <c r="AO1583">
        <f>SUN(INDIRECT(ADDRESS(1582,8)):INDIRECT(ADDRESS(1582,39)))</f>
        <v>0</v>
      </c>
    </row>
    <row r="1584" spans="1:41">
      <c r="H1584" t="s">
        <v>179</v>
      </c>
      <c r="J1584">
        <f>INDIRECT(ADDRESS(1584,9))+INDIRECT(ADDRESS(1582,10))-INDIRECT(ADDRESS(1583,10))</f>
        <v>0</v>
      </c>
      <c r="K1584">
        <f>INDIRECT(ADDRESS(1584,10))+INDIRECT(ADDRESS(1582,11))-INDIRECT(ADDRESS(1583,11))</f>
        <v>0</v>
      </c>
      <c r="L1584">
        <f>INDIRECT(ADDRESS(1584,11))+INDIRECT(ADDRESS(1582,12))-INDIRECT(ADDRESS(1583,12))</f>
        <v>0</v>
      </c>
      <c r="M1584">
        <f>INDIRECT(ADDRESS(1584,12))+INDIRECT(ADDRESS(1582,13))-INDIRECT(ADDRESS(1583,13))</f>
        <v>0</v>
      </c>
      <c r="N1584">
        <f>INDIRECT(ADDRESS(1584,13))+INDIRECT(ADDRESS(1582,14))-INDIRECT(ADDRESS(1583,14))</f>
        <v>0</v>
      </c>
      <c r="O1584">
        <f>INDIRECT(ADDRESS(1584,14))+INDIRECT(ADDRESS(1582,15))-INDIRECT(ADDRESS(1583,15))</f>
        <v>0</v>
      </c>
      <c r="P1584">
        <f>INDIRECT(ADDRESS(1584,15))+INDIRECT(ADDRESS(1582,16))-INDIRECT(ADDRESS(1583,16))</f>
        <v>0</v>
      </c>
      <c r="Q1584">
        <f>INDIRECT(ADDRESS(1584,16))+INDIRECT(ADDRESS(1582,17))-INDIRECT(ADDRESS(1583,17))</f>
        <v>0</v>
      </c>
      <c r="R1584">
        <f>INDIRECT(ADDRESS(1584,17))+INDIRECT(ADDRESS(1582,18))-INDIRECT(ADDRESS(1583,18))</f>
        <v>0</v>
      </c>
      <c r="S1584">
        <f>INDIRECT(ADDRESS(1584,18))+INDIRECT(ADDRESS(1582,19))-INDIRECT(ADDRESS(1583,19))</f>
        <v>0</v>
      </c>
      <c r="T1584">
        <f>INDIRECT(ADDRESS(1584,19))+INDIRECT(ADDRESS(1582,20))-INDIRECT(ADDRESS(1583,20))</f>
        <v>0</v>
      </c>
      <c r="U1584">
        <f>INDIRECT(ADDRESS(1584,20))+INDIRECT(ADDRESS(1582,21))-INDIRECT(ADDRESS(1583,21))</f>
        <v>0</v>
      </c>
      <c r="V1584">
        <f>INDIRECT(ADDRESS(1584,21))+INDIRECT(ADDRESS(1582,22))-INDIRECT(ADDRESS(1583,22))</f>
        <v>0</v>
      </c>
      <c r="W1584">
        <f>INDIRECT(ADDRESS(1584,22))+INDIRECT(ADDRESS(1582,23))-INDIRECT(ADDRESS(1583,23))</f>
        <v>0</v>
      </c>
      <c r="X1584">
        <f>INDIRECT(ADDRESS(1584,23))+INDIRECT(ADDRESS(1582,24))-INDIRECT(ADDRESS(1583,24))</f>
        <v>0</v>
      </c>
      <c r="Y1584">
        <f>INDIRECT(ADDRESS(1584,24))+INDIRECT(ADDRESS(1582,25))-INDIRECT(ADDRESS(1583,25))</f>
        <v>0</v>
      </c>
      <c r="Z1584">
        <f>INDIRECT(ADDRESS(1584,25))+INDIRECT(ADDRESS(1582,26))-INDIRECT(ADDRESS(1583,26))</f>
        <v>0</v>
      </c>
      <c r="AA1584">
        <f>INDIRECT(ADDRESS(1584,26))+INDIRECT(ADDRESS(1582,27))-INDIRECT(ADDRESS(1583,27))</f>
        <v>0</v>
      </c>
      <c r="AB1584">
        <f>INDIRECT(ADDRESS(1584,27))+INDIRECT(ADDRESS(1582,28))-INDIRECT(ADDRESS(1583,28))</f>
        <v>0</v>
      </c>
      <c r="AC1584">
        <f>INDIRECT(ADDRESS(1584,28))+INDIRECT(ADDRESS(1582,29))-INDIRECT(ADDRESS(1583,29))</f>
        <v>0</v>
      </c>
      <c r="AD1584">
        <f>INDIRECT(ADDRESS(1584,29))+INDIRECT(ADDRESS(1582,30))-INDIRECT(ADDRESS(1583,30))</f>
        <v>0</v>
      </c>
      <c r="AE1584">
        <f>INDIRECT(ADDRESS(1584,30))+INDIRECT(ADDRESS(1582,31))-INDIRECT(ADDRESS(1583,31))</f>
        <v>0</v>
      </c>
      <c r="AF1584">
        <f>INDIRECT(ADDRESS(1584,31))+INDIRECT(ADDRESS(1582,32))-INDIRECT(ADDRESS(1583,32))</f>
        <v>0</v>
      </c>
      <c r="AG1584">
        <f>INDIRECT(ADDRESS(1584,32))+INDIRECT(ADDRESS(1582,33))-INDIRECT(ADDRESS(1583,33))</f>
        <v>0</v>
      </c>
      <c r="AH1584">
        <f>INDIRECT(ADDRESS(1584,33))+INDIRECT(ADDRESS(1582,34))-INDIRECT(ADDRESS(1583,34))</f>
        <v>0</v>
      </c>
      <c r="AI1584">
        <f>INDIRECT(ADDRESS(1584,34))+INDIRECT(ADDRESS(1582,35))-INDIRECT(ADDRESS(1583,35))</f>
        <v>0</v>
      </c>
      <c r="AJ1584">
        <f>INDIRECT(ADDRESS(1584,35))+INDIRECT(ADDRESS(1582,36))-INDIRECT(ADDRESS(1583,36))</f>
        <v>0</v>
      </c>
      <c r="AK1584">
        <f>INDIRECT(ADDRESS(1584,36))+INDIRECT(ADDRESS(1582,37))-INDIRECT(ADDRESS(1583,37))</f>
        <v>0</v>
      </c>
      <c r="AL1584">
        <f>INDIRECT(ADDRESS(1584,37))+INDIRECT(ADDRESS(1582,38))-INDIRECT(ADDRESS(1583,38))</f>
        <v>0</v>
      </c>
      <c r="AM1584">
        <f>INDIRECT(ADDRESS(1584,38))+INDIRECT(ADDRESS(1582,39))-INDIRECT(ADDRESS(1583,39))</f>
        <v>0</v>
      </c>
      <c r="AN1584">
        <f>INDIRECT(ADDRESS(1584,39))+INDIRECT(ADDRESS(1582,40))-INDIRECT(ADDRESS(1583,40))</f>
        <v>0</v>
      </c>
      <c r="AO1584">
        <f>SUM(INDIRECT(ADDRESS(1583,8)):INDIRECT(ADDRESS(1583,39)))</f>
        <v>0</v>
      </c>
    </row>
    <row r="1585" spans="1:41">
      <c r="A1585" t="s">
        <v>180</v>
      </c>
      <c r="B1585" t="s">
        <v>742</v>
      </c>
      <c r="C1585" t="s">
        <v>743</v>
      </c>
      <c r="E1585">
        <v>1</v>
      </c>
      <c r="I1585" t="s">
        <v>177</v>
      </c>
    </row>
    <row r="1586" spans="1:41">
      <c r="I1586" t="s">
        <v>178</v>
      </c>
      <c r="J1586">
        <f>IFERROR(VLOOKUP("906-257000-210",B:AB,1+8,0),0)</f>
        <v>0</v>
      </c>
      <c r="K1586">
        <f>IFERROR(VLOOKUP("906-257000-210",B:AB,2+8,0),0)</f>
        <v>0</v>
      </c>
      <c r="L1586">
        <f>IFERROR(VLOOKUP("906-257000-210",B:AB,3+8,0),0)</f>
        <v>0</v>
      </c>
      <c r="M1586">
        <f>IFERROR(VLOOKUP("906-257000-210",B:AB,4+8,0),0)</f>
        <v>0</v>
      </c>
      <c r="N1586">
        <f>IFERROR(VLOOKUP("906-257000-210",B:AB,5+8,0),0)</f>
        <v>0</v>
      </c>
      <c r="O1586">
        <f>IFERROR(VLOOKUP("906-257000-210",B:AB,6+8,0),0)</f>
        <v>0</v>
      </c>
      <c r="P1586">
        <f>IFERROR(VLOOKUP("906-257000-210",B:AB,7+8,0),0)</f>
        <v>0</v>
      </c>
      <c r="Q1586">
        <f>IFERROR(VLOOKUP("906-257000-210",B:AB,8+8,0),0)</f>
        <v>0</v>
      </c>
      <c r="R1586">
        <f>IFERROR(VLOOKUP("906-257000-210",B:AB,9+8,0),0)</f>
        <v>0</v>
      </c>
      <c r="S1586">
        <f>IFERROR(VLOOKUP("906-257000-210",B:AB,10+8,0),0)</f>
        <v>0</v>
      </c>
      <c r="T1586">
        <f>IFERROR(VLOOKUP("906-257000-210",B:AB,11+8,0),0)</f>
        <v>0</v>
      </c>
      <c r="U1586">
        <f>IFERROR(VLOOKUP("906-257000-210",B:AB,12+8,0),0)</f>
        <v>0</v>
      </c>
      <c r="V1586">
        <f>IFERROR(VLOOKUP("906-257000-210",B:AB,13+8,0),0)</f>
        <v>0</v>
      </c>
      <c r="W1586">
        <f>IFERROR(VLOOKUP("906-257000-210",B:AB,14+8,0),0)</f>
        <v>0</v>
      </c>
      <c r="X1586">
        <f>IFERROR(VLOOKUP("906-257000-210",B:AB,15+8,0),0)</f>
        <v>0</v>
      </c>
      <c r="Y1586">
        <f>IFERROR(VLOOKUP("906-257000-210",B:AB,16+8,0),0)</f>
        <v>0</v>
      </c>
      <c r="Z1586">
        <f>IFERROR(VLOOKUP("906-257000-210",B:AB,17+8,0),0)</f>
        <v>0</v>
      </c>
      <c r="AA1586">
        <f>IFERROR(VLOOKUP("906-257000-210",B:AB,18+8,0),0)</f>
        <v>0</v>
      </c>
      <c r="AB1586">
        <f>IFERROR(VLOOKUP("906-257000-210",B:AB,19+8,0),0)</f>
        <v>0</v>
      </c>
      <c r="AC1586">
        <f>IFERROR(VLOOKUP("906-257000-210",B:AB,20+8,0),0)</f>
        <v>0</v>
      </c>
      <c r="AD1586">
        <f>IFERROR(VLOOKUP("906-257000-210",B:AB,21+8,0),0)</f>
        <v>0</v>
      </c>
      <c r="AE1586">
        <f>IFERROR(VLOOKUP("906-257000-210",B:AB,22+8,0),0)</f>
        <v>0</v>
      </c>
      <c r="AF1586">
        <f>IFERROR(VLOOKUP("906-257000-210",B:AB,23+8,0),0)</f>
        <v>0</v>
      </c>
      <c r="AG1586">
        <f>IFERROR(VLOOKUP("906-257000-210",B:AB,24+8,0),0)</f>
        <v>0</v>
      </c>
      <c r="AH1586">
        <f>IFERROR(VLOOKUP("906-257000-210",B:AB,25+8,0),0)</f>
        <v>0</v>
      </c>
      <c r="AI1586">
        <f>IFERROR(VLOOKUP("906-257000-210",B:AB,26+8,0),0)</f>
        <v>0</v>
      </c>
      <c r="AJ1586">
        <f>IFERROR(VLOOKUP("906-257000-210",B:AB,27+8,0),0)</f>
        <v>0</v>
      </c>
      <c r="AK1586">
        <f>IFERROR(VLOOKUP("906-257000-210",B:AB,28+8,0),0)</f>
        <v>0</v>
      </c>
      <c r="AL1586">
        <f>IFERROR(VLOOKUP("906-257000-210",B:AB,29+8,0),0)</f>
        <v>0</v>
      </c>
      <c r="AM1586">
        <f>IFERROR(VLOOKUP("906-257000-210",B:AB,30+8,0),0)</f>
        <v>0</v>
      </c>
      <c r="AN1586">
        <f>IFERROR(VLOOKUP("906-257000-210",B:AB,31+8,0),0)</f>
        <v>0</v>
      </c>
      <c r="AO1586">
        <f>SUN(INDIRECT(ADDRESS(1585,8)):INDIRECT(ADDRESS(1585,39)))</f>
        <v>0</v>
      </c>
    </row>
    <row r="1587" spans="1:41">
      <c r="H1587" t="s">
        <v>179</v>
      </c>
      <c r="J1587">
        <f>INDIRECT(ADDRESS(1587,9))+INDIRECT(ADDRESS(1585,10))-INDIRECT(ADDRESS(1586,10))</f>
        <v>0</v>
      </c>
      <c r="K1587">
        <f>INDIRECT(ADDRESS(1587,10))+INDIRECT(ADDRESS(1585,11))-INDIRECT(ADDRESS(1586,11))</f>
        <v>0</v>
      </c>
      <c r="L1587">
        <f>INDIRECT(ADDRESS(1587,11))+INDIRECT(ADDRESS(1585,12))-INDIRECT(ADDRESS(1586,12))</f>
        <v>0</v>
      </c>
      <c r="M1587">
        <f>INDIRECT(ADDRESS(1587,12))+INDIRECT(ADDRESS(1585,13))-INDIRECT(ADDRESS(1586,13))</f>
        <v>0</v>
      </c>
      <c r="N1587">
        <f>INDIRECT(ADDRESS(1587,13))+INDIRECT(ADDRESS(1585,14))-INDIRECT(ADDRESS(1586,14))</f>
        <v>0</v>
      </c>
      <c r="O1587">
        <f>INDIRECT(ADDRESS(1587,14))+INDIRECT(ADDRESS(1585,15))-INDIRECT(ADDRESS(1586,15))</f>
        <v>0</v>
      </c>
      <c r="P1587">
        <f>INDIRECT(ADDRESS(1587,15))+INDIRECT(ADDRESS(1585,16))-INDIRECT(ADDRESS(1586,16))</f>
        <v>0</v>
      </c>
      <c r="Q1587">
        <f>INDIRECT(ADDRESS(1587,16))+INDIRECT(ADDRESS(1585,17))-INDIRECT(ADDRESS(1586,17))</f>
        <v>0</v>
      </c>
      <c r="R1587">
        <f>INDIRECT(ADDRESS(1587,17))+INDIRECT(ADDRESS(1585,18))-INDIRECT(ADDRESS(1586,18))</f>
        <v>0</v>
      </c>
      <c r="S1587">
        <f>INDIRECT(ADDRESS(1587,18))+INDIRECT(ADDRESS(1585,19))-INDIRECT(ADDRESS(1586,19))</f>
        <v>0</v>
      </c>
      <c r="T1587">
        <f>INDIRECT(ADDRESS(1587,19))+INDIRECT(ADDRESS(1585,20))-INDIRECT(ADDRESS(1586,20))</f>
        <v>0</v>
      </c>
      <c r="U1587">
        <f>INDIRECT(ADDRESS(1587,20))+INDIRECT(ADDRESS(1585,21))-INDIRECT(ADDRESS(1586,21))</f>
        <v>0</v>
      </c>
      <c r="V1587">
        <f>INDIRECT(ADDRESS(1587,21))+INDIRECT(ADDRESS(1585,22))-INDIRECT(ADDRESS(1586,22))</f>
        <v>0</v>
      </c>
      <c r="W1587">
        <f>INDIRECT(ADDRESS(1587,22))+INDIRECT(ADDRESS(1585,23))-INDIRECT(ADDRESS(1586,23))</f>
        <v>0</v>
      </c>
      <c r="X1587">
        <f>INDIRECT(ADDRESS(1587,23))+INDIRECT(ADDRESS(1585,24))-INDIRECT(ADDRESS(1586,24))</f>
        <v>0</v>
      </c>
      <c r="Y1587">
        <f>INDIRECT(ADDRESS(1587,24))+INDIRECT(ADDRESS(1585,25))-INDIRECT(ADDRESS(1586,25))</f>
        <v>0</v>
      </c>
      <c r="Z1587">
        <f>INDIRECT(ADDRESS(1587,25))+INDIRECT(ADDRESS(1585,26))-INDIRECT(ADDRESS(1586,26))</f>
        <v>0</v>
      </c>
      <c r="AA1587">
        <f>INDIRECT(ADDRESS(1587,26))+INDIRECT(ADDRESS(1585,27))-INDIRECT(ADDRESS(1586,27))</f>
        <v>0</v>
      </c>
      <c r="AB1587">
        <f>INDIRECT(ADDRESS(1587,27))+INDIRECT(ADDRESS(1585,28))-INDIRECT(ADDRESS(1586,28))</f>
        <v>0</v>
      </c>
      <c r="AC1587">
        <f>INDIRECT(ADDRESS(1587,28))+INDIRECT(ADDRESS(1585,29))-INDIRECT(ADDRESS(1586,29))</f>
        <v>0</v>
      </c>
      <c r="AD1587">
        <f>INDIRECT(ADDRESS(1587,29))+INDIRECT(ADDRESS(1585,30))-INDIRECT(ADDRESS(1586,30))</f>
        <v>0</v>
      </c>
      <c r="AE1587">
        <f>INDIRECT(ADDRESS(1587,30))+INDIRECT(ADDRESS(1585,31))-INDIRECT(ADDRESS(1586,31))</f>
        <v>0</v>
      </c>
      <c r="AF1587">
        <f>INDIRECT(ADDRESS(1587,31))+INDIRECT(ADDRESS(1585,32))-INDIRECT(ADDRESS(1586,32))</f>
        <v>0</v>
      </c>
      <c r="AG1587">
        <f>INDIRECT(ADDRESS(1587,32))+INDIRECT(ADDRESS(1585,33))-INDIRECT(ADDRESS(1586,33))</f>
        <v>0</v>
      </c>
      <c r="AH1587">
        <f>INDIRECT(ADDRESS(1587,33))+INDIRECT(ADDRESS(1585,34))-INDIRECT(ADDRESS(1586,34))</f>
        <v>0</v>
      </c>
      <c r="AI1587">
        <f>INDIRECT(ADDRESS(1587,34))+INDIRECT(ADDRESS(1585,35))-INDIRECT(ADDRESS(1586,35))</f>
        <v>0</v>
      </c>
      <c r="AJ1587">
        <f>INDIRECT(ADDRESS(1587,35))+INDIRECT(ADDRESS(1585,36))-INDIRECT(ADDRESS(1586,36))</f>
        <v>0</v>
      </c>
      <c r="AK1587">
        <f>INDIRECT(ADDRESS(1587,36))+INDIRECT(ADDRESS(1585,37))-INDIRECT(ADDRESS(1586,37))</f>
        <v>0</v>
      </c>
      <c r="AL1587">
        <f>INDIRECT(ADDRESS(1587,37))+INDIRECT(ADDRESS(1585,38))-INDIRECT(ADDRESS(1586,38))</f>
        <v>0</v>
      </c>
      <c r="AM1587">
        <f>INDIRECT(ADDRESS(1587,38))+INDIRECT(ADDRESS(1585,39))-INDIRECT(ADDRESS(1586,39))</f>
        <v>0</v>
      </c>
      <c r="AN1587">
        <f>INDIRECT(ADDRESS(1587,39))+INDIRECT(ADDRESS(1585,40))-INDIRECT(ADDRESS(1586,40))</f>
        <v>0</v>
      </c>
      <c r="AO1587">
        <f>SUM(INDIRECT(ADDRESS(1586,8)):INDIRECT(ADDRESS(1586,39)))</f>
        <v>0</v>
      </c>
    </row>
    <row r="1588" spans="1:41">
      <c r="A1588" t="s">
        <v>185</v>
      </c>
      <c r="B1588" t="s">
        <v>744</v>
      </c>
      <c r="C1588" t="s">
        <v>745</v>
      </c>
      <c r="E1588">
        <v>1</v>
      </c>
      <c r="I1588" t="s">
        <v>177</v>
      </c>
    </row>
    <row r="1589" spans="1:41">
      <c r="I1589" t="s">
        <v>178</v>
      </c>
      <c r="J1589">
        <f>IFERROR(VLOOKUP("906-257000-210",B:AB,1+8,0),0)</f>
        <v>0</v>
      </c>
      <c r="K1589">
        <f>IFERROR(VLOOKUP("906-257000-210",B:AB,2+8,0),0)</f>
        <v>0</v>
      </c>
      <c r="L1589">
        <f>IFERROR(VLOOKUP("906-257000-210",B:AB,3+8,0),0)</f>
        <v>0</v>
      </c>
      <c r="M1589">
        <f>IFERROR(VLOOKUP("906-257000-210",B:AB,4+8,0),0)</f>
        <v>0</v>
      </c>
      <c r="N1589">
        <f>IFERROR(VLOOKUP("906-257000-210",B:AB,5+8,0),0)</f>
        <v>0</v>
      </c>
      <c r="O1589">
        <f>IFERROR(VLOOKUP("906-257000-210",B:AB,6+8,0),0)</f>
        <v>0</v>
      </c>
      <c r="P1589">
        <f>IFERROR(VLOOKUP("906-257000-210",B:AB,7+8,0),0)</f>
        <v>0</v>
      </c>
      <c r="Q1589">
        <f>IFERROR(VLOOKUP("906-257000-210",B:AB,8+8,0),0)</f>
        <v>0</v>
      </c>
      <c r="R1589">
        <f>IFERROR(VLOOKUP("906-257000-210",B:AB,9+8,0),0)</f>
        <v>0</v>
      </c>
      <c r="S1589">
        <f>IFERROR(VLOOKUP("906-257000-210",B:AB,10+8,0),0)</f>
        <v>0</v>
      </c>
      <c r="T1589">
        <f>IFERROR(VLOOKUP("906-257000-210",B:AB,11+8,0),0)</f>
        <v>0</v>
      </c>
      <c r="U1589">
        <f>IFERROR(VLOOKUP("906-257000-210",B:AB,12+8,0),0)</f>
        <v>0</v>
      </c>
      <c r="V1589">
        <f>IFERROR(VLOOKUP("906-257000-210",B:AB,13+8,0),0)</f>
        <v>0</v>
      </c>
      <c r="W1589">
        <f>IFERROR(VLOOKUP("906-257000-210",B:AB,14+8,0),0)</f>
        <v>0</v>
      </c>
      <c r="X1589">
        <f>IFERROR(VLOOKUP("906-257000-210",B:AB,15+8,0),0)</f>
        <v>0</v>
      </c>
      <c r="Y1589">
        <f>IFERROR(VLOOKUP("906-257000-210",B:AB,16+8,0),0)</f>
        <v>0</v>
      </c>
      <c r="Z1589">
        <f>IFERROR(VLOOKUP("906-257000-210",B:AB,17+8,0),0)</f>
        <v>0</v>
      </c>
      <c r="AA1589">
        <f>IFERROR(VLOOKUP("906-257000-210",B:AB,18+8,0),0)</f>
        <v>0</v>
      </c>
      <c r="AB1589">
        <f>IFERROR(VLOOKUP("906-257000-210",B:AB,19+8,0),0)</f>
        <v>0</v>
      </c>
      <c r="AC1589">
        <f>IFERROR(VLOOKUP("906-257000-210",B:AB,20+8,0),0)</f>
        <v>0</v>
      </c>
      <c r="AD1589">
        <f>IFERROR(VLOOKUP("906-257000-210",B:AB,21+8,0),0)</f>
        <v>0</v>
      </c>
      <c r="AE1589">
        <f>IFERROR(VLOOKUP("906-257000-210",B:AB,22+8,0),0)</f>
        <v>0</v>
      </c>
      <c r="AF1589">
        <f>IFERROR(VLOOKUP("906-257000-210",B:AB,23+8,0),0)</f>
        <v>0</v>
      </c>
      <c r="AG1589">
        <f>IFERROR(VLOOKUP("906-257000-210",B:AB,24+8,0),0)</f>
        <v>0</v>
      </c>
      <c r="AH1589">
        <f>IFERROR(VLOOKUP("906-257000-210",B:AB,25+8,0),0)</f>
        <v>0</v>
      </c>
      <c r="AI1589">
        <f>IFERROR(VLOOKUP("906-257000-210",B:AB,26+8,0),0)</f>
        <v>0</v>
      </c>
      <c r="AJ1589">
        <f>IFERROR(VLOOKUP("906-257000-210",B:AB,27+8,0),0)</f>
        <v>0</v>
      </c>
      <c r="AK1589">
        <f>IFERROR(VLOOKUP("906-257000-210",B:AB,28+8,0),0)</f>
        <v>0</v>
      </c>
      <c r="AL1589">
        <f>IFERROR(VLOOKUP("906-257000-210",B:AB,29+8,0),0)</f>
        <v>0</v>
      </c>
      <c r="AM1589">
        <f>IFERROR(VLOOKUP("906-257000-210",B:AB,30+8,0),0)</f>
        <v>0</v>
      </c>
      <c r="AN1589">
        <f>IFERROR(VLOOKUP("906-257000-210",B:AB,31+8,0),0)</f>
        <v>0</v>
      </c>
      <c r="AO1589">
        <f>SUN(INDIRECT(ADDRESS(1588,8)):INDIRECT(ADDRESS(1588,39)))</f>
        <v>0</v>
      </c>
    </row>
    <row r="1590" spans="1:41">
      <c r="H1590" t="s">
        <v>179</v>
      </c>
      <c r="J1590">
        <f>INDIRECT(ADDRESS(1590,9))+INDIRECT(ADDRESS(1588,10))-INDIRECT(ADDRESS(1589,10))</f>
        <v>0</v>
      </c>
      <c r="K1590">
        <f>INDIRECT(ADDRESS(1590,10))+INDIRECT(ADDRESS(1588,11))-INDIRECT(ADDRESS(1589,11))</f>
        <v>0</v>
      </c>
      <c r="L1590">
        <f>INDIRECT(ADDRESS(1590,11))+INDIRECT(ADDRESS(1588,12))-INDIRECT(ADDRESS(1589,12))</f>
        <v>0</v>
      </c>
      <c r="M1590">
        <f>INDIRECT(ADDRESS(1590,12))+INDIRECT(ADDRESS(1588,13))-INDIRECT(ADDRESS(1589,13))</f>
        <v>0</v>
      </c>
      <c r="N1590">
        <f>INDIRECT(ADDRESS(1590,13))+INDIRECT(ADDRESS(1588,14))-INDIRECT(ADDRESS(1589,14))</f>
        <v>0</v>
      </c>
      <c r="O1590">
        <f>INDIRECT(ADDRESS(1590,14))+INDIRECT(ADDRESS(1588,15))-INDIRECT(ADDRESS(1589,15))</f>
        <v>0</v>
      </c>
      <c r="P1590">
        <f>INDIRECT(ADDRESS(1590,15))+INDIRECT(ADDRESS(1588,16))-INDIRECT(ADDRESS(1589,16))</f>
        <v>0</v>
      </c>
      <c r="Q1590">
        <f>INDIRECT(ADDRESS(1590,16))+INDIRECT(ADDRESS(1588,17))-INDIRECT(ADDRESS(1589,17))</f>
        <v>0</v>
      </c>
      <c r="R1590">
        <f>INDIRECT(ADDRESS(1590,17))+INDIRECT(ADDRESS(1588,18))-INDIRECT(ADDRESS(1589,18))</f>
        <v>0</v>
      </c>
      <c r="S1590">
        <f>INDIRECT(ADDRESS(1590,18))+INDIRECT(ADDRESS(1588,19))-INDIRECT(ADDRESS(1589,19))</f>
        <v>0</v>
      </c>
      <c r="T1590">
        <f>INDIRECT(ADDRESS(1590,19))+INDIRECT(ADDRESS(1588,20))-INDIRECT(ADDRESS(1589,20))</f>
        <v>0</v>
      </c>
      <c r="U1590">
        <f>INDIRECT(ADDRESS(1590,20))+INDIRECT(ADDRESS(1588,21))-INDIRECT(ADDRESS(1589,21))</f>
        <v>0</v>
      </c>
      <c r="V1590">
        <f>INDIRECT(ADDRESS(1590,21))+INDIRECT(ADDRESS(1588,22))-INDIRECT(ADDRESS(1589,22))</f>
        <v>0</v>
      </c>
      <c r="W1590">
        <f>INDIRECT(ADDRESS(1590,22))+INDIRECT(ADDRESS(1588,23))-INDIRECT(ADDRESS(1589,23))</f>
        <v>0</v>
      </c>
      <c r="X1590">
        <f>INDIRECT(ADDRESS(1590,23))+INDIRECT(ADDRESS(1588,24))-INDIRECT(ADDRESS(1589,24))</f>
        <v>0</v>
      </c>
      <c r="Y1590">
        <f>INDIRECT(ADDRESS(1590,24))+INDIRECT(ADDRESS(1588,25))-INDIRECT(ADDRESS(1589,25))</f>
        <v>0</v>
      </c>
      <c r="Z1590">
        <f>INDIRECT(ADDRESS(1590,25))+INDIRECT(ADDRESS(1588,26))-INDIRECT(ADDRESS(1589,26))</f>
        <v>0</v>
      </c>
      <c r="AA1590">
        <f>INDIRECT(ADDRESS(1590,26))+INDIRECT(ADDRESS(1588,27))-INDIRECT(ADDRESS(1589,27))</f>
        <v>0</v>
      </c>
      <c r="AB1590">
        <f>INDIRECT(ADDRESS(1590,27))+INDIRECT(ADDRESS(1588,28))-INDIRECT(ADDRESS(1589,28))</f>
        <v>0</v>
      </c>
      <c r="AC1590">
        <f>INDIRECT(ADDRESS(1590,28))+INDIRECT(ADDRESS(1588,29))-INDIRECT(ADDRESS(1589,29))</f>
        <v>0</v>
      </c>
      <c r="AD1590">
        <f>INDIRECT(ADDRESS(1590,29))+INDIRECT(ADDRESS(1588,30))-INDIRECT(ADDRESS(1589,30))</f>
        <v>0</v>
      </c>
      <c r="AE1590">
        <f>INDIRECT(ADDRESS(1590,30))+INDIRECT(ADDRESS(1588,31))-INDIRECT(ADDRESS(1589,31))</f>
        <v>0</v>
      </c>
      <c r="AF1590">
        <f>INDIRECT(ADDRESS(1590,31))+INDIRECT(ADDRESS(1588,32))-INDIRECT(ADDRESS(1589,32))</f>
        <v>0</v>
      </c>
      <c r="AG1590">
        <f>INDIRECT(ADDRESS(1590,32))+INDIRECT(ADDRESS(1588,33))-INDIRECT(ADDRESS(1589,33))</f>
        <v>0</v>
      </c>
      <c r="AH1590">
        <f>INDIRECT(ADDRESS(1590,33))+INDIRECT(ADDRESS(1588,34))-INDIRECT(ADDRESS(1589,34))</f>
        <v>0</v>
      </c>
      <c r="AI1590">
        <f>INDIRECT(ADDRESS(1590,34))+INDIRECT(ADDRESS(1588,35))-INDIRECT(ADDRESS(1589,35))</f>
        <v>0</v>
      </c>
      <c r="AJ1590">
        <f>INDIRECT(ADDRESS(1590,35))+INDIRECT(ADDRESS(1588,36))-INDIRECT(ADDRESS(1589,36))</f>
        <v>0</v>
      </c>
      <c r="AK1590">
        <f>INDIRECT(ADDRESS(1590,36))+INDIRECT(ADDRESS(1588,37))-INDIRECT(ADDRESS(1589,37))</f>
        <v>0</v>
      </c>
      <c r="AL1590">
        <f>INDIRECT(ADDRESS(1590,37))+INDIRECT(ADDRESS(1588,38))-INDIRECT(ADDRESS(1589,38))</f>
        <v>0</v>
      </c>
      <c r="AM1590">
        <f>INDIRECT(ADDRESS(1590,38))+INDIRECT(ADDRESS(1588,39))-INDIRECT(ADDRESS(1589,39))</f>
        <v>0</v>
      </c>
      <c r="AN1590">
        <f>INDIRECT(ADDRESS(1590,39))+INDIRECT(ADDRESS(1588,40))-INDIRECT(ADDRESS(1589,40))</f>
        <v>0</v>
      </c>
      <c r="AO1590">
        <f>SUM(INDIRECT(ADDRESS(1589,8)):INDIRECT(ADDRESS(1589,39)))</f>
        <v>0</v>
      </c>
    </row>
    <row r="1591" spans="1:41">
      <c r="A1591" t="s">
        <v>8</v>
      </c>
      <c r="B1591" t="s">
        <v>126</v>
      </c>
      <c r="C1591" t="s">
        <v>127</v>
      </c>
      <c r="E1591">
        <v>1</v>
      </c>
      <c r="I1591" t="s">
        <v>177</v>
      </c>
    </row>
    <row r="1592" spans="1:41">
      <c r="I1592" t="s">
        <v>178</v>
      </c>
      <c r="J1592">
        <f>IFERROR(VLOOKUP("906-246000-210",Out!B:AB,1+8,0),0)</f>
        <v>0</v>
      </c>
      <c r="K1592">
        <f>IFERROR(VLOOKUP("906-246000-210",Out!B:AB,2+8,0),0)</f>
        <v>0</v>
      </c>
      <c r="L1592">
        <f>IFERROR(VLOOKUP("906-246000-210",Out!B:AB,3+8,0),0)</f>
        <v>0</v>
      </c>
      <c r="M1592">
        <f>IFERROR(VLOOKUP("906-246000-210",Out!B:AB,4+8,0),0)</f>
        <v>0</v>
      </c>
      <c r="N1592">
        <f>IFERROR(VLOOKUP("906-246000-210",Out!B:AB,5+8,0),0)</f>
        <v>0</v>
      </c>
      <c r="O1592">
        <f>IFERROR(VLOOKUP("906-246000-210",Out!B:AB,6+8,0),0)</f>
        <v>0</v>
      </c>
      <c r="P1592">
        <f>IFERROR(VLOOKUP("906-246000-210",Out!B:AB,7+8,0),0)</f>
        <v>0</v>
      </c>
      <c r="Q1592">
        <f>IFERROR(VLOOKUP("906-246000-210",Out!B:AB,8+8,0),0)</f>
        <v>0</v>
      </c>
      <c r="R1592">
        <f>IFERROR(VLOOKUP("906-246000-210",Out!B:AB,9+8,0),0)</f>
        <v>0</v>
      </c>
      <c r="S1592">
        <f>IFERROR(VLOOKUP("906-246000-210",Out!B:AB,10+8,0),0)</f>
        <v>0</v>
      </c>
      <c r="T1592">
        <f>IFERROR(VLOOKUP("906-246000-210",Out!B:AB,11+8,0),0)</f>
        <v>0</v>
      </c>
      <c r="U1592">
        <f>IFERROR(VLOOKUP("906-246000-210",Out!B:AB,12+8,0),0)</f>
        <v>0</v>
      </c>
      <c r="V1592">
        <f>IFERROR(VLOOKUP("906-246000-210",Out!B:AB,13+8,0),0)</f>
        <v>0</v>
      </c>
      <c r="W1592">
        <f>IFERROR(VLOOKUP("906-246000-210",Out!B:AB,14+8,0),0)</f>
        <v>0</v>
      </c>
      <c r="X1592">
        <f>IFERROR(VLOOKUP("906-246000-210",Out!B:AB,15+8,0),0)</f>
        <v>0</v>
      </c>
      <c r="Y1592">
        <f>IFERROR(VLOOKUP("906-246000-210",Out!B:AB,16+8,0),0)</f>
        <v>0</v>
      </c>
      <c r="Z1592">
        <f>IFERROR(VLOOKUP("906-246000-210",Out!B:AB,17+8,0),0)</f>
        <v>0</v>
      </c>
      <c r="AA1592">
        <f>IFERROR(VLOOKUP("906-246000-210",Out!B:AB,18+8,0),0)</f>
        <v>0</v>
      </c>
      <c r="AB1592">
        <f>IFERROR(VLOOKUP("906-246000-210",Out!B:AB,19+8,0),0)</f>
        <v>0</v>
      </c>
      <c r="AC1592">
        <f>IFERROR(VLOOKUP("906-246000-210",Out!B:AB,20+8,0),0)</f>
        <v>0</v>
      </c>
      <c r="AD1592">
        <f>IFERROR(VLOOKUP("906-246000-210",Out!B:AB,21+8,0),0)</f>
        <v>0</v>
      </c>
      <c r="AE1592">
        <f>IFERROR(VLOOKUP("906-246000-210",Out!B:AB,22+8,0),0)</f>
        <v>0</v>
      </c>
      <c r="AF1592">
        <f>IFERROR(VLOOKUP("906-246000-210",Out!B:AB,23+8,0),0)</f>
        <v>0</v>
      </c>
      <c r="AG1592">
        <f>IFERROR(VLOOKUP("906-246000-210",Out!B:AB,24+8,0),0)</f>
        <v>0</v>
      </c>
      <c r="AH1592">
        <f>IFERROR(VLOOKUP("906-246000-210",Out!B:AB,25+8,0),0)</f>
        <v>0</v>
      </c>
      <c r="AI1592">
        <f>IFERROR(VLOOKUP("906-246000-210",Out!B:AB,26+8,0),0)</f>
        <v>0</v>
      </c>
      <c r="AJ1592">
        <f>IFERROR(VLOOKUP("906-246000-210",Out!B:AB,27+8,0),0)</f>
        <v>0</v>
      </c>
      <c r="AK1592">
        <f>IFERROR(VLOOKUP("906-246000-210",Out!B:AB,28+8,0),0)</f>
        <v>0</v>
      </c>
      <c r="AL1592">
        <f>IFERROR(VLOOKUP("906-246000-210",Out!B:AB,29+8,0),0)</f>
        <v>0</v>
      </c>
      <c r="AM1592">
        <f>IFERROR(VLOOKUP("906-246000-210",Out!B:AB,30+8,0),0)</f>
        <v>0</v>
      </c>
      <c r="AN1592">
        <f>IFERROR(VLOOKUP("906-246000-210",Out!B:AB,31+8,0),0)</f>
        <v>0</v>
      </c>
      <c r="AO1592">
        <f>SUN(INDIRECT(ADDRESS(1591,8)):INDIRECT(ADDRESS(1591,39)))</f>
        <v>0</v>
      </c>
    </row>
    <row r="1593" spans="1:41">
      <c r="H1593" t="s">
        <v>179</v>
      </c>
      <c r="J1593">
        <f>INDIRECT(ADDRESS(1593,9))+INDIRECT(ADDRESS(1591,10))-INDIRECT(ADDRESS(1592,10))</f>
        <v>0</v>
      </c>
      <c r="K1593">
        <f>INDIRECT(ADDRESS(1593,10))+INDIRECT(ADDRESS(1591,11))-INDIRECT(ADDRESS(1592,11))</f>
        <v>0</v>
      </c>
      <c r="L1593">
        <f>INDIRECT(ADDRESS(1593,11))+INDIRECT(ADDRESS(1591,12))-INDIRECT(ADDRESS(1592,12))</f>
        <v>0</v>
      </c>
      <c r="M1593">
        <f>INDIRECT(ADDRESS(1593,12))+INDIRECT(ADDRESS(1591,13))-INDIRECT(ADDRESS(1592,13))</f>
        <v>0</v>
      </c>
      <c r="N1593">
        <f>INDIRECT(ADDRESS(1593,13))+INDIRECT(ADDRESS(1591,14))-INDIRECT(ADDRESS(1592,14))</f>
        <v>0</v>
      </c>
      <c r="O1593">
        <f>INDIRECT(ADDRESS(1593,14))+INDIRECT(ADDRESS(1591,15))-INDIRECT(ADDRESS(1592,15))</f>
        <v>0</v>
      </c>
      <c r="P1593">
        <f>INDIRECT(ADDRESS(1593,15))+INDIRECT(ADDRESS(1591,16))-INDIRECT(ADDRESS(1592,16))</f>
        <v>0</v>
      </c>
      <c r="Q1593">
        <f>INDIRECT(ADDRESS(1593,16))+INDIRECT(ADDRESS(1591,17))-INDIRECT(ADDRESS(1592,17))</f>
        <v>0</v>
      </c>
      <c r="R1593">
        <f>INDIRECT(ADDRESS(1593,17))+INDIRECT(ADDRESS(1591,18))-INDIRECT(ADDRESS(1592,18))</f>
        <v>0</v>
      </c>
      <c r="S1593">
        <f>INDIRECT(ADDRESS(1593,18))+INDIRECT(ADDRESS(1591,19))-INDIRECT(ADDRESS(1592,19))</f>
        <v>0</v>
      </c>
      <c r="T1593">
        <f>INDIRECT(ADDRESS(1593,19))+INDIRECT(ADDRESS(1591,20))-INDIRECT(ADDRESS(1592,20))</f>
        <v>0</v>
      </c>
      <c r="U1593">
        <f>INDIRECT(ADDRESS(1593,20))+INDIRECT(ADDRESS(1591,21))-INDIRECT(ADDRESS(1592,21))</f>
        <v>0</v>
      </c>
      <c r="V1593">
        <f>INDIRECT(ADDRESS(1593,21))+INDIRECT(ADDRESS(1591,22))-INDIRECT(ADDRESS(1592,22))</f>
        <v>0</v>
      </c>
      <c r="W1593">
        <f>INDIRECT(ADDRESS(1593,22))+INDIRECT(ADDRESS(1591,23))-INDIRECT(ADDRESS(1592,23))</f>
        <v>0</v>
      </c>
      <c r="X1593">
        <f>INDIRECT(ADDRESS(1593,23))+INDIRECT(ADDRESS(1591,24))-INDIRECT(ADDRESS(1592,24))</f>
        <v>0</v>
      </c>
      <c r="Y1593">
        <f>INDIRECT(ADDRESS(1593,24))+INDIRECT(ADDRESS(1591,25))-INDIRECT(ADDRESS(1592,25))</f>
        <v>0</v>
      </c>
      <c r="Z1593">
        <f>INDIRECT(ADDRESS(1593,25))+INDIRECT(ADDRESS(1591,26))-INDIRECT(ADDRESS(1592,26))</f>
        <v>0</v>
      </c>
      <c r="AA1593">
        <f>INDIRECT(ADDRESS(1593,26))+INDIRECT(ADDRESS(1591,27))-INDIRECT(ADDRESS(1592,27))</f>
        <v>0</v>
      </c>
      <c r="AB1593">
        <f>INDIRECT(ADDRESS(1593,27))+INDIRECT(ADDRESS(1591,28))-INDIRECT(ADDRESS(1592,28))</f>
        <v>0</v>
      </c>
      <c r="AC1593">
        <f>INDIRECT(ADDRESS(1593,28))+INDIRECT(ADDRESS(1591,29))-INDIRECT(ADDRESS(1592,29))</f>
        <v>0</v>
      </c>
      <c r="AD1593">
        <f>INDIRECT(ADDRESS(1593,29))+INDIRECT(ADDRESS(1591,30))-INDIRECT(ADDRESS(1592,30))</f>
        <v>0</v>
      </c>
      <c r="AE1593">
        <f>INDIRECT(ADDRESS(1593,30))+INDIRECT(ADDRESS(1591,31))-INDIRECT(ADDRESS(1592,31))</f>
        <v>0</v>
      </c>
      <c r="AF1593">
        <f>INDIRECT(ADDRESS(1593,31))+INDIRECT(ADDRESS(1591,32))-INDIRECT(ADDRESS(1592,32))</f>
        <v>0</v>
      </c>
      <c r="AG1593">
        <f>INDIRECT(ADDRESS(1593,32))+INDIRECT(ADDRESS(1591,33))-INDIRECT(ADDRESS(1592,33))</f>
        <v>0</v>
      </c>
      <c r="AH1593">
        <f>INDIRECT(ADDRESS(1593,33))+INDIRECT(ADDRESS(1591,34))-INDIRECT(ADDRESS(1592,34))</f>
        <v>0</v>
      </c>
      <c r="AI1593">
        <f>INDIRECT(ADDRESS(1593,34))+INDIRECT(ADDRESS(1591,35))-INDIRECT(ADDRESS(1592,35))</f>
        <v>0</v>
      </c>
      <c r="AJ1593">
        <f>INDIRECT(ADDRESS(1593,35))+INDIRECT(ADDRESS(1591,36))-INDIRECT(ADDRESS(1592,36))</f>
        <v>0</v>
      </c>
      <c r="AK1593">
        <f>INDIRECT(ADDRESS(1593,36))+INDIRECT(ADDRESS(1591,37))-INDIRECT(ADDRESS(1592,37))</f>
        <v>0</v>
      </c>
      <c r="AL1593">
        <f>INDIRECT(ADDRESS(1593,37))+INDIRECT(ADDRESS(1591,38))-INDIRECT(ADDRESS(1592,38))</f>
        <v>0</v>
      </c>
      <c r="AM1593">
        <f>INDIRECT(ADDRESS(1593,38))+INDIRECT(ADDRESS(1591,39))-INDIRECT(ADDRESS(1592,39))</f>
        <v>0</v>
      </c>
      <c r="AN1593">
        <f>INDIRECT(ADDRESS(1593,39))+INDIRECT(ADDRESS(1591,40))-INDIRECT(ADDRESS(1592,40))</f>
        <v>0</v>
      </c>
      <c r="AO1593">
        <f>SUM(INDIRECT(ADDRESS(1592,8)):INDIRECT(ADDRESS(1592,39)))</f>
        <v>0</v>
      </c>
    </row>
    <row r="1594" spans="1:41">
      <c r="A1594" t="s">
        <v>180</v>
      </c>
      <c r="B1594" t="s">
        <v>746</v>
      </c>
      <c r="C1594" t="s">
        <v>747</v>
      </c>
      <c r="E1594">
        <v>1</v>
      </c>
      <c r="I1594" t="s">
        <v>177</v>
      </c>
    </row>
    <row r="1595" spans="1:41">
      <c r="I1595" t="s">
        <v>178</v>
      </c>
      <c r="J1595">
        <f>IFERROR(VLOOKUP("906-246000-210",B:AB,1+8,0),0)</f>
        <v>0</v>
      </c>
      <c r="K1595">
        <f>IFERROR(VLOOKUP("906-246000-210",B:AB,2+8,0),0)</f>
        <v>0</v>
      </c>
      <c r="L1595">
        <f>IFERROR(VLOOKUP("906-246000-210",B:AB,3+8,0),0)</f>
        <v>0</v>
      </c>
      <c r="M1595">
        <f>IFERROR(VLOOKUP("906-246000-210",B:AB,4+8,0),0)</f>
        <v>0</v>
      </c>
      <c r="N1595">
        <f>IFERROR(VLOOKUP("906-246000-210",B:AB,5+8,0),0)</f>
        <v>0</v>
      </c>
      <c r="O1595">
        <f>IFERROR(VLOOKUP("906-246000-210",B:AB,6+8,0),0)</f>
        <v>0</v>
      </c>
      <c r="P1595">
        <f>IFERROR(VLOOKUP("906-246000-210",B:AB,7+8,0),0)</f>
        <v>0</v>
      </c>
      <c r="Q1595">
        <f>IFERROR(VLOOKUP("906-246000-210",B:AB,8+8,0),0)</f>
        <v>0</v>
      </c>
      <c r="R1595">
        <f>IFERROR(VLOOKUP("906-246000-210",B:AB,9+8,0),0)</f>
        <v>0</v>
      </c>
      <c r="S1595">
        <f>IFERROR(VLOOKUP("906-246000-210",B:AB,10+8,0),0)</f>
        <v>0</v>
      </c>
      <c r="T1595">
        <f>IFERROR(VLOOKUP("906-246000-210",B:AB,11+8,0),0)</f>
        <v>0</v>
      </c>
      <c r="U1595">
        <f>IFERROR(VLOOKUP("906-246000-210",B:AB,12+8,0),0)</f>
        <v>0</v>
      </c>
      <c r="V1595">
        <f>IFERROR(VLOOKUP("906-246000-210",B:AB,13+8,0),0)</f>
        <v>0</v>
      </c>
      <c r="W1595">
        <f>IFERROR(VLOOKUP("906-246000-210",B:AB,14+8,0),0)</f>
        <v>0</v>
      </c>
      <c r="X1595">
        <f>IFERROR(VLOOKUP("906-246000-210",B:AB,15+8,0),0)</f>
        <v>0</v>
      </c>
      <c r="Y1595">
        <f>IFERROR(VLOOKUP("906-246000-210",B:AB,16+8,0),0)</f>
        <v>0</v>
      </c>
      <c r="Z1595">
        <f>IFERROR(VLOOKUP("906-246000-210",B:AB,17+8,0),0)</f>
        <v>0</v>
      </c>
      <c r="AA1595">
        <f>IFERROR(VLOOKUP("906-246000-210",B:AB,18+8,0),0)</f>
        <v>0</v>
      </c>
      <c r="AB1595">
        <f>IFERROR(VLOOKUP("906-246000-210",B:AB,19+8,0),0)</f>
        <v>0</v>
      </c>
      <c r="AC1595">
        <f>IFERROR(VLOOKUP("906-246000-210",B:AB,20+8,0),0)</f>
        <v>0</v>
      </c>
      <c r="AD1595">
        <f>IFERROR(VLOOKUP("906-246000-210",B:AB,21+8,0),0)</f>
        <v>0</v>
      </c>
      <c r="AE1595">
        <f>IFERROR(VLOOKUP("906-246000-210",B:AB,22+8,0),0)</f>
        <v>0</v>
      </c>
      <c r="AF1595">
        <f>IFERROR(VLOOKUP("906-246000-210",B:AB,23+8,0),0)</f>
        <v>0</v>
      </c>
      <c r="AG1595">
        <f>IFERROR(VLOOKUP("906-246000-210",B:AB,24+8,0),0)</f>
        <v>0</v>
      </c>
      <c r="AH1595">
        <f>IFERROR(VLOOKUP("906-246000-210",B:AB,25+8,0),0)</f>
        <v>0</v>
      </c>
      <c r="AI1595">
        <f>IFERROR(VLOOKUP("906-246000-210",B:AB,26+8,0),0)</f>
        <v>0</v>
      </c>
      <c r="AJ1595">
        <f>IFERROR(VLOOKUP("906-246000-210",B:AB,27+8,0),0)</f>
        <v>0</v>
      </c>
      <c r="AK1595">
        <f>IFERROR(VLOOKUP("906-246000-210",B:AB,28+8,0),0)</f>
        <v>0</v>
      </c>
      <c r="AL1595">
        <f>IFERROR(VLOOKUP("906-246000-210",B:AB,29+8,0),0)</f>
        <v>0</v>
      </c>
      <c r="AM1595">
        <f>IFERROR(VLOOKUP("906-246000-210",B:AB,30+8,0),0)</f>
        <v>0</v>
      </c>
      <c r="AN1595">
        <f>IFERROR(VLOOKUP("906-246000-210",B:AB,31+8,0),0)</f>
        <v>0</v>
      </c>
      <c r="AO1595">
        <f>SUN(INDIRECT(ADDRESS(1594,8)):INDIRECT(ADDRESS(1594,39)))</f>
        <v>0</v>
      </c>
    </row>
    <row r="1596" spans="1:41">
      <c r="H1596" t="s">
        <v>179</v>
      </c>
      <c r="J1596">
        <f>INDIRECT(ADDRESS(1596,9))+INDIRECT(ADDRESS(1594,10))-INDIRECT(ADDRESS(1595,10))</f>
        <v>0</v>
      </c>
      <c r="K1596">
        <f>INDIRECT(ADDRESS(1596,10))+INDIRECT(ADDRESS(1594,11))-INDIRECT(ADDRESS(1595,11))</f>
        <v>0</v>
      </c>
      <c r="L1596">
        <f>INDIRECT(ADDRESS(1596,11))+INDIRECT(ADDRESS(1594,12))-INDIRECT(ADDRESS(1595,12))</f>
        <v>0</v>
      </c>
      <c r="M1596">
        <f>INDIRECT(ADDRESS(1596,12))+INDIRECT(ADDRESS(1594,13))-INDIRECT(ADDRESS(1595,13))</f>
        <v>0</v>
      </c>
      <c r="N1596">
        <f>INDIRECT(ADDRESS(1596,13))+INDIRECT(ADDRESS(1594,14))-INDIRECT(ADDRESS(1595,14))</f>
        <v>0</v>
      </c>
      <c r="O1596">
        <f>INDIRECT(ADDRESS(1596,14))+INDIRECT(ADDRESS(1594,15))-INDIRECT(ADDRESS(1595,15))</f>
        <v>0</v>
      </c>
      <c r="P1596">
        <f>INDIRECT(ADDRESS(1596,15))+INDIRECT(ADDRESS(1594,16))-INDIRECT(ADDRESS(1595,16))</f>
        <v>0</v>
      </c>
      <c r="Q1596">
        <f>INDIRECT(ADDRESS(1596,16))+INDIRECT(ADDRESS(1594,17))-INDIRECT(ADDRESS(1595,17))</f>
        <v>0</v>
      </c>
      <c r="R1596">
        <f>INDIRECT(ADDRESS(1596,17))+INDIRECT(ADDRESS(1594,18))-INDIRECT(ADDRESS(1595,18))</f>
        <v>0</v>
      </c>
      <c r="S1596">
        <f>INDIRECT(ADDRESS(1596,18))+INDIRECT(ADDRESS(1594,19))-INDIRECT(ADDRESS(1595,19))</f>
        <v>0</v>
      </c>
      <c r="T1596">
        <f>INDIRECT(ADDRESS(1596,19))+INDIRECT(ADDRESS(1594,20))-INDIRECT(ADDRESS(1595,20))</f>
        <v>0</v>
      </c>
      <c r="U1596">
        <f>INDIRECT(ADDRESS(1596,20))+INDIRECT(ADDRESS(1594,21))-INDIRECT(ADDRESS(1595,21))</f>
        <v>0</v>
      </c>
      <c r="V1596">
        <f>INDIRECT(ADDRESS(1596,21))+INDIRECT(ADDRESS(1594,22))-INDIRECT(ADDRESS(1595,22))</f>
        <v>0</v>
      </c>
      <c r="W1596">
        <f>INDIRECT(ADDRESS(1596,22))+INDIRECT(ADDRESS(1594,23))-INDIRECT(ADDRESS(1595,23))</f>
        <v>0</v>
      </c>
      <c r="X1596">
        <f>INDIRECT(ADDRESS(1596,23))+INDIRECT(ADDRESS(1594,24))-INDIRECT(ADDRESS(1595,24))</f>
        <v>0</v>
      </c>
      <c r="Y1596">
        <f>INDIRECT(ADDRESS(1596,24))+INDIRECT(ADDRESS(1594,25))-INDIRECT(ADDRESS(1595,25))</f>
        <v>0</v>
      </c>
      <c r="Z1596">
        <f>INDIRECT(ADDRESS(1596,25))+INDIRECT(ADDRESS(1594,26))-INDIRECT(ADDRESS(1595,26))</f>
        <v>0</v>
      </c>
      <c r="AA1596">
        <f>INDIRECT(ADDRESS(1596,26))+INDIRECT(ADDRESS(1594,27))-INDIRECT(ADDRESS(1595,27))</f>
        <v>0</v>
      </c>
      <c r="AB1596">
        <f>INDIRECT(ADDRESS(1596,27))+INDIRECT(ADDRESS(1594,28))-INDIRECT(ADDRESS(1595,28))</f>
        <v>0</v>
      </c>
      <c r="AC1596">
        <f>INDIRECT(ADDRESS(1596,28))+INDIRECT(ADDRESS(1594,29))-INDIRECT(ADDRESS(1595,29))</f>
        <v>0</v>
      </c>
      <c r="AD1596">
        <f>INDIRECT(ADDRESS(1596,29))+INDIRECT(ADDRESS(1594,30))-INDIRECT(ADDRESS(1595,30))</f>
        <v>0</v>
      </c>
      <c r="AE1596">
        <f>INDIRECT(ADDRESS(1596,30))+INDIRECT(ADDRESS(1594,31))-INDIRECT(ADDRESS(1595,31))</f>
        <v>0</v>
      </c>
      <c r="AF1596">
        <f>INDIRECT(ADDRESS(1596,31))+INDIRECT(ADDRESS(1594,32))-INDIRECT(ADDRESS(1595,32))</f>
        <v>0</v>
      </c>
      <c r="AG1596">
        <f>INDIRECT(ADDRESS(1596,32))+INDIRECT(ADDRESS(1594,33))-INDIRECT(ADDRESS(1595,33))</f>
        <v>0</v>
      </c>
      <c r="AH1596">
        <f>INDIRECT(ADDRESS(1596,33))+INDIRECT(ADDRESS(1594,34))-INDIRECT(ADDRESS(1595,34))</f>
        <v>0</v>
      </c>
      <c r="AI1596">
        <f>INDIRECT(ADDRESS(1596,34))+INDIRECT(ADDRESS(1594,35))-INDIRECT(ADDRESS(1595,35))</f>
        <v>0</v>
      </c>
      <c r="AJ1596">
        <f>INDIRECT(ADDRESS(1596,35))+INDIRECT(ADDRESS(1594,36))-INDIRECT(ADDRESS(1595,36))</f>
        <v>0</v>
      </c>
      <c r="AK1596">
        <f>INDIRECT(ADDRESS(1596,36))+INDIRECT(ADDRESS(1594,37))-INDIRECT(ADDRESS(1595,37))</f>
        <v>0</v>
      </c>
      <c r="AL1596">
        <f>INDIRECT(ADDRESS(1596,37))+INDIRECT(ADDRESS(1594,38))-INDIRECT(ADDRESS(1595,38))</f>
        <v>0</v>
      </c>
      <c r="AM1596">
        <f>INDIRECT(ADDRESS(1596,38))+INDIRECT(ADDRESS(1594,39))-INDIRECT(ADDRESS(1595,39))</f>
        <v>0</v>
      </c>
      <c r="AN1596">
        <f>INDIRECT(ADDRESS(1596,39))+INDIRECT(ADDRESS(1594,40))-INDIRECT(ADDRESS(1595,40))</f>
        <v>0</v>
      </c>
      <c r="AO1596">
        <f>SUM(INDIRECT(ADDRESS(1595,8)):INDIRECT(ADDRESS(1595,39)))</f>
        <v>0</v>
      </c>
    </row>
    <row r="1597" spans="1:41">
      <c r="A1597" t="s">
        <v>185</v>
      </c>
      <c r="B1597" t="s">
        <v>748</v>
      </c>
      <c r="C1597" t="s">
        <v>749</v>
      </c>
      <c r="E1597">
        <v>0.002</v>
      </c>
      <c r="I1597" t="s">
        <v>177</v>
      </c>
    </row>
    <row r="1598" spans="1:41">
      <c r="I1598" t="s">
        <v>178</v>
      </c>
      <c r="J1598">
        <f>IFERROR(VLOOKUP("906-246000-210",B:AB,1+8,0),0)</f>
        <v>0</v>
      </c>
      <c r="K1598">
        <f>IFERROR(VLOOKUP("906-246000-210",B:AB,2+8,0),0)</f>
        <v>0</v>
      </c>
      <c r="L1598">
        <f>IFERROR(VLOOKUP("906-246000-210",B:AB,3+8,0),0)</f>
        <v>0</v>
      </c>
      <c r="M1598">
        <f>IFERROR(VLOOKUP("906-246000-210",B:AB,4+8,0),0)</f>
        <v>0</v>
      </c>
      <c r="N1598">
        <f>IFERROR(VLOOKUP("906-246000-210",B:AB,5+8,0),0)</f>
        <v>0</v>
      </c>
      <c r="O1598">
        <f>IFERROR(VLOOKUP("906-246000-210",B:AB,6+8,0),0)</f>
        <v>0</v>
      </c>
      <c r="P1598">
        <f>IFERROR(VLOOKUP("906-246000-210",B:AB,7+8,0),0)</f>
        <v>0</v>
      </c>
      <c r="Q1598">
        <f>IFERROR(VLOOKUP("906-246000-210",B:AB,8+8,0),0)</f>
        <v>0</v>
      </c>
      <c r="R1598">
        <f>IFERROR(VLOOKUP("906-246000-210",B:AB,9+8,0),0)</f>
        <v>0</v>
      </c>
      <c r="S1598">
        <f>IFERROR(VLOOKUP("906-246000-210",B:AB,10+8,0),0)</f>
        <v>0</v>
      </c>
      <c r="T1598">
        <f>IFERROR(VLOOKUP("906-246000-210",B:AB,11+8,0),0)</f>
        <v>0</v>
      </c>
      <c r="U1598">
        <f>IFERROR(VLOOKUP("906-246000-210",B:AB,12+8,0),0)</f>
        <v>0</v>
      </c>
      <c r="V1598">
        <f>IFERROR(VLOOKUP("906-246000-210",B:AB,13+8,0),0)</f>
        <v>0</v>
      </c>
      <c r="W1598">
        <f>IFERROR(VLOOKUP("906-246000-210",B:AB,14+8,0),0)</f>
        <v>0</v>
      </c>
      <c r="X1598">
        <f>IFERROR(VLOOKUP("906-246000-210",B:AB,15+8,0),0)</f>
        <v>0</v>
      </c>
      <c r="Y1598">
        <f>IFERROR(VLOOKUP("906-246000-210",B:AB,16+8,0),0)</f>
        <v>0</v>
      </c>
      <c r="Z1598">
        <f>IFERROR(VLOOKUP("906-246000-210",B:AB,17+8,0),0)</f>
        <v>0</v>
      </c>
      <c r="AA1598">
        <f>IFERROR(VLOOKUP("906-246000-210",B:AB,18+8,0),0)</f>
        <v>0</v>
      </c>
      <c r="AB1598">
        <f>IFERROR(VLOOKUP("906-246000-210",B:AB,19+8,0),0)</f>
        <v>0</v>
      </c>
      <c r="AC1598">
        <f>IFERROR(VLOOKUP("906-246000-210",B:AB,20+8,0),0)</f>
        <v>0</v>
      </c>
      <c r="AD1598">
        <f>IFERROR(VLOOKUP("906-246000-210",B:AB,21+8,0),0)</f>
        <v>0</v>
      </c>
      <c r="AE1598">
        <f>IFERROR(VLOOKUP("906-246000-210",B:AB,22+8,0),0)</f>
        <v>0</v>
      </c>
      <c r="AF1598">
        <f>IFERROR(VLOOKUP("906-246000-210",B:AB,23+8,0),0)</f>
        <v>0</v>
      </c>
      <c r="AG1598">
        <f>IFERROR(VLOOKUP("906-246000-210",B:AB,24+8,0),0)</f>
        <v>0</v>
      </c>
      <c r="AH1598">
        <f>IFERROR(VLOOKUP("906-246000-210",B:AB,25+8,0),0)</f>
        <v>0</v>
      </c>
      <c r="AI1598">
        <f>IFERROR(VLOOKUP("906-246000-210",B:AB,26+8,0),0)</f>
        <v>0</v>
      </c>
      <c r="AJ1598">
        <f>IFERROR(VLOOKUP("906-246000-210",B:AB,27+8,0),0)</f>
        <v>0</v>
      </c>
      <c r="AK1598">
        <f>IFERROR(VLOOKUP("906-246000-210",B:AB,28+8,0),0)</f>
        <v>0</v>
      </c>
      <c r="AL1598">
        <f>IFERROR(VLOOKUP("906-246000-210",B:AB,29+8,0),0)</f>
        <v>0</v>
      </c>
      <c r="AM1598">
        <f>IFERROR(VLOOKUP("906-246000-210",B:AB,30+8,0),0)</f>
        <v>0</v>
      </c>
      <c r="AN1598">
        <f>IFERROR(VLOOKUP("906-246000-210",B:AB,31+8,0),0)</f>
        <v>0</v>
      </c>
      <c r="AO1598">
        <f>SUN(INDIRECT(ADDRESS(1597,8)):INDIRECT(ADDRESS(1597,39)))</f>
        <v>0</v>
      </c>
    </row>
    <row r="1599" spans="1:41">
      <c r="H1599" t="s">
        <v>179</v>
      </c>
      <c r="J1599">
        <f>INDIRECT(ADDRESS(1599,9))+INDIRECT(ADDRESS(1597,10))-INDIRECT(ADDRESS(1598,10))</f>
        <v>0</v>
      </c>
      <c r="K1599">
        <f>INDIRECT(ADDRESS(1599,10))+INDIRECT(ADDRESS(1597,11))-INDIRECT(ADDRESS(1598,11))</f>
        <v>0</v>
      </c>
      <c r="L1599">
        <f>INDIRECT(ADDRESS(1599,11))+INDIRECT(ADDRESS(1597,12))-INDIRECT(ADDRESS(1598,12))</f>
        <v>0</v>
      </c>
      <c r="M1599">
        <f>INDIRECT(ADDRESS(1599,12))+INDIRECT(ADDRESS(1597,13))-INDIRECT(ADDRESS(1598,13))</f>
        <v>0</v>
      </c>
      <c r="N1599">
        <f>INDIRECT(ADDRESS(1599,13))+INDIRECT(ADDRESS(1597,14))-INDIRECT(ADDRESS(1598,14))</f>
        <v>0</v>
      </c>
      <c r="O1599">
        <f>INDIRECT(ADDRESS(1599,14))+INDIRECT(ADDRESS(1597,15))-INDIRECT(ADDRESS(1598,15))</f>
        <v>0</v>
      </c>
      <c r="P1599">
        <f>INDIRECT(ADDRESS(1599,15))+INDIRECT(ADDRESS(1597,16))-INDIRECT(ADDRESS(1598,16))</f>
        <v>0</v>
      </c>
      <c r="Q1599">
        <f>INDIRECT(ADDRESS(1599,16))+INDIRECT(ADDRESS(1597,17))-INDIRECT(ADDRESS(1598,17))</f>
        <v>0</v>
      </c>
      <c r="R1599">
        <f>INDIRECT(ADDRESS(1599,17))+INDIRECT(ADDRESS(1597,18))-INDIRECT(ADDRESS(1598,18))</f>
        <v>0</v>
      </c>
      <c r="S1599">
        <f>INDIRECT(ADDRESS(1599,18))+INDIRECT(ADDRESS(1597,19))-INDIRECT(ADDRESS(1598,19))</f>
        <v>0</v>
      </c>
      <c r="T1599">
        <f>INDIRECT(ADDRESS(1599,19))+INDIRECT(ADDRESS(1597,20))-INDIRECT(ADDRESS(1598,20))</f>
        <v>0</v>
      </c>
      <c r="U1599">
        <f>INDIRECT(ADDRESS(1599,20))+INDIRECT(ADDRESS(1597,21))-INDIRECT(ADDRESS(1598,21))</f>
        <v>0</v>
      </c>
      <c r="V1599">
        <f>INDIRECT(ADDRESS(1599,21))+INDIRECT(ADDRESS(1597,22))-INDIRECT(ADDRESS(1598,22))</f>
        <v>0</v>
      </c>
      <c r="W1599">
        <f>INDIRECT(ADDRESS(1599,22))+INDIRECT(ADDRESS(1597,23))-INDIRECT(ADDRESS(1598,23))</f>
        <v>0</v>
      </c>
      <c r="X1599">
        <f>INDIRECT(ADDRESS(1599,23))+INDIRECT(ADDRESS(1597,24))-INDIRECT(ADDRESS(1598,24))</f>
        <v>0</v>
      </c>
      <c r="Y1599">
        <f>INDIRECT(ADDRESS(1599,24))+INDIRECT(ADDRESS(1597,25))-INDIRECT(ADDRESS(1598,25))</f>
        <v>0</v>
      </c>
      <c r="Z1599">
        <f>INDIRECT(ADDRESS(1599,25))+INDIRECT(ADDRESS(1597,26))-INDIRECT(ADDRESS(1598,26))</f>
        <v>0</v>
      </c>
      <c r="AA1599">
        <f>INDIRECT(ADDRESS(1599,26))+INDIRECT(ADDRESS(1597,27))-INDIRECT(ADDRESS(1598,27))</f>
        <v>0</v>
      </c>
      <c r="AB1599">
        <f>INDIRECT(ADDRESS(1599,27))+INDIRECT(ADDRESS(1597,28))-INDIRECT(ADDRESS(1598,28))</f>
        <v>0</v>
      </c>
      <c r="AC1599">
        <f>INDIRECT(ADDRESS(1599,28))+INDIRECT(ADDRESS(1597,29))-INDIRECT(ADDRESS(1598,29))</f>
        <v>0</v>
      </c>
      <c r="AD1599">
        <f>INDIRECT(ADDRESS(1599,29))+INDIRECT(ADDRESS(1597,30))-INDIRECT(ADDRESS(1598,30))</f>
        <v>0</v>
      </c>
      <c r="AE1599">
        <f>INDIRECT(ADDRESS(1599,30))+INDIRECT(ADDRESS(1597,31))-INDIRECT(ADDRESS(1598,31))</f>
        <v>0</v>
      </c>
      <c r="AF1599">
        <f>INDIRECT(ADDRESS(1599,31))+INDIRECT(ADDRESS(1597,32))-INDIRECT(ADDRESS(1598,32))</f>
        <v>0</v>
      </c>
      <c r="AG1599">
        <f>INDIRECT(ADDRESS(1599,32))+INDIRECT(ADDRESS(1597,33))-INDIRECT(ADDRESS(1598,33))</f>
        <v>0</v>
      </c>
      <c r="AH1599">
        <f>INDIRECT(ADDRESS(1599,33))+INDIRECT(ADDRESS(1597,34))-INDIRECT(ADDRESS(1598,34))</f>
        <v>0</v>
      </c>
      <c r="AI1599">
        <f>INDIRECT(ADDRESS(1599,34))+INDIRECT(ADDRESS(1597,35))-INDIRECT(ADDRESS(1598,35))</f>
        <v>0</v>
      </c>
      <c r="AJ1599">
        <f>INDIRECT(ADDRESS(1599,35))+INDIRECT(ADDRESS(1597,36))-INDIRECT(ADDRESS(1598,36))</f>
        <v>0</v>
      </c>
      <c r="AK1599">
        <f>INDIRECT(ADDRESS(1599,36))+INDIRECT(ADDRESS(1597,37))-INDIRECT(ADDRESS(1598,37))</f>
        <v>0</v>
      </c>
      <c r="AL1599">
        <f>INDIRECT(ADDRESS(1599,37))+INDIRECT(ADDRESS(1597,38))-INDIRECT(ADDRESS(1598,38))</f>
        <v>0</v>
      </c>
      <c r="AM1599">
        <f>INDIRECT(ADDRESS(1599,38))+INDIRECT(ADDRESS(1597,39))-INDIRECT(ADDRESS(1598,39))</f>
        <v>0</v>
      </c>
      <c r="AN1599">
        <f>INDIRECT(ADDRESS(1599,39))+INDIRECT(ADDRESS(1597,40))-INDIRECT(ADDRESS(1598,40))</f>
        <v>0</v>
      </c>
      <c r="AO1599">
        <f>SUM(INDIRECT(ADDRESS(1598,8)):INDIRECT(ADDRESS(1598,39)))</f>
        <v>0</v>
      </c>
    </row>
    <row r="1600" spans="1:41">
      <c r="A1600" t="s">
        <v>185</v>
      </c>
      <c r="B1600" t="s">
        <v>750</v>
      </c>
      <c r="C1600" t="s">
        <v>751</v>
      </c>
      <c r="E1600">
        <v>0.003</v>
      </c>
      <c r="I1600" t="s">
        <v>177</v>
      </c>
    </row>
    <row r="1601" spans="1:41">
      <c r="I1601" t="s">
        <v>178</v>
      </c>
      <c r="J1601">
        <f>IFERROR(VLOOKUP("906-246000-210",B:AB,1+8,0),0)</f>
        <v>0</v>
      </c>
      <c r="K1601">
        <f>IFERROR(VLOOKUP("906-246000-210",B:AB,2+8,0),0)</f>
        <v>0</v>
      </c>
      <c r="L1601">
        <f>IFERROR(VLOOKUP("906-246000-210",B:AB,3+8,0),0)</f>
        <v>0</v>
      </c>
      <c r="M1601">
        <f>IFERROR(VLOOKUP("906-246000-210",B:AB,4+8,0),0)</f>
        <v>0</v>
      </c>
      <c r="N1601">
        <f>IFERROR(VLOOKUP("906-246000-210",B:AB,5+8,0),0)</f>
        <v>0</v>
      </c>
      <c r="O1601">
        <f>IFERROR(VLOOKUP("906-246000-210",B:AB,6+8,0),0)</f>
        <v>0</v>
      </c>
      <c r="P1601">
        <f>IFERROR(VLOOKUP("906-246000-210",B:AB,7+8,0),0)</f>
        <v>0</v>
      </c>
      <c r="Q1601">
        <f>IFERROR(VLOOKUP("906-246000-210",B:AB,8+8,0),0)</f>
        <v>0</v>
      </c>
      <c r="R1601">
        <f>IFERROR(VLOOKUP("906-246000-210",B:AB,9+8,0),0)</f>
        <v>0</v>
      </c>
      <c r="S1601">
        <f>IFERROR(VLOOKUP("906-246000-210",B:AB,10+8,0),0)</f>
        <v>0</v>
      </c>
      <c r="T1601">
        <f>IFERROR(VLOOKUP("906-246000-210",B:AB,11+8,0),0)</f>
        <v>0</v>
      </c>
      <c r="U1601">
        <f>IFERROR(VLOOKUP("906-246000-210",B:AB,12+8,0),0)</f>
        <v>0</v>
      </c>
      <c r="V1601">
        <f>IFERROR(VLOOKUP("906-246000-210",B:AB,13+8,0),0)</f>
        <v>0</v>
      </c>
      <c r="W1601">
        <f>IFERROR(VLOOKUP("906-246000-210",B:AB,14+8,0),0)</f>
        <v>0</v>
      </c>
      <c r="X1601">
        <f>IFERROR(VLOOKUP("906-246000-210",B:AB,15+8,0),0)</f>
        <v>0</v>
      </c>
      <c r="Y1601">
        <f>IFERROR(VLOOKUP("906-246000-210",B:AB,16+8,0),0)</f>
        <v>0</v>
      </c>
      <c r="Z1601">
        <f>IFERROR(VLOOKUP("906-246000-210",B:AB,17+8,0),0)</f>
        <v>0</v>
      </c>
      <c r="AA1601">
        <f>IFERROR(VLOOKUP("906-246000-210",B:AB,18+8,0),0)</f>
        <v>0</v>
      </c>
      <c r="AB1601">
        <f>IFERROR(VLOOKUP("906-246000-210",B:AB,19+8,0),0)</f>
        <v>0</v>
      </c>
      <c r="AC1601">
        <f>IFERROR(VLOOKUP("906-246000-210",B:AB,20+8,0),0)</f>
        <v>0</v>
      </c>
      <c r="AD1601">
        <f>IFERROR(VLOOKUP("906-246000-210",B:AB,21+8,0),0)</f>
        <v>0</v>
      </c>
      <c r="AE1601">
        <f>IFERROR(VLOOKUP("906-246000-210",B:AB,22+8,0),0)</f>
        <v>0</v>
      </c>
      <c r="AF1601">
        <f>IFERROR(VLOOKUP("906-246000-210",B:AB,23+8,0),0)</f>
        <v>0</v>
      </c>
      <c r="AG1601">
        <f>IFERROR(VLOOKUP("906-246000-210",B:AB,24+8,0),0)</f>
        <v>0</v>
      </c>
      <c r="AH1601">
        <f>IFERROR(VLOOKUP("906-246000-210",B:AB,25+8,0),0)</f>
        <v>0</v>
      </c>
      <c r="AI1601">
        <f>IFERROR(VLOOKUP("906-246000-210",B:AB,26+8,0),0)</f>
        <v>0</v>
      </c>
      <c r="AJ1601">
        <f>IFERROR(VLOOKUP("906-246000-210",B:AB,27+8,0),0)</f>
        <v>0</v>
      </c>
      <c r="AK1601">
        <f>IFERROR(VLOOKUP("906-246000-210",B:AB,28+8,0),0)</f>
        <v>0</v>
      </c>
      <c r="AL1601">
        <f>IFERROR(VLOOKUP("906-246000-210",B:AB,29+8,0),0)</f>
        <v>0</v>
      </c>
      <c r="AM1601">
        <f>IFERROR(VLOOKUP("906-246000-210",B:AB,30+8,0),0)</f>
        <v>0</v>
      </c>
      <c r="AN1601">
        <f>IFERROR(VLOOKUP("906-246000-210",B:AB,31+8,0),0)</f>
        <v>0</v>
      </c>
      <c r="AO1601">
        <f>SUN(INDIRECT(ADDRESS(1600,8)):INDIRECT(ADDRESS(1600,39)))</f>
        <v>0</v>
      </c>
    </row>
    <row r="1602" spans="1:41">
      <c r="H1602" t="s">
        <v>179</v>
      </c>
      <c r="J1602">
        <f>INDIRECT(ADDRESS(1602,9))+INDIRECT(ADDRESS(1600,10))-INDIRECT(ADDRESS(1601,10))</f>
        <v>0</v>
      </c>
      <c r="K1602">
        <f>INDIRECT(ADDRESS(1602,10))+INDIRECT(ADDRESS(1600,11))-INDIRECT(ADDRESS(1601,11))</f>
        <v>0</v>
      </c>
      <c r="L1602">
        <f>INDIRECT(ADDRESS(1602,11))+INDIRECT(ADDRESS(1600,12))-INDIRECT(ADDRESS(1601,12))</f>
        <v>0</v>
      </c>
      <c r="M1602">
        <f>INDIRECT(ADDRESS(1602,12))+INDIRECT(ADDRESS(1600,13))-INDIRECT(ADDRESS(1601,13))</f>
        <v>0</v>
      </c>
      <c r="N1602">
        <f>INDIRECT(ADDRESS(1602,13))+INDIRECT(ADDRESS(1600,14))-INDIRECT(ADDRESS(1601,14))</f>
        <v>0</v>
      </c>
      <c r="O1602">
        <f>INDIRECT(ADDRESS(1602,14))+INDIRECT(ADDRESS(1600,15))-INDIRECT(ADDRESS(1601,15))</f>
        <v>0</v>
      </c>
      <c r="P1602">
        <f>INDIRECT(ADDRESS(1602,15))+INDIRECT(ADDRESS(1600,16))-INDIRECT(ADDRESS(1601,16))</f>
        <v>0</v>
      </c>
      <c r="Q1602">
        <f>INDIRECT(ADDRESS(1602,16))+INDIRECT(ADDRESS(1600,17))-INDIRECT(ADDRESS(1601,17))</f>
        <v>0</v>
      </c>
      <c r="R1602">
        <f>INDIRECT(ADDRESS(1602,17))+INDIRECT(ADDRESS(1600,18))-INDIRECT(ADDRESS(1601,18))</f>
        <v>0</v>
      </c>
      <c r="S1602">
        <f>INDIRECT(ADDRESS(1602,18))+INDIRECT(ADDRESS(1600,19))-INDIRECT(ADDRESS(1601,19))</f>
        <v>0</v>
      </c>
      <c r="T1602">
        <f>INDIRECT(ADDRESS(1602,19))+INDIRECT(ADDRESS(1600,20))-INDIRECT(ADDRESS(1601,20))</f>
        <v>0</v>
      </c>
      <c r="U1602">
        <f>INDIRECT(ADDRESS(1602,20))+INDIRECT(ADDRESS(1600,21))-INDIRECT(ADDRESS(1601,21))</f>
        <v>0</v>
      </c>
      <c r="V1602">
        <f>INDIRECT(ADDRESS(1602,21))+INDIRECT(ADDRESS(1600,22))-INDIRECT(ADDRESS(1601,22))</f>
        <v>0</v>
      </c>
      <c r="W1602">
        <f>INDIRECT(ADDRESS(1602,22))+INDIRECT(ADDRESS(1600,23))-INDIRECT(ADDRESS(1601,23))</f>
        <v>0</v>
      </c>
      <c r="X1602">
        <f>INDIRECT(ADDRESS(1602,23))+INDIRECT(ADDRESS(1600,24))-INDIRECT(ADDRESS(1601,24))</f>
        <v>0</v>
      </c>
      <c r="Y1602">
        <f>INDIRECT(ADDRESS(1602,24))+INDIRECT(ADDRESS(1600,25))-INDIRECT(ADDRESS(1601,25))</f>
        <v>0</v>
      </c>
      <c r="Z1602">
        <f>INDIRECT(ADDRESS(1602,25))+INDIRECT(ADDRESS(1600,26))-INDIRECT(ADDRESS(1601,26))</f>
        <v>0</v>
      </c>
      <c r="AA1602">
        <f>INDIRECT(ADDRESS(1602,26))+INDIRECT(ADDRESS(1600,27))-INDIRECT(ADDRESS(1601,27))</f>
        <v>0</v>
      </c>
      <c r="AB1602">
        <f>INDIRECT(ADDRESS(1602,27))+INDIRECT(ADDRESS(1600,28))-INDIRECT(ADDRESS(1601,28))</f>
        <v>0</v>
      </c>
      <c r="AC1602">
        <f>INDIRECT(ADDRESS(1602,28))+INDIRECT(ADDRESS(1600,29))-INDIRECT(ADDRESS(1601,29))</f>
        <v>0</v>
      </c>
      <c r="AD1602">
        <f>INDIRECT(ADDRESS(1602,29))+INDIRECT(ADDRESS(1600,30))-INDIRECT(ADDRESS(1601,30))</f>
        <v>0</v>
      </c>
      <c r="AE1602">
        <f>INDIRECT(ADDRESS(1602,30))+INDIRECT(ADDRESS(1600,31))-INDIRECT(ADDRESS(1601,31))</f>
        <v>0</v>
      </c>
      <c r="AF1602">
        <f>INDIRECT(ADDRESS(1602,31))+INDIRECT(ADDRESS(1600,32))-INDIRECT(ADDRESS(1601,32))</f>
        <v>0</v>
      </c>
      <c r="AG1602">
        <f>INDIRECT(ADDRESS(1602,32))+INDIRECT(ADDRESS(1600,33))-INDIRECT(ADDRESS(1601,33))</f>
        <v>0</v>
      </c>
      <c r="AH1602">
        <f>INDIRECT(ADDRESS(1602,33))+INDIRECT(ADDRESS(1600,34))-INDIRECT(ADDRESS(1601,34))</f>
        <v>0</v>
      </c>
      <c r="AI1602">
        <f>INDIRECT(ADDRESS(1602,34))+INDIRECT(ADDRESS(1600,35))-INDIRECT(ADDRESS(1601,35))</f>
        <v>0</v>
      </c>
      <c r="AJ1602">
        <f>INDIRECT(ADDRESS(1602,35))+INDIRECT(ADDRESS(1600,36))-INDIRECT(ADDRESS(1601,36))</f>
        <v>0</v>
      </c>
      <c r="AK1602">
        <f>INDIRECT(ADDRESS(1602,36))+INDIRECT(ADDRESS(1600,37))-INDIRECT(ADDRESS(1601,37))</f>
        <v>0</v>
      </c>
      <c r="AL1602">
        <f>INDIRECT(ADDRESS(1602,37))+INDIRECT(ADDRESS(1600,38))-INDIRECT(ADDRESS(1601,38))</f>
        <v>0</v>
      </c>
      <c r="AM1602">
        <f>INDIRECT(ADDRESS(1602,38))+INDIRECT(ADDRESS(1600,39))-INDIRECT(ADDRESS(1601,39))</f>
        <v>0</v>
      </c>
      <c r="AN1602">
        <f>INDIRECT(ADDRESS(1602,39))+INDIRECT(ADDRESS(1600,40))-INDIRECT(ADDRESS(1601,40))</f>
        <v>0</v>
      </c>
      <c r="AO1602">
        <f>SUM(INDIRECT(ADDRESS(1601,8)):INDIRECT(ADDRESS(1601,39)))</f>
        <v>0</v>
      </c>
    </row>
    <row r="1603" spans="1:41">
      <c r="A1603" t="s">
        <v>185</v>
      </c>
      <c r="B1603" t="s">
        <v>752</v>
      </c>
      <c r="C1603" t="s">
        <v>753</v>
      </c>
      <c r="E1603">
        <v>2</v>
      </c>
      <c r="I1603" t="s">
        <v>177</v>
      </c>
    </row>
    <row r="1604" spans="1:41">
      <c r="I1604" t="s">
        <v>178</v>
      </c>
      <c r="J1604">
        <f>IFERROR(VLOOKUP("906-246000-210",B:AB,1+8,0),0)</f>
        <v>0</v>
      </c>
      <c r="K1604">
        <f>IFERROR(VLOOKUP("906-246000-210",B:AB,2+8,0),0)</f>
        <v>0</v>
      </c>
      <c r="L1604">
        <f>IFERROR(VLOOKUP("906-246000-210",B:AB,3+8,0),0)</f>
        <v>0</v>
      </c>
      <c r="M1604">
        <f>IFERROR(VLOOKUP("906-246000-210",B:AB,4+8,0),0)</f>
        <v>0</v>
      </c>
      <c r="N1604">
        <f>IFERROR(VLOOKUP("906-246000-210",B:AB,5+8,0),0)</f>
        <v>0</v>
      </c>
      <c r="O1604">
        <f>IFERROR(VLOOKUP("906-246000-210",B:AB,6+8,0),0)</f>
        <v>0</v>
      </c>
      <c r="P1604">
        <f>IFERROR(VLOOKUP("906-246000-210",B:AB,7+8,0),0)</f>
        <v>0</v>
      </c>
      <c r="Q1604">
        <f>IFERROR(VLOOKUP("906-246000-210",B:AB,8+8,0),0)</f>
        <v>0</v>
      </c>
      <c r="R1604">
        <f>IFERROR(VLOOKUP("906-246000-210",B:AB,9+8,0),0)</f>
        <v>0</v>
      </c>
      <c r="S1604">
        <f>IFERROR(VLOOKUP("906-246000-210",B:AB,10+8,0),0)</f>
        <v>0</v>
      </c>
      <c r="T1604">
        <f>IFERROR(VLOOKUP("906-246000-210",B:AB,11+8,0),0)</f>
        <v>0</v>
      </c>
      <c r="U1604">
        <f>IFERROR(VLOOKUP("906-246000-210",B:AB,12+8,0),0)</f>
        <v>0</v>
      </c>
      <c r="V1604">
        <f>IFERROR(VLOOKUP("906-246000-210",B:AB,13+8,0),0)</f>
        <v>0</v>
      </c>
      <c r="W1604">
        <f>IFERROR(VLOOKUP("906-246000-210",B:AB,14+8,0),0)</f>
        <v>0</v>
      </c>
      <c r="X1604">
        <f>IFERROR(VLOOKUP("906-246000-210",B:AB,15+8,0),0)</f>
        <v>0</v>
      </c>
      <c r="Y1604">
        <f>IFERROR(VLOOKUP("906-246000-210",B:AB,16+8,0),0)</f>
        <v>0</v>
      </c>
      <c r="Z1604">
        <f>IFERROR(VLOOKUP("906-246000-210",B:AB,17+8,0),0)</f>
        <v>0</v>
      </c>
      <c r="AA1604">
        <f>IFERROR(VLOOKUP("906-246000-210",B:AB,18+8,0),0)</f>
        <v>0</v>
      </c>
      <c r="AB1604">
        <f>IFERROR(VLOOKUP("906-246000-210",B:AB,19+8,0),0)</f>
        <v>0</v>
      </c>
      <c r="AC1604">
        <f>IFERROR(VLOOKUP("906-246000-210",B:AB,20+8,0),0)</f>
        <v>0</v>
      </c>
      <c r="AD1604">
        <f>IFERROR(VLOOKUP("906-246000-210",B:AB,21+8,0),0)</f>
        <v>0</v>
      </c>
      <c r="AE1604">
        <f>IFERROR(VLOOKUP("906-246000-210",B:AB,22+8,0),0)</f>
        <v>0</v>
      </c>
      <c r="AF1604">
        <f>IFERROR(VLOOKUP("906-246000-210",B:AB,23+8,0),0)</f>
        <v>0</v>
      </c>
      <c r="AG1604">
        <f>IFERROR(VLOOKUP("906-246000-210",B:AB,24+8,0),0)</f>
        <v>0</v>
      </c>
      <c r="AH1604">
        <f>IFERROR(VLOOKUP("906-246000-210",B:AB,25+8,0),0)</f>
        <v>0</v>
      </c>
      <c r="AI1604">
        <f>IFERROR(VLOOKUP("906-246000-210",B:AB,26+8,0),0)</f>
        <v>0</v>
      </c>
      <c r="AJ1604">
        <f>IFERROR(VLOOKUP("906-246000-210",B:AB,27+8,0),0)</f>
        <v>0</v>
      </c>
      <c r="AK1604">
        <f>IFERROR(VLOOKUP("906-246000-210",B:AB,28+8,0),0)</f>
        <v>0</v>
      </c>
      <c r="AL1604">
        <f>IFERROR(VLOOKUP("906-246000-210",B:AB,29+8,0),0)</f>
        <v>0</v>
      </c>
      <c r="AM1604">
        <f>IFERROR(VLOOKUP("906-246000-210",B:AB,30+8,0),0)</f>
        <v>0</v>
      </c>
      <c r="AN1604">
        <f>IFERROR(VLOOKUP("906-246000-210",B:AB,31+8,0),0)</f>
        <v>0</v>
      </c>
      <c r="AO1604">
        <f>SUN(INDIRECT(ADDRESS(1603,8)):INDIRECT(ADDRESS(1603,39)))</f>
        <v>0</v>
      </c>
    </row>
    <row r="1605" spans="1:41">
      <c r="H1605" t="s">
        <v>179</v>
      </c>
      <c r="J1605">
        <f>INDIRECT(ADDRESS(1605,9))+INDIRECT(ADDRESS(1603,10))-INDIRECT(ADDRESS(1604,10))</f>
        <v>0</v>
      </c>
      <c r="K1605">
        <f>INDIRECT(ADDRESS(1605,10))+INDIRECT(ADDRESS(1603,11))-INDIRECT(ADDRESS(1604,11))</f>
        <v>0</v>
      </c>
      <c r="L1605">
        <f>INDIRECT(ADDRESS(1605,11))+INDIRECT(ADDRESS(1603,12))-INDIRECT(ADDRESS(1604,12))</f>
        <v>0</v>
      </c>
      <c r="M1605">
        <f>INDIRECT(ADDRESS(1605,12))+INDIRECT(ADDRESS(1603,13))-INDIRECT(ADDRESS(1604,13))</f>
        <v>0</v>
      </c>
      <c r="N1605">
        <f>INDIRECT(ADDRESS(1605,13))+INDIRECT(ADDRESS(1603,14))-INDIRECT(ADDRESS(1604,14))</f>
        <v>0</v>
      </c>
      <c r="O1605">
        <f>INDIRECT(ADDRESS(1605,14))+INDIRECT(ADDRESS(1603,15))-INDIRECT(ADDRESS(1604,15))</f>
        <v>0</v>
      </c>
      <c r="P1605">
        <f>INDIRECT(ADDRESS(1605,15))+INDIRECT(ADDRESS(1603,16))-INDIRECT(ADDRESS(1604,16))</f>
        <v>0</v>
      </c>
      <c r="Q1605">
        <f>INDIRECT(ADDRESS(1605,16))+INDIRECT(ADDRESS(1603,17))-INDIRECT(ADDRESS(1604,17))</f>
        <v>0</v>
      </c>
      <c r="R1605">
        <f>INDIRECT(ADDRESS(1605,17))+INDIRECT(ADDRESS(1603,18))-INDIRECT(ADDRESS(1604,18))</f>
        <v>0</v>
      </c>
      <c r="S1605">
        <f>INDIRECT(ADDRESS(1605,18))+INDIRECT(ADDRESS(1603,19))-INDIRECT(ADDRESS(1604,19))</f>
        <v>0</v>
      </c>
      <c r="T1605">
        <f>INDIRECT(ADDRESS(1605,19))+INDIRECT(ADDRESS(1603,20))-INDIRECT(ADDRESS(1604,20))</f>
        <v>0</v>
      </c>
      <c r="U1605">
        <f>INDIRECT(ADDRESS(1605,20))+INDIRECT(ADDRESS(1603,21))-INDIRECT(ADDRESS(1604,21))</f>
        <v>0</v>
      </c>
      <c r="V1605">
        <f>INDIRECT(ADDRESS(1605,21))+INDIRECT(ADDRESS(1603,22))-INDIRECT(ADDRESS(1604,22))</f>
        <v>0</v>
      </c>
      <c r="W1605">
        <f>INDIRECT(ADDRESS(1605,22))+INDIRECT(ADDRESS(1603,23))-INDIRECT(ADDRESS(1604,23))</f>
        <v>0</v>
      </c>
      <c r="X1605">
        <f>INDIRECT(ADDRESS(1605,23))+INDIRECT(ADDRESS(1603,24))-INDIRECT(ADDRESS(1604,24))</f>
        <v>0</v>
      </c>
      <c r="Y1605">
        <f>INDIRECT(ADDRESS(1605,24))+INDIRECT(ADDRESS(1603,25))-INDIRECT(ADDRESS(1604,25))</f>
        <v>0</v>
      </c>
      <c r="Z1605">
        <f>INDIRECT(ADDRESS(1605,25))+INDIRECT(ADDRESS(1603,26))-INDIRECT(ADDRESS(1604,26))</f>
        <v>0</v>
      </c>
      <c r="AA1605">
        <f>INDIRECT(ADDRESS(1605,26))+INDIRECT(ADDRESS(1603,27))-INDIRECT(ADDRESS(1604,27))</f>
        <v>0</v>
      </c>
      <c r="AB1605">
        <f>INDIRECT(ADDRESS(1605,27))+INDIRECT(ADDRESS(1603,28))-INDIRECT(ADDRESS(1604,28))</f>
        <v>0</v>
      </c>
      <c r="AC1605">
        <f>INDIRECT(ADDRESS(1605,28))+INDIRECT(ADDRESS(1603,29))-INDIRECT(ADDRESS(1604,29))</f>
        <v>0</v>
      </c>
      <c r="AD1605">
        <f>INDIRECT(ADDRESS(1605,29))+INDIRECT(ADDRESS(1603,30))-INDIRECT(ADDRESS(1604,30))</f>
        <v>0</v>
      </c>
      <c r="AE1605">
        <f>INDIRECT(ADDRESS(1605,30))+INDIRECT(ADDRESS(1603,31))-INDIRECT(ADDRESS(1604,31))</f>
        <v>0</v>
      </c>
      <c r="AF1605">
        <f>INDIRECT(ADDRESS(1605,31))+INDIRECT(ADDRESS(1603,32))-INDIRECT(ADDRESS(1604,32))</f>
        <v>0</v>
      </c>
      <c r="AG1605">
        <f>INDIRECT(ADDRESS(1605,32))+INDIRECT(ADDRESS(1603,33))-INDIRECT(ADDRESS(1604,33))</f>
        <v>0</v>
      </c>
      <c r="AH1605">
        <f>INDIRECT(ADDRESS(1605,33))+INDIRECT(ADDRESS(1603,34))-INDIRECT(ADDRESS(1604,34))</f>
        <v>0</v>
      </c>
      <c r="AI1605">
        <f>INDIRECT(ADDRESS(1605,34))+INDIRECT(ADDRESS(1603,35))-INDIRECT(ADDRESS(1604,35))</f>
        <v>0</v>
      </c>
      <c r="AJ1605">
        <f>INDIRECT(ADDRESS(1605,35))+INDIRECT(ADDRESS(1603,36))-INDIRECT(ADDRESS(1604,36))</f>
        <v>0</v>
      </c>
      <c r="AK1605">
        <f>INDIRECT(ADDRESS(1605,36))+INDIRECT(ADDRESS(1603,37))-INDIRECT(ADDRESS(1604,37))</f>
        <v>0</v>
      </c>
      <c r="AL1605">
        <f>INDIRECT(ADDRESS(1605,37))+INDIRECT(ADDRESS(1603,38))-INDIRECT(ADDRESS(1604,38))</f>
        <v>0</v>
      </c>
      <c r="AM1605">
        <f>INDIRECT(ADDRESS(1605,38))+INDIRECT(ADDRESS(1603,39))-INDIRECT(ADDRESS(1604,39))</f>
        <v>0</v>
      </c>
      <c r="AN1605">
        <f>INDIRECT(ADDRESS(1605,39))+INDIRECT(ADDRESS(1603,40))-INDIRECT(ADDRESS(1604,40))</f>
        <v>0</v>
      </c>
      <c r="AO1605">
        <f>SUM(INDIRECT(ADDRESS(1604,8)):INDIRECT(ADDRESS(1604,39)))</f>
        <v>0</v>
      </c>
    </row>
    <row r="1606" spans="1:41">
      <c r="A1606" t="s">
        <v>185</v>
      </c>
      <c r="B1606" t="s">
        <v>754</v>
      </c>
      <c r="C1606" t="s">
        <v>755</v>
      </c>
      <c r="E1606">
        <v>1</v>
      </c>
      <c r="I1606" t="s">
        <v>177</v>
      </c>
    </row>
    <row r="1607" spans="1:41">
      <c r="I1607" t="s">
        <v>178</v>
      </c>
      <c r="J1607">
        <f>IFERROR(VLOOKUP("906-246000-210",B:AB,1+8,0),0)</f>
        <v>0</v>
      </c>
      <c r="K1607">
        <f>IFERROR(VLOOKUP("906-246000-210",B:AB,2+8,0),0)</f>
        <v>0</v>
      </c>
      <c r="L1607">
        <f>IFERROR(VLOOKUP("906-246000-210",B:AB,3+8,0),0)</f>
        <v>0</v>
      </c>
      <c r="M1607">
        <f>IFERROR(VLOOKUP("906-246000-210",B:AB,4+8,0),0)</f>
        <v>0</v>
      </c>
      <c r="N1607">
        <f>IFERROR(VLOOKUP("906-246000-210",B:AB,5+8,0),0)</f>
        <v>0</v>
      </c>
      <c r="O1607">
        <f>IFERROR(VLOOKUP("906-246000-210",B:AB,6+8,0),0)</f>
        <v>0</v>
      </c>
      <c r="P1607">
        <f>IFERROR(VLOOKUP("906-246000-210",B:AB,7+8,0),0)</f>
        <v>0</v>
      </c>
      <c r="Q1607">
        <f>IFERROR(VLOOKUP("906-246000-210",B:AB,8+8,0),0)</f>
        <v>0</v>
      </c>
      <c r="R1607">
        <f>IFERROR(VLOOKUP("906-246000-210",B:AB,9+8,0),0)</f>
        <v>0</v>
      </c>
      <c r="S1607">
        <f>IFERROR(VLOOKUP("906-246000-210",B:AB,10+8,0),0)</f>
        <v>0</v>
      </c>
      <c r="T1607">
        <f>IFERROR(VLOOKUP("906-246000-210",B:AB,11+8,0),0)</f>
        <v>0</v>
      </c>
      <c r="U1607">
        <f>IFERROR(VLOOKUP("906-246000-210",B:AB,12+8,0),0)</f>
        <v>0</v>
      </c>
      <c r="V1607">
        <f>IFERROR(VLOOKUP("906-246000-210",B:AB,13+8,0),0)</f>
        <v>0</v>
      </c>
      <c r="W1607">
        <f>IFERROR(VLOOKUP("906-246000-210",B:AB,14+8,0),0)</f>
        <v>0</v>
      </c>
      <c r="X1607">
        <f>IFERROR(VLOOKUP("906-246000-210",B:AB,15+8,0),0)</f>
        <v>0</v>
      </c>
      <c r="Y1607">
        <f>IFERROR(VLOOKUP("906-246000-210",B:AB,16+8,0),0)</f>
        <v>0</v>
      </c>
      <c r="Z1607">
        <f>IFERROR(VLOOKUP("906-246000-210",B:AB,17+8,0),0)</f>
        <v>0</v>
      </c>
      <c r="AA1607">
        <f>IFERROR(VLOOKUP("906-246000-210",B:AB,18+8,0),0)</f>
        <v>0</v>
      </c>
      <c r="AB1607">
        <f>IFERROR(VLOOKUP("906-246000-210",B:AB,19+8,0),0)</f>
        <v>0</v>
      </c>
      <c r="AC1607">
        <f>IFERROR(VLOOKUP("906-246000-210",B:AB,20+8,0),0)</f>
        <v>0</v>
      </c>
      <c r="AD1607">
        <f>IFERROR(VLOOKUP("906-246000-210",B:AB,21+8,0),0)</f>
        <v>0</v>
      </c>
      <c r="AE1607">
        <f>IFERROR(VLOOKUP("906-246000-210",B:AB,22+8,0),0)</f>
        <v>0</v>
      </c>
      <c r="AF1607">
        <f>IFERROR(VLOOKUP("906-246000-210",B:AB,23+8,0),0)</f>
        <v>0</v>
      </c>
      <c r="AG1607">
        <f>IFERROR(VLOOKUP("906-246000-210",B:AB,24+8,0),0)</f>
        <v>0</v>
      </c>
      <c r="AH1607">
        <f>IFERROR(VLOOKUP("906-246000-210",B:AB,25+8,0),0)</f>
        <v>0</v>
      </c>
      <c r="AI1607">
        <f>IFERROR(VLOOKUP("906-246000-210",B:AB,26+8,0),0)</f>
        <v>0</v>
      </c>
      <c r="AJ1607">
        <f>IFERROR(VLOOKUP("906-246000-210",B:AB,27+8,0),0)</f>
        <v>0</v>
      </c>
      <c r="AK1607">
        <f>IFERROR(VLOOKUP("906-246000-210",B:AB,28+8,0),0)</f>
        <v>0</v>
      </c>
      <c r="AL1607">
        <f>IFERROR(VLOOKUP("906-246000-210",B:AB,29+8,0),0)</f>
        <v>0</v>
      </c>
      <c r="AM1607">
        <f>IFERROR(VLOOKUP("906-246000-210",B:AB,30+8,0),0)</f>
        <v>0</v>
      </c>
      <c r="AN1607">
        <f>IFERROR(VLOOKUP("906-246000-210",B:AB,31+8,0),0)</f>
        <v>0</v>
      </c>
      <c r="AO1607">
        <f>SUN(INDIRECT(ADDRESS(1606,8)):INDIRECT(ADDRESS(1606,39)))</f>
        <v>0</v>
      </c>
    </row>
    <row r="1608" spans="1:41">
      <c r="H1608" t="s">
        <v>179</v>
      </c>
      <c r="J1608">
        <f>INDIRECT(ADDRESS(1608,9))+INDIRECT(ADDRESS(1606,10))-INDIRECT(ADDRESS(1607,10))</f>
        <v>0</v>
      </c>
      <c r="K1608">
        <f>INDIRECT(ADDRESS(1608,10))+INDIRECT(ADDRESS(1606,11))-INDIRECT(ADDRESS(1607,11))</f>
        <v>0</v>
      </c>
      <c r="L1608">
        <f>INDIRECT(ADDRESS(1608,11))+INDIRECT(ADDRESS(1606,12))-INDIRECT(ADDRESS(1607,12))</f>
        <v>0</v>
      </c>
      <c r="M1608">
        <f>INDIRECT(ADDRESS(1608,12))+INDIRECT(ADDRESS(1606,13))-INDIRECT(ADDRESS(1607,13))</f>
        <v>0</v>
      </c>
      <c r="N1608">
        <f>INDIRECT(ADDRESS(1608,13))+INDIRECT(ADDRESS(1606,14))-INDIRECT(ADDRESS(1607,14))</f>
        <v>0</v>
      </c>
      <c r="O1608">
        <f>INDIRECT(ADDRESS(1608,14))+INDIRECT(ADDRESS(1606,15))-INDIRECT(ADDRESS(1607,15))</f>
        <v>0</v>
      </c>
      <c r="P1608">
        <f>INDIRECT(ADDRESS(1608,15))+INDIRECT(ADDRESS(1606,16))-INDIRECT(ADDRESS(1607,16))</f>
        <v>0</v>
      </c>
      <c r="Q1608">
        <f>INDIRECT(ADDRESS(1608,16))+INDIRECT(ADDRESS(1606,17))-INDIRECT(ADDRESS(1607,17))</f>
        <v>0</v>
      </c>
      <c r="R1608">
        <f>INDIRECT(ADDRESS(1608,17))+INDIRECT(ADDRESS(1606,18))-INDIRECT(ADDRESS(1607,18))</f>
        <v>0</v>
      </c>
      <c r="S1608">
        <f>INDIRECT(ADDRESS(1608,18))+INDIRECT(ADDRESS(1606,19))-INDIRECT(ADDRESS(1607,19))</f>
        <v>0</v>
      </c>
      <c r="T1608">
        <f>INDIRECT(ADDRESS(1608,19))+INDIRECT(ADDRESS(1606,20))-INDIRECT(ADDRESS(1607,20))</f>
        <v>0</v>
      </c>
      <c r="U1608">
        <f>INDIRECT(ADDRESS(1608,20))+INDIRECT(ADDRESS(1606,21))-INDIRECT(ADDRESS(1607,21))</f>
        <v>0</v>
      </c>
      <c r="V1608">
        <f>INDIRECT(ADDRESS(1608,21))+INDIRECT(ADDRESS(1606,22))-INDIRECT(ADDRESS(1607,22))</f>
        <v>0</v>
      </c>
      <c r="W1608">
        <f>INDIRECT(ADDRESS(1608,22))+INDIRECT(ADDRESS(1606,23))-INDIRECT(ADDRESS(1607,23))</f>
        <v>0</v>
      </c>
      <c r="X1608">
        <f>INDIRECT(ADDRESS(1608,23))+INDIRECT(ADDRESS(1606,24))-INDIRECT(ADDRESS(1607,24))</f>
        <v>0</v>
      </c>
      <c r="Y1608">
        <f>INDIRECT(ADDRESS(1608,24))+INDIRECT(ADDRESS(1606,25))-INDIRECT(ADDRESS(1607,25))</f>
        <v>0</v>
      </c>
      <c r="Z1608">
        <f>INDIRECT(ADDRESS(1608,25))+INDIRECT(ADDRESS(1606,26))-INDIRECT(ADDRESS(1607,26))</f>
        <v>0</v>
      </c>
      <c r="AA1608">
        <f>INDIRECT(ADDRESS(1608,26))+INDIRECT(ADDRESS(1606,27))-INDIRECT(ADDRESS(1607,27))</f>
        <v>0</v>
      </c>
      <c r="AB1608">
        <f>INDIRECT(ADDRESS(1608,27))+INDIRECT(ADDRESS(1606,28))-INDIRECT(ADDRESS(1607,28))</f>
        <v>0</v>
      </c>
      <c r="AC1608">
        <f>INDIRECT(ADDRESS(1608,28))+INDIRECT(ADDRESS(1606,29))-INDIRECT(ADDRESS(1607,29))</f>
        <v>0</v>
      </c>
      <c r="AD1608">
        <f>INDIRECT(ADDRESS(1608,29))+INDIRECT(ADDRESS(1606,30))-INDIRECT(ADDRESS(1607,30))</f>
        <v>0</v>
      </c>
      <c r="AE1608">
        <f>INDIRECT(ADDRESS(1608,30))+INDIRECT(ADDRESS(1606,31))-INDIRECT(ADDRESS(1607,31))</f>
        <v>0</v>
      </c>
      <c r="AF1608">
        <f>INDIRECT(ADDRESS(1608,31))+INDIRECT(ADDRESS(1606,32))-INDIRECT(ADDRESS(1607,32))</f>
        <v>0</v>
      </c>
      <c r="AG1608">
        <f>INDIRECT(ADDRESS(1608,32))+INDIRECT(ADDRESS(1606,33))-INDIRECT(ADDRESS(1607,33))</f>
        <v>0</v>
      </c>
      <c r="AH1608">
        <f>INDIRECT(ADDRESS(1608,33))+INDIRECT(ADDRESS(1606,34))-INDIRECT(ADDRESS(1607,34))</f>
        <v>0</v>
      </c>
      <c r="AI1608">
        <f>INDIRECT(ADDRESS(1608,34))+INDIRECT(ADDRESS(1606,35))-INDIRECT(ADDRESS(1607,35))</f>
        <v>0</v>
      </c>
      <c r="AJ1608">
        <f>INDIRECT(ADDRESS(1608,35))+INDIRECT(ADDRESS(1606,36))-INDIRECT(ADDRESS(1607,36))</f>
        <v>0</v>
      </c>
      <c r="AK1608">
        <f>INDIRECT(ADDRESS(1608,36))+INDIRECT(ADDRESS(1606,37))-INDIRECT(ADDRESS(1607,37))</f>
        <v>0</v>
      </c>
      <c r="AL1608">
        <f>INDIRECT(ADDRESS(1608,37))+INDIRECT(ADDRESS(1606,38))-INDIRECT(ADDRESS(1607,38))</f>
        <v>0</v>
      </c>
      <c r="AM1608">
        <f>INDIRECT(ADDRESS(1608,38))+INDIRECT(ADDRESS(1606,39))-INDIRECT(ADDRESS(1607,39))</f>
        <v>0</v>
      </c>
      <c r="AN1608">
        <f>INDIRECT(ADDRESS(1608,39))+INDIRECT(ADDRESS(1606,40))-INDIRECT(ADDRESS(1607,40))</f>
        <v>0</v>
      </c>
      <c r="AO1608">
        <f>SUM(INDIRECT(ADDRESS(1607,8)):INDIRECT(ADDRESS(1607,39)))</f>
        <v>0</v>
      </c>
    </row>
    <row r="1609" spans="1:41">
      <c r="A1609" t="s">
        <v>8</v>
      </c>
      <c r="B1609" t="s">
        <v>128</v>
      </c>
      <c r="C1609" t="s">
        <v>129</v>
      </c>
      <c r="E1609">
        <v>1</v>
      </c>
      <c r="I1609" t="s">
        <v>177</v>
      </c>
    </row>
    <row r="1610" spans="1:41">
      <c r="I1610" t="s">
        <v>178</v>
      </c>
      <c r="J1610">
        <f>IFERROR(VLOOKUP("906-488000-110",Out!B:AB,1+8,0),0)</f>
        <v>0</v>
      </c>
      <c r="K1610">
        <f>IFERROR(VLOOKUP("906-488000-110",Out!B:AB,2+8,0),0)</f>
        <v>0</v>
      </c>
      <c r="L1610">
        <f>IFERROR(VLOOKUP("906-488000-110",Out!B:AB,3+8,0),0)</f>
        <v>0</v>
      </c>
      <c r="M1610">
        <f>IFERROR(VLOOKUP("906-488000-110",Out!B:AB,4+8,0),0)</f>
        <v>0</v>
      </c>
      <c r="N1610">
        <f>IFERROR(VLOOKUP("906-488000-110",Out!B:AB,5+8,0),0)</f>
        <v>0</v>
      </c>
      <c r="O1610">
        <f>IFERROR(VLOOKUP("906-488000-110",Out!B:AB,6+8,0),0)</f>
        <v>0</v>
      </c>
      <c r="P1610">
        <f>IFERROR(VLOOKUP("906-488000-110",Out!B:AB,7+8,0),0)</f>
        <v>0</v>
      </c>
      <c r="Q1610">
        <f>IFERROR(VLOOKUP("906-488000-110",Out!B:AB,8+8,0),0)</f>
        <v>0</v>
      </c>
      <c r="R1610">
        <f>IFERROR(VLOOKUP("906-488000-110",Out!B:AB,9+8,0),0)</f>
        <v>0</v>
      </c>
      <c r="S1610">
        <f>IFERROR(VLOOKUP("906-488000-110",Out!B:AB,10+8,0),0)</f>
        <v>0</v>
      </c>
      <c r="T1610">
        <f>IFERROR(VLOOKUP("906-488000-110",Out!B:AB,11+8,0),0)</f>
        <v>0</v>
      </c>
      <c r="U1610">
        <f>IFERROR(VLOOKUP("906-488000-110",Out!B:AB,12+8,0),0)</f>
        <v>0</v>
      </c>
      <c r="V1610">
        <f>IFERROR(VLOOKUP("906-488000-110",Out!B:AB,13+8,0),0)</f>
        <v>0</v>
      </c>
      <c r="W1610">
        <f>IFERROR(VLOOKUP("906-488000-110",Out!B:AB,14+8,0),0)</f>
        <v>0</v>
      </c>
      <c r="X1610">
        <f>IFERROR(VLOOKUP("906-488000-110",Out!B:AB,15+8,0),0)</f>
        <v>0</v>
      </c>
      <c r="Y1610">
        <f>IFERROR(VLOOKUP("906-488000-110",Out!B:AB,16+8,0),0)</f>
        <v>0</v>
      </c>
      <c r="Z1610">
        <f>IFERROR(VLOOKUP("906-488000-110",Out!B:AB,17+8,0),0)</f>
        <v>0</v>
      </c>
      <c r="AA1610">
        <f>IFERROR(VLOOKUP("906-488000-110",Out!B:AB,18+8,0),0)</f>
        <v>0</v>
      </c>
      <c r="AB1610">
        <f>IFERROR(VLOOKUP("906-488000-110",Out!B:AB,19+8,0),0)</f>
        <v>0</v>
      </c>
      <c r="AC1610">
        <f>IFERROR(VLOOKUP("906-488000-110",Out!B:AB,20+8,0),0)</f>
        <v>0</v>
      </c>
      <c r="AD1610">
        <f>IFERROR(VLOOKUP("906-488000-110",Out!B:AB,21+8,0),0)</f>
        <v>0</v>
      </c>
      <c r="AE1610">
        <f>IFERROR(VLOOKUP("906-488000-110",Out!B:AB,22+8,0),0)</f>
        <v>0</v>
      </c>
      <c r="AF1610">
        <f>IFERROR(VLOOKUP("906-488000-110",Out!B:AB,23+8,0),0)</f>
        <v>0</v>
      </c>
      <c r="AG1610">
        <f>IFERROR(VLOOKUP("906-488000-110",Out!B:AB,24+8,0),0)</f>
        <v>0</v>
      </c>
      <c r="AH1610">
        <f>IFERROR(VLOOKUP("906-488000-110",Out!B:AB,25+8,0),0)</f>
        <v>0</v>
      </c>
      <c r="AI1610">
        <f>IFERROR(VLOOKUP("906-488000-110",Out!B:AB,26+8,0),0)</f>
        <v>0</v>
      </c>
      <c r="AJ1610">
        <f>IFERROR(VLOOKUP("906-488000-110",Out!B:AB,27+8,0),0)</f>
        <v>0</v>
      </c>
      <c r="AK1610">
        <f>IFERROR(VLOOKUP("906-488000-110",Out!B:AB,28+8,0),0)</f>
        <v>0</v>
      </c>
      <c r="AL1610">
        <f>IFERROR(VLOOKUP("906-488000-110",Out!B:AB,29+8,0),0)</f>
        <v>0</v>
      </c>
      <c r="AM1610">
        <f>IFERROR(VLOOKUP("906-488000-110",Out!B:AB,30+8,0),0)</f>
        <v>0</v>
      </c>
      <c r="AN1610">
        <f>IFERROR(VLOOKUP("906-488000-110",Out!B:AB,31+8,0),0)</f>
        <v>0</v>
      </c>
      <c r="AO1610">
        <f>SUN(INDIRECT(ADDRESS(1609,8)):INDIRECT(ADDRESS(1609,39)))</f>
        <v>0</v>
      </c>
    </row>
    <row r="1611" spans="1:41">
      <c r="H1611" t="s">
        <v>179</v>
      </c>
      <c r="J1611">
        <f>INDIRECT(ADDRESS(1611,9))+INDIRECT(ADDRESS(1609,10))-INDIRECT(ADDRESS(1610,10))</f>
        <v>0</v>
      </c>
      <c r="K1611">
        <f>INDIRECT(ADDRESS(1611,10))+INDIRECT(ADDRESS(1609,11))-INDIRECT(ADDRESS(1610,11))</f>
        <v>0</v>
      </c>
      <c r="L1611">
        <f>INDIRECT(ADDRESS(1611,11))+INDIRECT(ADDRESS(1609,12))-INDIRECT(ADDRESS(1610,12))</f>
        <v>0</v>
      </c>
      <c r="M1611">
        <f>INDIRECT(ADDRESS(1611,12))+INDIRECT(ADDRESS(1609,13))-INDIRECT(ADDRESS(1610,13))</f>
        <v>0</v>
      </c>
      <c r="N1611">
        <f>INDIRECT(ADDRESS(1611,13))+INDIRECT(ADDRESS(1609,14))-INDIRECT(ADDRESS(1610,14))</f>
        <v>0</v>
      </c>
      <c r="O1611">
        <f>INDIRECT(ADDRESS(1611,14))+INDIRECT(ADDRESS(1609,15))-INDIRECT(ADDRESS(1610,15))</f>
        <v>0</v>
      </c>
      <c r="P1611">
        <f>INDIRECT(ADDRESS(1611,15))+INDIRECT(ADDRESS(1609,16))-INDIRECT(ADDRESS(1610,16))</f>
        <v>0</v>
      </c>
      <c r="Q1611">
        <f>INDIRECT(ADDRESS(1611,16))+INDIRECT(ADDRESS(1609,17))-INDIRECT(ADDRESS(1610,17))</f>
        <v>0</v>
      </c>
      <c r="R1611">
        <f>INDIRECT(ADDRESS(1611,17))+INDIRECT(ADDRESS(1609,18))-INDIRECT(ADDRESS(1610,18))</f>
        <v>0</v>
      </c>
      <c r="S1611">
        <f>INDIRECT(ADDRESS(1611,18))+INDIRECT(ADDRESS(1609,19))-INDIRECT(ADDRESS(1610,19))</f>
        <v>0</v>
      </c>
      <c r="T1611">
        <f>INDIRECT(ADDRESS(1611,19))+INDIRECT(ADDRESS(1609,20))-INDIRECT(ADDRESS(1610,20))</f>
        <v>0</v>
      </c>
      <c r="U1611">
        <f>INDIRECT(ADDRESS(1611,20))+INDIRECT(ADDRESS(1609,21))-INDIRECT(ADDRESS(1610,21))</f>
        <v>0</v>
      </c>
      <c r="V1611">
        <f>INDIRECT(ADDRESS(1611,21))+INDIRECT(ADDRESS(1609,22))-INDIRECT(ADDRESS(1610,22))</f>
        <v>0</v>
      </c>
      <c r="W1611">
        <f>INDIRECT(ADDRESS(1611,22))+INDIRECT(ADDRESS(1609,23))-INDIRECT(ADDRESS(1610,23))</f>
        <v>0</v>
      </c>
      <c r="X1611">
        <f>INDIRECT(ADDRESS(1611,23))+INDIRECT(ADDRESS(1609,24))-INDIRECT(ADDRESS(1610,24))</f>
        <v>0</v>
      </c>
      <c r="Y1611">
        <f>INDIRECT(ADDRESS(1611,24))+INDIRECT(ADDRESS(1609,25))-INDIRECT(ADDRESS(1610,25))</f>
        <v>0</v>
      </c>
      <c r="Z1611">
        <f>INDIRECT(ADDRESS(1611,25))+INDIRECT(ADDRESS(1609,26))-INDIRECT(ADDRESS(1610,26))</f>
        <v>0</v>
      </c>
      <c r="AA1611">
        <f>INDIRECT(ADDRESS(1611,26))+INDIRECT(ADDRESS(1609,27))-INDIRECT(ADDRESS(1610,27))</f>
        <v>0</v>
      </c>
      <c r="AB1611">
        <f>INDIRECT(ADDRESS(1611,27))+INDIRECT(ADDRESS(1609,28))-INDIRECT(ADDRESS(1610,28))</f>
        <v>0</v>
      </c>
      <c r="AC1611">
        <f>INDIRECT(ADDRESS(1611,28))+INDIRECT(ADDRESS(1609,29))-INDIRECT(ADDRESS(1610,29))</f>
        <v>0</v>
      </c>
      <c r="AD1611">
        <f>INDIRECT(ADDRESS(1611,29))+INDIRECT(ADDRESS(1609,30))-INDIRECT(ADDRESS(1610,30))</f>
        <v>0</v>
      </c>
      <c r="AE1611">
        <f>INDIRECT(ADDRESS(1611,30))+INDIRECT(ADDRESS(1609,31))-INDIRECT(ADDRESS(1610,31))</f>
        <v>0</v>
      </c>
      <c r="AF1611">
        <f>INDIRECT(ADDRESS(1611,31))+INDIRECT(ADDRESS(1609,32))-INDIRECT(ADDRESS(1610,32))</f>
        <v>0</v>
      </c>
      <c r="AG1611">
        <f>INDIRECT(ADDRESS(1611,32))+INDIRECT(ADDRESS(1609,33))-INDIRECT(ADDRESS(1610,33))</f>
        <v>0</v>
      </c>
      <c r="AH1611">
        <f>INDIRECT(ADDRESS(1611,33))+INDIRECT(ADDRESS(1609,34))-INDIRECT(ADDRESS(1610,34))</f>
        <v>0</v>
      </c>
      <c r="AI1611">
        <f>INDIRECT(ADDRESS(1611,34))+INDIRECT(ADDRESS(1609,35))-INDIRECT(ADDRESS(1610,35))</f>
        <v>0</v>
      </c>
      <c r="AJ1611">
        <f>INDIRECT(ADDRESS(1611,35))+INDIRECT(ADDRESS(1609,36))-INDIRECT(ADDRESS(1610,36))</f>
        <v>0</v>
      </c>
      <c r="AK1611">
        <f>INDIRECT(ADDRESS(1611,36))+INDIRECT(ADDRESS(1609,37))-INDIRECT(ADDRESS(1610,37))</f>
        <v>0</v>
      </c>
      <c r="AL1611">
        <f>INDIRECT(ADDRESS(1611,37))+INDIRECT(ADDRESS(1609,38))-INDIRECT(ADDRESS(1610,38))</f>
        <v>0</v>
      </c>
      <c r="AM1611">
        <f>INDIRECT(ADDRESS(1611,38))+INDIRECT(ADDRESS(1609,39))-INDIRECT(ADDRESS(1610,39))</f>
        <v>0</v>
      </c>
      <c r="AN1611">
        <f>INDIRECT(ADDRESS(1611,39))+INDIRECT(ADDRESS(1609,40))-INDIRECT(ADDRESS(1610,40))</f>
        <v>0</v>
      </c>
      <c r="AO1611">
        <f>SUM(INDIRECT(ADDRESS(1610,8)):INDIRECT(ADDRESS(1610,39)))</f>
        <v>0</v>
      </c>
    </row>
    <row r="1612" spans="1:41">
      <c r="A1612" t="s">
        <v>180</v>
      </c>
      <c r="B1612" t="s">
        <v>756</v>
      </c>
      <c r="C1612" t="s">
        <v>757</v>
      </c>
      <c r="E1612">
        <v>1</v>
      </c>
      <c r="I1612" t="s">
        <v>177</v>
      </c>
    </row>
    <row r="1613" spans="1:41">
      <c r="I1613" t="s">
        <v>178</v>
      </c>
      <c r="J1613">
        <f>IFERROR(VLOOKUP("906-488000-110",B:AB,1+8,0),0)</f>
        <v>0</v>
      </c>
      <c r="K1613">
        <f>IFERROR(VLOOKUP("906-488000-110",B:AB,2+8,0),0)</f>
        <v>0</v>
      </c>
      <c r="L1613">
        <f>IFERROR(VLOOKUP("906-488000-110",B:AB,3+8,0),0)</f>
        <v>0</v>
      </c>
      <c r="M1613">
        <f>IFERROR(VLOOKUP("906-488000-110",B:AB,4+8,0),0)</f>
        <v>0</v>
      </c>
      <c r="N1613">
        <f>IFERROR(VLOOKUP("906-488000-110",B:AB,5+8,0),0)</f>
        <v>0</v>
      </c>
      <c r="O1613">
        <f>IFERROR(VLOOKUP("906-488000-110",B:AB,6+8,0),0)</f>
        <v>0</v>
      </c>
      <c r="P1613">
        <f>IFERROR(VLOOKUP("906-488000-110",B:AB,7+8,0),0)</f>
        <v>0</v>
      </c>
      <c r="Q1613">
        <f>IFERROR(VLOOKUP("906-488000-110",B:AB,8+8,0),0)</f>
        <v>0</v>
      </c>
      <c r="R1613">
        <f>IFERROR(VLOOKUP("906-488000-110",B:AB,9+8,0),0)</f>
        <v>0</v>
      </c>
      <c r="S1613">
        <f>IFERROR(VLOOKUP("906-488000-110",B:AB,10+8,0),0)</f>
        <v>0</v>
      </c>
      <c r="T1613">
        <f>IFERROR(VLOOKUP("906-488000-110",B:AB,11+8,0),0)</f>
        <v>0</v>
      </c>
      <c r="U1613">
        <f>IFERROR(VLOOKUP("906-488000-110",B:AB,12+8,0),0)</f>
        <v>0</v>
      </c>
      <c r="V1613">
        <f>IFERROR(VLOOKUP("906-488000-110",B:AB,13+8,0),0)</f>
        <v>0</v>
      </c>
      <c r="W1613">
        <f>IFERROR(VLOOKUP("906-488000-110",B:AB,14+8,0),0)</f>
        <v>0</v>
      </c>
      <c r="X1613">
        <f>IFERROR(VLOOKUP("906-488000-110",B:AB,15+8,0),0)</f>
        <v>0</v>
      </c>
      <c r="Y1613">
        <f>IFERROR(VLOOKUP("906-488000-110",B:AB,16+8,0),0)</f>
        <v>0</v>
      </c>
      <c r="Z1613">
        <f>IFERROR(VLOOKUP("906-488000-110",B:AB,17+8,0),0)</f>
        <v>0</v>
      </c>
      <c r="AA1613">
        <f>IFERROR(VLOOKUP("906-488000-110",B:AB,18+8,0),0)</f>
        <v>0</v>
      </c>
      <c r="AB1613">
        <f>IFERROR(VLOOKUP("906-488000-110",B:AB,19+8,0),0)</f>
        <v>0</v>
      </c>
      <c r="AC1613">
        <f>IFERROR(VLOOKUP("906-488000-110",B:AB,20+8,0),0)</f>
        <v>0</v>
      </c>
      <c r="AD1613">
        <f>IFERROR(VLOOKUP("906-488000-110",B:AB,21+8,0),0)</f>
        <v>0</v>
      </c>
      <c r="AE1613">
        <f>IFERROR(VLOOKUP("906-488000-110",B:AB,22+8,0),0)</f>
        <v>0</v>
      </c>
      <c r="AF1613">
        <f>IFERROR(VLOOKUP("906-488000-110",B:AB,23+8,0),0)</f>
        <v>0</v>
      </c>
      <c r="AG1613">
        <f>IFERROR(VLOOKUP("906-488000-110",B:AB,24+8,0),0)</f>
        <v>0</v>
      </c>
      <c r="AH1613">
        <f>IFERROR(VLOOKUP("906-488000-110",B:AB,25+8,0),0)</f>
        <v>0</v>
      </c>
      <c r="AI1613">
        <f>IFERROR(VLOOKUP("906-488000-110",B:AB,26+8,0),0)</f>
        <v>0</v>
      </c>
      <c r="AJ1613">
        <f>IFERROR(VLOOKUP("906-488000-110",B:AB,27+8,0),0)</f>
        <v>0</v>
      </c>
      <c r="AK1613">
        <f>IFERROR(VLOOKUP("906-488000-110",B:AB,28+8,0),0)</f>
        <v>0</v>
      </c>
      <c r="AL1613">
        <f>IFERROR(VLOOKUP("906-488000-110",B:AB,29+8,0),0)</f>
        <v>0</v>
      </c>
      <c r="AM1613">
        <f>IFERROR(VLOOKUP("906-488000-110",B:AB,30+8,0),0)</f>
        <v>0</v>
      </c>
      <c r="AN1613">
        <f>IFERROR(VLOOKUP("906-488000-110",B:AB,31+8,0),0)</f>
        <v>0</v>
      </c>
      <c r="AO1613">
        <f>SUN(INDIRECT(ADDRESS(1612,8)):INDIRECT(ADDRESS(1612,39)))</f>
        <v>0</v>
      </c>
    </row>
    <row r="1614" spans="1:41">
      <c r="H1614" t="s">
        <v>179</v>
      </c>
      <c r="J1614">
        <f>INDIRECT(ADDRESS(1614,9))+INDIRECT(ADDRESS(1612,10))-INDIRECT(ADDRESS(1613,10))</f>
        <v>0</v>
      </c>
      <c r="K1614">
        <f>INDIRECT(ADDRESS(1614,10))+INDIRECT(ADDRESS(1612,11))-INDIRECT(ADDRESS(1613,11))</f>
        <v>0</v>
      </c>
      <c r="L1614">
        <f>INDIRECT(ADDRESS(1614,11))+INDIRECT(ADDRESS(1612,12))-INDIRECT(ADDRESS(1613,12))</f>
        <v>0</v>
      </c>
      <c r="M1614">
        <f>INDIRECT(ADDRESS(1614,12))+INDIRECT(ADDRESS(1612,13))-INDIRECT(ADDRESS(1613,13))</f>
        <v>0</v>
      </c>
      <c r="N1614">
        <f>INDIRECT(ADDRESS(1614,13))+INDIRECT(ADDRESS(1612,14))-INDIRECT(ADDRESS(1613,14))</f>
        <v>0</v>
      </c>
      <c r="O1614">
        <f>INDIRECT(ADDRESS(1614,14))+INDIRECT(ADDRESS(1612,15))-INDIRECT(ADDRESS(1613,15))</f>
        <v>0</v>
      </c>
      <c r="P1614">
        <f>INDIRECT(ADDRESS(1614,15))+INDIRECT(ADDRESS(1612,16))-INDIRECT(ADDRESS(1613,16))</f>
        <v>0</v>
      </c>
      <c r="Q1614">
        <f>INDIRECT(ADDRESS(1614,16))+INDIRECT(ADDRESS(1612,17))-INDIRECT(ADDRESS(1613,17))</f>
        <v>0</v>
      </c>
      <c r="R1614">
        <f>INDIRECT(ADDRESS(1614,17))+INDIRECT(ADDRESS(1612,18))-INDIRECT(ADDRESS(1613,18))</f>
        <v>0</v>
      </c>
      <c r="S1614">
        <f>INDIRECT(ADDRESS(1614,18))+INDIRECT(ADDRESS(1612,19))-INDIRECT(ADDRESS(1613,19))</f>
        <v>0</v>
      </c>
      <c r="T1614">
        <f>INDIRECT(ADDRESS(1614,19))+INDIRECT(ADDRESS(1612,20))-INDIRECT(ADDRESS(1613,20))</f>
        <v>0</v>
      </c>
      <c r="U1614">
        <f>INDIRECT(ADDRESS(1614,20))+INDIRECT(ADDRESS(1612,21))-INDIRECT(ADDRESS(1613,21))</f>
        <v>0</v>
      </c>
      <c r="V1614">
        <f>INDIRECT(ADDRESS(1614,21))+INDIRECT(ADDRESS(1612,22))-INDIRECT(ADDRESS(1613,22))</f>
        <v>0</v>
      </c>
      <c r="W1614">
        <f>INDIRECT(ADDRESS(1614,22))+INDIRECT(ADDRESS(1612,23))-INDIRECT(ADDRESS(1613,23))</f>
        <v>0</v>
      </c>
      <c r="X1614">
        <f>INDIRECT(ADDRESS(1614,23))+INDIRECT(ADDRESS(1612,24))-INDIRECT(ADDRESS(1613,24))</f>
        <v>0</v>
      </c>
      <c r="Y1614">
        <f>INDIRECT(ADDRESS(1614,24))+INDIRECT(ADDRESS(1612,25))-INDIRECT(ADDRESS(1613,25))</f>
        <v>0</v>
      </c>
      <c r="Z1614">
        <f>INDIRECT(ADDRESS(1614,25))+INDIRECT(ADDRESS(1612,26))-INDIRECT(ADDRESS(1613,26))</f>
        <v>0</v>
      </c>
      <c r="AA1614">
        <f>INDIRECT(ADDRESS(1614,26))+INDIRECT(ADDRESS(1612,27))-INDIRECT(ADDRESS(1613,27))</f>
        <v>0</v>
      </c>
      <c r="AB1614">
        <f>INDIRECT(ADDRESS(1614,27))+INDIRECT(ADDRESS(1612,28))-INDIRECT(ADDRESS(1613,28))</f>
        <v>0</v>
      </c>
      <c r="AC1614">
        <f>INDIRECT(ADDRESS(1614,28))+INDIRECT(ADDRESS(1612,29))-INDIRECT(ADDRESS(1613,29))</f>
        <v>0</v>
      </c>
      <c r="AD1614">
        <f>INDIRECT(ADDRESS(1614,29))+INDIRECT(ADDRESS(1612,30))-INDIRECT(ADDRESS(1613,30))</f>
        <v>0</v>
      </c>
      <c r="AE1614">
        <f>INDIRECT(ADDRESS(1614,30))+INDIRECT(ADDRESS(1612,31))-INDIRECT(ADDRESS(1613,31))</f>
        <v>0</v>
      </c>
      <c r="AF1614">
        <f>INDIRECT(ADDRESS(1614,31))+INDIRECT(ADDRESS(1612,32))-INDIRECT(ADDRESS(1613,32))</f>
        <v>0</v>
      </c>
      <c r="AG1614">
        <f>INDIRECT(ADDRESS(1614,32))+INDIRECT(ADDRESS(1612,33))-INDIRECT(ADDRESS(1613,33))</f>
        <v>0</v>
      </c>
      <c r="AH1614">
        <f>INDIRECT(ADDRESS(1614,33))+INDIRECT(ADDRESS(1612,34))-INDIRECT(ADDRESS(1613,34))</f>
        <v>0</v>
      </c>
      <c r="AI1614">
        <f>INDIRECT(ADDRESS(1614,34))+INDIRECT(ADDRESS(1612,35))-INDIRECT(ADDRESS(1613,35))</f>
        <v>0</v>
      </c>
      <c r="AJ1614">
        <f>INDIRECT(ADDRESS(1614,35))+INDIRECT(ADDRESS(1612,36))-INDIRECT(ADDRESS(1613,36))</f>
        <v>0</v>
      </c>
      <c r="AK1614">
        <f>INDIRECT(ADDRESS(1614,36))+INDIRECT(ADDRESS(1612,37))-INDIRECT(ADDRESS(1613,37))</f>
        <v>0</v>
      </c>
      <c r="AL1614">
        <f>INDIRECT(ADDRESS(1614,37))+INDIRECT(ADDRESS(1612,38))-INDIRECT(ADDRESS(1613,38))</f>
        <v>0</v>
      </c>
      <c r="AM1614">
        <f>INDIRECT(ADDRESS(1614,38))+INDIRECT(ADDRESS(1612,39))-INDIRECT(ADDRESS(1613,39))</f>
        <v>0</v>
      </c>
      <c r="AN1614">
        <f>INDIRECT(ADDRESS(1614,39))+INDIRECT(ADDRESS(1612,40))-INDIRECT(ADDRESS(1613,40))</f>
        <v>0</v>
      </c>
      <c r="AO1614">
        <f>SUM(INDIRECT(ADDRESS(1613,8)):INDIRECT(ADDRESS(1613,39)))</f>
        <v>0</v>
      </c>
    </row>
    <row r="1615" spans="1:41">
      <c r="A1615" t="s">
        <v>185</v>
      </c>
      <c r="B1615" t="s">
        <v>758</v>
      </c>
      <c r="C1615" t="s">
        <v>759</v>
      </c>
      <c r="E1615">
        <v>1</v>
      </c>
      <c r="I1615" t="s">
        <v>177</v>
      </c>
    </row>
    <row r="1616" spans="1:41">
      <c r="I1616" t="s">
        <v>178</v>
      </c>
      <c r="J1616">
        <f>IFERROR(VLOOKUP("906-488000-110",B:AB,1+8,0),0)</f>
        <v>0</v>
      </c>
      <c r="K1616">
        <f>IFERROR(VLOOKUP("906-488000-110",B:AB,2+8,0),0)</f>
        <v>0</v>
      </c>
      <c r="L1616">
        <f>IFERROR(VLOOKUP("906-488000-110",B:AB,3+8,0),0)</f>
        <v>0</v>
      </c>
      <c r="M1616">
        <f>IFERROR(VLOOKUP("906-488000-110",B:AB,4+8,0),0)</f>
        <v>0</v>
      </c>
      <c r="N1616">
        <f>IFERROR(VLOOKUP("906-488000-110",B:AB,5+8,0),0)</f>
        <v>0</v>
      </c>
      <c r="O1616">
        <f>IFERROR(VLOOKUP("906-488000-110",B:AB,6+8,0),0)</f>
        <v>0</v>
      </c>
      <c r="P1616">
        <f>IFERROR(VLOOKUP("906-488000-110",B:AB,7+8,0),0)</f>
        <v>0</v>
      </c>
      <c r="Q1616">
        <f>IFERROR(VLOOKUP("906-488000-110",B:AB,8+8,0),0)</f>
        <v>0</v>
      </c>
      <c r="R1616">
        <f>IFERROR(VLOOKUP("906-488000-110",B:AB,9+8,0),0)</f>
        <v>0</v>
      </c>
      <c r="S1616">
        <f>IFERROR(VLOOKUP("906-488000-110",B:AB,10+8,0),0)</f>
        <v>0</v>
      </c>
      <c r="T1616">
        <f>IFERROR(VLOOKUP("906-488000-110",B:AB,11+8,0),0)</f>
        <v>0</v>
      </c>
      <c r="U1616">
        <f>IFERROR(VLOOKUP("906-488000-110",B:AB,12+8,0),0)</f>
        <v>0</v>
      </c>
      <c r="V1616">
        <f>IFERROR(VLOOKUP("906-488000-110",B:AB,13+8,0),0)</f>
        <v>0</v>
      </c>
      <c r="W1616">
        <f>IFERROR(VLOOKUP("906-488000-110",B:AB,14+8,0),0)</f>
        <v>0</v>
      </c>
      <c r="X1616">
        <f>IFERROR(VLOOKUP("906-488000-110",B:AB,15+8,0),0)</f>
        <v>0</v>
      </c>
      <c r="Y1616">
        <f>IFERROR(VLOOKUP("906-488000-110",B:AB,16+8,0),0)</f>
        <v>0</v>
      </c>
      <c r="Z1616">
        <f>IFERROR(VLOOKUP("906-488000-110",B:AB,17+8,0),0)</f>
        <v>0</v>
      </c>
      <c r="AA1616">
        <f>IFERROR(VLOOKUP("906-488000-110",B:AB,18+8,0),0)</f>
        <v>0</v>
      </c>
      <c r="AB1616">
        <f>IFERROR(VLOOKUP("906-488000-110",B:AB,19+8,0),0)</f>
        <v>0</v>
      </c>
      <c r="AC1616">
        <f>IFERROR(VLOOKUP("906-488000-110",B:AB,20+8,0),0)</f>
        <v>0</v>
      </c>
      <c r="AD1616">
        <f>IFERROR(VLOOKUP("906-488000-110",B:AB,21+8,0),0)</f>
        <v>0</v>
      </c>
      <c r="AE1616">
        <f>IFERROR(VLOOKUP("906-488000-110",B:AB,22+8,0),0)</f>
        <v>0</v>
      </c>
      <c r="AF1616">
        <f>IFERROR(VLOOKUP("906-488000-110",B:AB,23+8,0),0)</f>
        <v>0</v>
      </c>
      <c r="AG1616">
        <f>IFERROR(VLOOKUP("906-488000-110",B:AB,24+8,0),0)</f>
        <v>0</v>
      </c>
      <c r="AH1616">
        <f>IFERROR(VLOOKUP("906-488000-110",B:AB,25+8,0),0)</f>
        <v>0</v>
      </c>
      <c r="AI1616">
        <f>IFERROR(VLOOKUP("906-488000-110",B:AB,26+8,0),0)</f>
        <v>0</v>
      </c>
      <c r="AJ1616">
        <f>IFERROR(VLOOKUP("906-488000-110",B:AB,27+8,0),0)</f>
        <v>0</v>
      </c>
      <c r="AK1616">
        <f>IFERROR(VLOOKUP("906-488000-110",B:AB,28+8,0),0)</f>
        <v>0</v>
      </c>
      <c r="AL1616">
        <f>IFERROR(VLOOKUP("906-488000-110",B:AB,29+8,0),0)</f>
        <v>0</v>
      </c>
      <c r="AM1616">
        <f>IFERROR(VLOOKUP("906-488000-110",B:AB,30+8,0),0)</f>
        <v>0</v>
      </c>
      <c r="AN1616">
        <f>IFERROR(VLOOKUP("906-488000-110",B:AB,31+8,0),0)</f>
        <v>0</v>
      </c>
      <c r="AO1616">
        <f>SUN(INDIRECT(ADDRESS(1615,8)):INDIRECT(ADDRESS(1615,39)))</f>
        <v>0</v>
      </c>
    </row>
    <row r="1617" spans="1:41">
      <c r="H1617" t="s">
        <v>179</v>
      </c>
      <c r="J1617">
        <f>INDIRECT(ADDRESS(1617,9))+INDIRECT(ADDRESS(1615,10))-INDIRECT(ADDRESS(1616,10))</f>
        <v>0</v>
      </c>
      <c r="K1617">
        <f>INDIRECT(ADDRESS(1617,10))+INDIRECT(ADDRESS(1615,11))-INDIRECT(ADDRESS(1616,11))</f>
        <v>0</v>
      </c>
      <c r="L1617">
        <f>INDIRECT(ADDRESS(1617,11))+INDIRECT(ADDRESS(1615,12))-INDIRECT(ADDRESS(1616,12))</f>
        <v>0</v>
      </c>
      <c r="M1617">
        <f>INDIRECT(ADDRESS(1617,12))+INDIRECT(ADDRESS(1615,13))-INDIRECT(ADDRESS(1616,13))</f>
        <v>0</v>
      </c>
      <c r="N1617">
        <f>INDIRECT(ADDRESS(1617,13))+INDIRECT(ADDRESS(1615,14))-INDIRECT(ADDRESS(1616,14))</f>
        <v>0</v>
      </c>
      <c r="O1617">
        <f>INDIRECT(ADDRESS(1617,14))+INDIRECT(ADDRESS(1615,15))-INDIRECT(ADDRESS(1616,15))</f>
        <v>0</v>
      </c>
      <c r="P1617">
        <f>INDIRECT(ADDRESS(1617,15))+INDIRECT(ADDRESS(1615,16))-INDIRECT(ADDRESS(1616,16))</f>
        <v>0</v>
      </c>
      <c r="Q1617">
        <f>INDIRECT(ADDRESS(1617,16))+INDIRECT(ADDRESS(1615,17))-INDIRECT(ADDRESS(1616,17))</f>
        <v>0</v>
      </c>
      <c r="R1617">
        <f>INDIRECT(ADDRESS(1617,17))+INDIRECT(ADDRESS(1615,18))-INDIRECT(ADDRESS(1616,18))</f>
        <v>0</v>
      </c>
      <c r="S1617">
        <f>INDIRECT(ADDRESS(1617,18))+INDIRECT(ADDRESS(1615,19))-INDIRECT(ADDRESS(1616,19))</f>
        <v>0</v>
      </c>
      <c r="T1617">
        <f>INDIRECT(ADDRESS(1617,19))+INDIRECT(ADDRESS(1615,20))-INDIRECT(ADDRESS(1616,20))</f>
        <v>0</v>
      </c>
      <c r="U1617">
        <f>INDIRECT(ADDRESS(1617,20))+INDIRECT(ADDRESS(1615,21))-INDIRECT(ADDRESS(1616,21))</f>
        <v>0</v>
      </c>
      <c r="V1617">
        <f>INDIRECT(ADDRESS(1617,21))+INDIRECT(ADDRESS(1615,22))-INDIRECT(ADDRESS(1616,22))</f>
        <v>0</v>
      </c>
      <c r="W1617">
        <f>INDIRECT(ADDRESS(1617,22))+INDIRECT(ADDRESS(1615,23))-INDIRECT(ADDRESS(1616,23))</f>
        <v>0</v>
      </c>
      <c r="X1617">
        <f>INDIRECT(ADDRESS(1617,23))+INDIRECT(ADDRESS(1615,24))-INDIRECT(ADDRESS(1616,24))</f>
        <v>0</v>
      </c>
      <c r="Y1617">
        <f>INDIRECT(ADDRESS(1617,24))+INDIRECT(ADDRESS(1615,25))-INDIRECT(ADDRESS(1616,25))</f>
        <v>0</v>
      </c>
      <c r="Z1617">
        <f>INDIRECT(ADDRESS(1617,25))+INDIRECT(ADDRESS(1615,26))-INDIRECT(ADDRESS(1616,26))</f>
        <v>0</v>
      </c>
      <c r="AA1617">
        <f>INDIRECT(ADDRESS(1617,26))+INDIRECT(ADDRESS(1615,27))-INDIRECT(ADDRESS(1616,27))</f>
        <v>0</v>
      </c>
      <c r="AB1617">
        <f>INDIRECT(ADDRESS(1617,27))+INDIRECT(ADDRESS(1615,28))-INDIRECT(ADDRESS(1616,28))</f>
        <v>0</v>
      </c>
      <c r="AC1617">
        <f>INDIRECT(ADDRESS(1617,28))+INDIRECT(ADDRESS(1615,29))-INDIRECT(ADDRESS(1616,29))</f>
        <v>0</v>
      </c>
      <c r="AD1617">
        <f>INDIRECT(ADDRESS(1617,29))+INDIRECT(ADDRESS(1615,30))-INDIRECT(ADDRESS(1616,30))</f>
        <v>0</v>
      </c>
      <c r="AE1617">
        <f>INDIRECT(ADDRESS(1617,30))+INDIRECT(ADDRESS(1615,31))-INDIRECT(ADDRESS(1616,31))</f>
        <v>0</v>
      </c>
      <c r="AF1617">
        <f>INDIRECT(ADDRESS(1617,31))+INDIRECT(ADDRESS(1615,32))-INDIRECT(ADDRESS(1616,32))</f>
        <v>0</v>
      </c>
      <c r="AG1617">
        <f>INDIRECT(ADDRESS(1617,32))+INDIRECT(ADDRESS(1615,33))-INDIRECT(ADDRESS(1616,33))</f>
        <v>0</v>
      </c>
      <c r="AH1617">
        <f>INDIRECT(ADDRESS(1617,33))+INDIRECT(ADDRESS(1615,34))-INDIRECT(ADDRESS(1616,34))</f>
        <v>0</v>
      </c>
      <c r="AI1617">
        <f>INDIRECT(ADDRESS(1617,34))+INDIRECT(ADDRESS(1615,35))-INDIRECT(ADDRESS(1616,35))</f>
        <v>0</v>
      </c>
      <c r="AJ1617">
        <f>INDIRECT(ADDRESS(1617,35))+INDIRECT(ADDRESS(1615,36))-INDIRECT(ADDRESS(1616,36))</f>
        <v>0</v>
      </c>
      <c r="AK1617">
        <f>INDIRECT(ADDRESS(1617,36))+INDIRECT(ADDRESS(1615,37))-INDIRECT(ADDRESS(1616,37))</f>
        <v>0</v>
      </c>
      <c r="AL1617">
        <f>INDIRECT(ADDRESS(1617,37))+INDIRECT(ADDRESS(1615,38))-INDIRECT(ADDRESS(1616,38))</f>
        <v>0</v>
      </c>
      <c r="AM1617">
        <f>INDIRECT(ADDRESS(1617,38))+INDIRECT(ADDRESS(1615,39))-INDIRECT(ADDRESS(1616,39))</f>
        <v>0</v>
      </c>
      <c r="AN1617">
        <f>INDIRECT(ADDRESS(1617,39))+INDIRECT(ADDRESS(1615,40))-INDIRECT(ADDRESS(1616,40))</f>
        <v>0</v>
      </c>
      <c r="AO1617">
        <f>SUM(INDIRECT(ADDRESS(1616,8)):INDIRECT(ADDRESS(1616,39)))</f>
        <v>0</v>
      </c>
    </row>
    <row r="1618" spans="1:41">
      <c r="A1618" t="s">
        <v>185</v>
      </c>
      <c r="B1618" t="s">
        <v>760</v>
      </c>
      <c r="C1618" t="s">
        <v>761</v>
      </c>
      <c r="E1618">
        <v>1</v>
      </c>
      <c r="I1618" t="s">
        <v>177</v>
      </c>
    </row>
    <row r="1619" spans="1:41">
      <c r="I1619" t="s">
        <v>178</v>
      </c>
      <c r="J1619">
        <f>IFERROR(VLOOKUP("906-488000-110",B:AB,1+8,0),0)</f>
        <v>0</v>
      </c>
      <c r="K1619">
        <f>IFERROR(VLOOKUP("906-488000-110",B:AB,2+8,0),0)</f>
        <v>0</v>
      </c>
      <c r="L1619">
        <f>IFERROR(VLOOKUP("906-488000-110",B:AB,3+8,0),0)</f>
        <v>0</v>
      </c>
      <c r="M1619">
        <f>IFERROR(VLOOKUP("906-488000-110",B:AB,4+8,0),0)</f>
        <v>0</v>
      </c>
      <c r="N1619">
        <f>IFERROR(VLOOKUP("906-488000-110",B:AB,5+8,0),0)</f>
        <v>0</v>
      </c>
      <c r="O1619">
        <f>IFERROR(VLOOKUP("906-488000-110",B:AB,6+8,0),0)</f>
        <v>0</v>
      </c>
      <c r="P1619">
        <f>IFERROR(VLOOKUP("906-488000-110",B:AB,7+8,0),0)</f>
        <v>0</v>
      </c>
      <c r="Q1619">
        <f>IFERROR(VLOOKUP("906-488000-110",B:AB,8+8,0),0)</f>
        <v>0</v>
      </c>
      <c r="R1619">
        <f>IFERROR(VLOOKUP("906-488000-110",B:AB,9+8,0),0)</f>
        <v>0</v>
      </c>
      <c r="S1619">
        <f>IFERROR(VLOOKUP("906-488000-110",B:AB,10+8,0),0)</f>
        <v>0</v>
      </c>
      <c r="T1619">
        <f>IFERROR(VLOOKUP("906-488000-110",B:AB,11+8,0),0)</f>
        <v>0</v>
      </c>
      <c r="U1619">
        <f>IFERROR(VLOOKUP("906-488000-110",B:AB,12+8,0),0)</f>
        <v>0</v>
      </c>
      <c r="V1619">
        <f>IFERROR(VLOOKUP("906-488000-110",B:AB,13+8,0),0)</f>
        <v>0</v>
      </c>
      <c r="W1619">
        <f>IFERROR(VLOOKUP("906-488000-110",B:AB,14+8,0),0)</f>
        <v>0</v>
      </c>
      <c r="X1619">
        <f>IFERROR(VLOOKUP("906-488000-110",B:AB,15+8,0),0)</f>
        <v>0</v>
      </c>
      <c r="Y1619">
        <f>IFERROR(VLOOKUP("906-488000-110",B:AB,16+8,0),0)</f>
        <v>0</v>
      </c>
      <c r="Z1619">
        <f>IFERROR(VLOOKUP("906-488000-110",B:AB,17+8,0),0)</f>
        <v>0</v>
      </c>
      <c r="AA1619">
        <f>IFERROR(VLOOKUP("906-488000-110",B:AB,18+8,0),0)</f>
        <v>0</v>
      </c>
      <c r="AB1619">
        <f>IFERROR(VLOOKUP("906-488000-110",B:AB,19+8,0),0)</f>
        <v>0</v>
      </c>
      <c r="AC1619">
        <f>IFERROR(VLOOKUP("906-488000-110",B:AB,20+8,0),0)</f>
        <v>0</v>
      </c>
      <c r="AD1619">
        <f>IFERROR(VLOOKUP("906-488000-110",B:AB,21+8,0),0)</f>
        <v>0</v>
      </c>
      <c r="AE1619">
        <f>IFERROR(VLOOKUP("906-488000-110",B:AB,22+8,0),0)</f>
        <v>0</v>
      </c>
      <c r="AF1619">
        <f>IFERROR(VLOOKUP("906-488000-110",B:AB,23+8,0),0)</f>
        <v>0</v>
      </c>
      <c r="AG1619">
        <f>IFERROR(VLOOKUP("906-488000-110",B:AB,24+8,0),0)</f>
        <v>0</v>
      </c>
      <c r="AH1619">
        <f>IFERROR(VLOOKUP("906-488000-110",B:AB,25+8,0),0)</f>
        <v>0</v>
      </c>
      <c r="AI1619">
        <f>IFERROR(VLOOKUP("906-488000-110",B:AB,26+8,0),0)</f>
        <v>0</v>
      </c>
      <c r="AJ1619">
        <f>IFERROR(VLOOKUP("906-488000-110",B:AB,27+8,0),0)</f>
        <v>0</v>
      </c>
      <c r="AK1619">
        <f>IFERROR(VLOOKUP("906-488000-110",B:AB,28+8,0),0)</f>
        <v>0</v>
      </c>
      <c r="AL1619">
        <f>IFERROR(VLOOKUP("906-488000-110",B:AB,29+8,0),0)</f>
        <v>0</v>
      </c>
      <c r="AM1619">
        <f>IFERROR(VLOOKUP("906-488000-110",B:AB,30+8,0),0)</f>
        <v>0</v>
      </c>
      <c r="AN1619">
        <f>IFERROR(VLOOKUP("906-488000-110",B:AB,31+8,0),0)</f>
        <v>0</v>
      </c>
      <c r="AO1619">
        <f>SUN(INDIRECT(ADDRESS(1618,8)):INDIRECT(ADDRESS(1618,39)))</f>
        <v>0</v>
      </c>
    </row>
    <row r="1620" spans="1:41">
      <c r="H1620" t="s">
        <v>179</v>
      </c>
      <c r="J1620">
        <f>INDIRECT(ADDRESS(1620,9))+INDIRECT(ADDRESS(1618,10))-INDIRECT(ADDRESS(1619,10))</f>
        <v>0</v>
      </c>
      <c r="K1620">
        <f>INDIRECT(ADDRESS(1620,10))+INDIRECT(ADDRESS(1618,11))-INDIRECT(ADDRESS(1619,11))</f>
        <v>0</v>
      </c>
      <c r="L1620">
        <f>INDIRECT(ADDRESS(1620,11))+INDIRECT(ADDRESS(1618,12))-INDIRECT(ADDRESS(1619,12))</f>
        <v>0</v>
      </c>
      <c r="M1620">
        <f>INDIRECT(ADDRESS(1620,12))+INDIRECT(ADDRESS(1618,13))-INDIRECT(ADDRESS(1619,13))</f>
        <v>0</v>
      </c>
      <c r="N1620">
        <f>INDIRECT(ADDRESS(1620,13))+INDIRECT(ADDRESS(1618,14))-INDIRECT(ADDRESS(1619,14))</f>
        <v>0</v>
      </c>
      <c r="O1620">
        <f>INDIRECT(ADDRESS(1620,14))+INDIRECT(ADDRESS(1618,15))-INDIRECT(ADDRESS(1619,15))</f>
        <v>0</v>
      </c>
      <c r="P1620">
        <f>INDIRECT(ADDRESS(1620,15))+INDIRECT(ADDRESS(1618,16))-INDIRECT(ADDRESS(1619,16))</f>
        <v>0</v>
      </c>
      <c r="Q1620">
        <f>INDIRECT(ADDRESS(1620,16))+INDIRECT(ADDRESS(1618,17))-INDIRECT(ADDRESS(1619,17))</f>
        <v>0</v>
      </c>
      <c r="R1620">
        <f>INDIRECT(ADDRESS(1620,17))+INDIRECT(ADDRESS(1618,18))-INDIRECT(ADDRESS(1619,18))</f>
        <v>0</v>
      </c>
      <c r="S1620">
        <f>INDIRECT(ADDRESS(1620,18))+INDIRECT(ADDRESS(1618,19))-INDIRECT(ADDRESS(1619,19))</f>
        <v>0</v>
      </c>
      <c r="T1620">
        <f>INDIRECT(ADDRESS(1620,19))+INDIRECT(ADDRESS(1618,20))-INDIRECT(ADDRESS(1619,20))</f>
        <v>0</v>
      </c>
      <c r="U1620">
        <f>INDIRECT(ADDRESS(1620,20))+INDIRECT(ADDRESS(1618,21))-INDIRECT(ADDRESS(1619,21))</f>
        <v>0</v>
      </c>
      <c r="V1620">
        <f>INDIRECT(ADDRESS(1620,21))+INDIRECT(ADDRESS(1618,22))-INDIRECT(ADDRESS(1619,22))</f>
        <v>0</v>
      </c>
      <c r="W1620">
        <f>INDIRECT(ADDRESS(1620,22))+INDIRECT(ADDRESS(1618,23))-INDIRECT(ADDRESS(1619,23))</f>
        <v>0</v>
      </c>
      <c r="X1620">
        <f>INDIRECT(ADDRESS(1620,23))+INDIRECT(ADDRESS(1618,24))-INDIRECT(ADDRESS(1619,24))</f>
        <v>0</v>
      </c>
      <c r="Y1620">
        <f>INDIRECT(ADDRESS(1620,24))+INDIRECT(ADDRESS(1618,25))-INDIRECT(ADDRESS(1619,25))</f>
        <v>0</v>
      </c>
      <c r="Z1620">
        <f>INDIRECT(ADDRESS(1620,25))+INDIRECT(ADDRESS(1618,26))-INDIRECT(ADDRESS(1619,26))</f>
        <v>0</v>
      </c>
      <c r="AA1620">
        <f>INDIRECT(ADDRESS(1620,26))+INDIRECT(ADDRESS(1618,27))-INDIRECT(ADDRESS(1619,27))</f>
        <v>0</v>
      </c>
      <c r="AB1620">
        <f>INDIRECT(ADDRESS(1620,27))+INDIRECT(ADDRESS(1618,28))-INDIRECT(ADDRESS(1619,28))</f>
        <v>0</v>
      </c>
      <c r="AC1620">
        <f>INDIRECT(ADDRESS(1620,28))+INDIRECT(ADDRESS(1618,29))-INDIRECT(ADDRESS(1619,29))</f>
        <v>0</v>
      </c>
      <c r="AD1620">
        <f>INDIRECT(ADDRESS(1620,29))+INDIRECT(ADDRESS(1618,30))-INDIRECT(ADDRESS(1619,30))</f>
        <v>0</v>
      </c>
      <c r="AE1620">
        <f>INDIRECT(ADDRESS(1620,30))+INDIRECT(ADDRESS(1618,31))-INDIRECT(ADDRESS(1619,31))</f>
        <v>0</v>
      </c>
      <c r="AF1620">
        <f>INDIRECT(ADDRESS(1620,31))+INDIRECT(ADDRESS(1618,32))-INDIRECT(ADDRESS(1619,32))</f>
        <v>0</v>
      </c>
      <c r="AG1620">
        <f>INDIRECT(ADDRESS(1620,32))+INDIRECT(ADDRESS(1618,33))-INDIRECT(ADDRESS(1619,33))</f>
        <v>0</v>
      </c>
      <c r="AH1620">
        <f>INDIRECT(ADDRESS(1620,33))+INDIRECT(ADDRESS(1618,34))-INDIRECT(ADDRESS(1619,34))</f>
        <v>0</v>
      </c>
      <c r="AI1620">
        <f>INDIRECT(ADDRESS(1620,34))+INDIRECT(ADDRESS(1618,35))-INDIRECT(ADDRESS(1619,35))</f>
        <v>0</v>
      </c>
      <c r="AJ1620">
        <f>INDIRECT(ADDRESS(1620,35))+INDIRECT(ADDRESS(1618,36))-INDIRECT(ADDRESS(1619,36))</f>
        <v>0</v>
      </c>
      <c r="AK1620">
        <f>INDIRECT(ADDRESS(1620,36))+INDIRECT(ADDRESS(1618,37))-INDIRECT(ADDRESS(1619,37))</f>
        <v>0</v>
      </c>
      <c r="AL1620">
        <f>INDIRECT(ADDRESS(1620,37))+INDIRECT(ADDRESS(1618,38))-INDIRECT(ADDRESS(1619,38))</f>
        <v>0</v>
      </c>
      <c r="AM1620">
        <f>INDIRECT(ADDRESS(1620,38))+INDIRECT(ADDRESS(1618,39))-INDIRECT(ADDRESS(1619,39))</f>
        <v>0</v>
      </c>
      <c r="AN1620">
        <f>INDIRECT(ADDRESS(1620,39))+INDIRECT(ADDRESS(1618,40))-INDIRECT(ADDRESS(1619,40))</f>
        <v>0</v>
      </c>
      <c r="AO1620">
        <f>SUM(INDIRECT(ADDRESS(1619,8)):INDIRECT(ADDRESS(1619,39)))</f>
        <v>0</v>
      </c>
    </row>
    <row r="1621" spans="1:41">
      <c r="A1621" t="s">
        <v>185</v>
      </c>
      <c r="B1621" t="s">
        <v>762</v>
      </c>
      <c r="C1621" t="s">
        <v>131</v>
      </c>
      <c r="E1621">
        <v>1</v>
      </c>
      <c r="I1621" t="s">
        <v>177</v>
      </c>
    </row>
    <row r="1622" spans="1:41">
      <c r="I1622" t="s">
        <v>178</v>
      </c>
      <c r="J1622">
        <f>IFERROR(VLOOKUP("906-488000-110",B:AB,1+8,0),0)</f>
        <v>0</v>
      </c>
      <c r="K1622">
        <f>IFERROR(VLOOKUP("906-488000-110",B:AB,2+8,0),0)</f>
        <v>0</v>
      </c>
      <c r="L1622">
        <f>IFERROR(VLOOKUP("906-488000-110",B:AB,3+8,0),0)</f>
        <v>0</v>
      </c>
      <c r="M1622">
        <f>IFERROR(VLOOKUP("906-488000-110",B:AB,4+8,0),0)</f>
        <v>0</v>
      </c>
      <c r="N1622">
        <f>IFERROR(VLOOKUP("906-488000-110",B:AB,5+8,0),0)</f>
        <v>0</v>
      </c>
      <c r="O1622">
        <f>IFERROR(VLOOKUP("906-488000-110",B:AB,6+8,0),0)</f>
        <v>0</v>
      </c>
      <c r="P1622">
        <f>IFERROR(VLOOKUP("906-488000-110",B:AB,7+8,0),0)</f>
        <v>0</v>
      </c>
      <c r="Q1622">
        <f>IFERROR(VLOOKUP("906-488000-110",B:AB,8+8,0),0)</f>
        <v>0</v>
      </c>
      <c r="R1622">
        <f>IFERROR(VLOOKUP("906-488000-110",B:AB,9+8,0),0)</f>
        <v>0</v>
      </c>
      <c r="S1622">
        <f>IFERROR(VLOOKUP("906-488000-110",B:AB,10+8,0),0)</f>
        <v>0</v>
      </c>
      <c r="T1622">
        <f>IFERROR(VLOOKUP("906-488000-110",B:AB,11+8,0),0)</f>
        <v>0</v>
      </c>
      <c r="U1622">
        <f>IFERROR(VLOOKUP("906-488000-110",B:AB,12+8,0),0)</f>
        <v>0</v>
      </c>
      <c r="V1622">
        <f>IFERROR(VLOOKUP("906-488000-110",B:AB,13+8,0),0)</f>
        <v>0</v>
      </c>
      <c r="W1622">
        <f>IFERROR(VLOOKUP("906-488000-110",B:AB,14+8,0),0)</f>
        <v>0</v>
      </c>
      <c r="X1622">
        <f>IFERROR(VLOOKUP("906-488000-110",B:AB,15+8,0),0)</f>
        <v>0</v>
      </c>
      <c r="Y1622">
        <f>IFERROR(VLOOKUP("906-488000-110",B:AB,16+8,0),0)</f>
        <v>0</v>
      </c>
      <c r="Z1622">
        <f>IFERROR(VLOOKUP("906-488000-110",B:AB,17+8,0),0)</f>
        <v>0</v>
      </c>
      <c r="AA1622">
        <f>IFERROR(VLOOKUP("906-488000-110",B:AB,18+8,0),0)</f>
        <v>0</v>
      </c>
      <c r="AB1622">
        <f>IFERROR(VLOOKUP("906-488000-110",B:AB,19+8,0),0)</f>
        <v>0</v>
      </c>
      <c r="AC1622">
        <f>IFERROR(VLOOKUP("906-488000-110",B:AB,20+8,0),0)</f>
        <v>0</v>
      </c>
      <c r="AD1622">
        <f>IFERROR(VLOOKUP("906-488000-110",B:AB,21+8,0),0)</f>
        <v>0</v>
      </c>
      <c r="AE1622">
        <f>IFERROR(VLOOKUP("906-488000-110",B:AB,22+8,0),0)</f>
        <v>0</v>
      </c>
      <c r="AF1622">
        <f>IFERROR(VLOOKUP("906-488000-110",B:AB,23+8,0),0)</f>
        <v>0</v>
      </c>
      <c r="AG1622">
        <f>IFERROR(VLOOKUP("906-488000-110",B:AB,24+8,0),0)</f>
        <v>0</v>
      </c>
      <c r="AH1622">
        <f>IFERROR(VLOOKUP("906-488000-110",B:AB,25+8,0),0)</f>
        <v>0</v>
      </c>
      <c r="AI1622">
        <f>IFERROR(VLOOKUP("906-488000-110",B:AB,26+8,0),0)</f>
        <v>0</v>
      </c>
      <c r="AJ1622">
        <f>IFERROR(VLOOKUP("906-488000-110",B:AB,27+8,0),0)</f>
        <v>0</v>
      </c>
      <c r="AK1622">
        <f>IFERROR(VLOOKUP("906-488000-110",B:AB,28+8,0),0)</f>
        <v>0</v>
      </c>
      <c r="AL1622">
        <f>IFERROR(VLOOKUP("906-488000-110",B:AB,29+8,0),0)</f>
        <v>0</v>
      </c>
      <c r="AM1622">
        <f>IFERROR(VLOOKUP("906-488000-110",B:AB,30+8,0),0)</f>
        <v>0</v>
      </c>
      <c r="AN1622">
        <f>IFERROR(VLOOKUP("906-488000-110",B:AB,31+8,0),0)</f>
        <v>0</v>
      </c>
      <c r="AO1622">
        <f>SUN(INDIRECT(ADDRESS(1621,8)):INDIRECT(ADDRESS(1621,39)))</f>
        <v>0</v>
      </c>
    </row>
    <row r="1623" spans="1:41">
      <c r="H1623" t="s">
        <v>179</v>
      </c>
      <c r="J1623">
        <f>INDIRECT(ADDRESS(1623,9))+INDIRECT(ADDRESS(1621,10))-INDIRECT(ADDRESS(1622,10))</f>
        <v>0</v>
      </c>
      <c r="K1623">
        <f>INDIRECT(ADDRESS(1623,10))+INDIRECT(ADDRESS(1621,11))-INDIRECT(ADDRESS(1622,11))</f>
        <v>0</v>
      </c>
      <c r="L1623">
        <f>INDIRECT(ADDRESS(1623,11))+INDIRECT(ADDRESS(1621,12))-INDIRECT(ADDRESS(1622,12))</f>
        <v>0</v>
      </c>
      <c r="M1623">
        <f>INDIRECT(ADDRESS(1623,12))+INDIRECT(ADDRESS(1621,13))-INDIRECT(ADDRESS(1622,13))</f>
        <v>0</v>
      </c>
      <c r="N1623">
        <f>INDIRECT(ADDRESS(1623,13))+INDIRECT(ADDRESS(1621,14))-INDIRECT(ADDRESS(1622,14))</f>
        <v>0</v>
      </c>
      <c r="O1623">
        <f>INDIRECT(ADDRESS(1623,14))+INDIRECT(ADDRESS(1621,15))-INDIRECT(ADDRESS(1622,15))</f>
        <v>0</v>
      </c>
      <c r="P1623">
        <f>INDIRECT(ADDRESS(1623,15))+INDIRECT(ADDRESS(1621,16))-INDIRECT(ADDRESS(1622,16))</f>
        <v>0</v>
      </c>
      <c r="Q1623">
        <f>INDIRECT(ADDRESS(1623,16))+INDIRECT(ADDRESS(1621,17))-INDIRECT(ADDRESS(1622,17))</f>
        <v>0</v>
      </c>
      <c r="R1623">
        <f>INDIRECT(ADDRESS(1623,17))+INDIRECT(ADDRESS(1621,18))-INDIRECT(ADDRESS(1622,18))</f>
        <v>0</v>
      </c>
      <c r="S1623">
        <f>INDIRECT(ADDRESS(1623,18))+INDIRECT(ADDRESS(1621,19))-INDIRECT(ADDRESS(1622,19))</f>
        <v>0</v>
      </c>
      <c r="T1623">
        <f>INDIRECT(ADDRESS(1623,19))+INDIRECT(ADDRESS(1621,20))-INDIRECT(ADDRESS(1622,20))</f>
        <v>0</v>
      </c>
      <c r="U1623">
        <f>INDIRECT(ADDRESS(1623,20))+INDIRECT(ADDRESS(1621,21))-INDIRECT(ADDRESS(1622,21))</f>
        <v>0</v>
      </c>
      <c r="V1623">
        <f>INDIRECT(ADDRESS(1623,21))+INDIRECT(ADDRESS(1621,22))-INDIRECT(ADDRESS(1622,22))</f>
        <v>0</v>
      </c>
      <c r="W1623">
        <f>INDIRECT(ADDRESS(1623,22))+INDIRECT(ADDRESS(1621,23))-INDIRECT(ADDRESS(1622,23))</f>
        <v>0</v>
      </c>
      <c r="X1623">
        <f>INDIRECT(ADDRESS(1623,23))+INDIRECT(ADDRESS(1621,24))-INDIRECT(ADDRESS(1622,24))</f>
        <v>0</v>
      </c>
      <c r="Y1623">
        <f>INDIRECT(ADDRESS(1623,24))+INDIRECT(ADDRESS(1621,25))-INDIRECT(ADDRESS(1622,25))</f>
        <v>0</v>
      </c>
      <c r="Z1623">
        <f>INDIRECT(ADDRESS(1623,25))+INDIRECT(ADDRESS(1621,26))-INDIRECT(ADDRESS(1622,26))</f>
        <v>0</v>
      </c>
      <c r="AA1623">
        <f>INDIRECT(ADDRESS(1623,26))+INDIRECT(ADDRESS(1621,27))-INDIRECT(ADDRESS(1622,27))</f>
        <v>0</v>
      </c>
      <c r="AB1623">
        <f>INDIRECT(ADDRESS(1623,27))+INDIRECT(ADDRESS(1621,28))-INDIRECT(ADDRESS(1622,28))</f>
        <v>0</v>
      </c>
      <c r="AC1623">
        <f>INDIRECT(ADDRESS(1623,28))+INDIRECT(ADDRESS(1621,29))-INDIRECT(ADDRESS(1622,29))</f>
        <v>0</v>
      </c>
      <c r="AD1623">
        <f>INDIRECT(ADDRESS(1623,29))+INDIRECT(ADDRESS(1621,30))-INDIRECT(ADDRESS(1622,30))</f>
        <v>0</v>
      </c>
      <c r="AE1623">
        <f>INDIRECT(ADDRESS(1623,30))+INDIRECT(ADDRESS(1621,31))-INDIRECT(ADDRESS(1622,31))</f>
        <v>0</v>
      </c>
      <c r="AF1623">
        <f>INDIRECT(ADDRESS(1623,31))+INDIRECT(ADDRESS(1621,32))-INDIRECT(ADDRESS(1622,32))</f>
        <v>0</v>
      </c>
      <c r="AG1623">
        <f>INDIRECT(ADDRESS(1623,32))+INDIRECT(ADDRESS(1621,33))-INDIRECT(ADDRESS(1622,33))</f>
        <v>0</v>
      </c>
      <c r="AH1623">
        <f>INDIRECT(ADDRESS(1623,33))+INDIRECT(ADDRESS(1621,34))-INDIRECT(ADDRESS(1622,34))</f>
        <v>0</v>
      </c>
      <c r="AI1623">
        <f>INDIRECT(ADDRESS(1623,34))+INDIRECT(ADDRESS(1621,35))-INDIRECT(ADDRESS(1622,35))</f>
        <v>0</v>
      </c>
      <c r="AJ1623">
        <f>INDIRECT(ADDRESS(1623,35))+INDIRECT(ADDRESS(1621,36))-INDIRECT(ADDRESS(1622,36))</f>
        <v>0</v>
      </c>
      <c r="AK1623">
        <f>INDIRECT(ADDRESS(1623,36))+INDIRECT(ADDRESS(1621,37))-INDIRECT(ADDRESS(1622,37))</f>
        <v>0</v>
      </c>
      <c r="AL1623">
        <f>INDIRECT(ADDRESS(1623,37))+INDIRECT(ADDRESS(1621,38))-INDIRECT(ADDRESS(1622,38))</f>
        <v>0</v>
      </c>
      <c r="AM1623">
        <f>INDIRECT(ADDRESS(1623,38))+INDIRECT(ADDRESS(1621,39))-INDIRECT(ADDRESS(1622,39))</f>
        <v>0</v>
      </c>
      <c r="AN1623">
        <f>INDIRECT(ADDRESS(1623,39))+INDIRECT(ADDRESS(1621,40))-INDIRECT(ADDRESS(1622,40))</f>
        <v>0</v>
      </c>
      <c r="AO1623">
        <f>SUM(INDIRECT(ADDRESS(1622,8)):INDIRECT(ADDRESS(1622,39)))</f>
        <v>0</v>
      </c>
    </row>
    <row r="1624" spans="1:41">
      <c r="A1624" t="s">
        <v>8</v>
      </c>
      <c r="B1624" t="s">
        <v>130</v>
      </c>
      <c r="C1624" t="s">
        <v>131</v>
      </c>
      <c r="E1624">
        <v>1</v>
      </c>
      <c r="I1624" t="s">
        <v>177</v>
      </c>
    </row>
    <row r="1625" spans="1:41">
      <c r="I1625" t="s">
        <v>178</v>
      </c>
      <c r="J1625">
        <f>IFERROR(VLOOKUP("906-495000-110",Out!B:AB,1+8,0),0)</f>
        <v>0</v>
      </c>
      <c r="K1625">
        <f>IFERROR(VLOOKUP("906-495000-110",Out!B:AB,2+8,0),0)</f>
        <v>0</v>
      </c>
      <c r="L1625">
        <f>IFERROR(VLOOKUP("906-495000-110",Out!B:AB,3+8,0),0)</f>
        <v>0</v>
      </c>
      <c r="M1625">
        <f>IFERROR(VLOOKUP("906-495000-110",Out!B:AB,4+8,0),0)</f>
        <v>0</v>
      </c>
      <c r="N1625">
        <f>IFERROR(VLOOKUP("906-495000-110",Out!B:AB,5+8,0),0)</f>
        <v>0</v>
      </c>
      <c r="O1625">
        <f>IFERROR(VLOOKUP("906-495000-110",Out!B:AB,6+8,0),0)</f>
        <v>0</v>
      </c>
      <c r="P1625">
        <f>IFERROR(VLOOKUP("906-495000-110",Out!B:AB,7+8,0),0)</f>
        <v>0</v>
      </c>
      <c r="Q1625">
        <f>IFERROR(VLOOKUP("906-495000-110",Out!B:AB,8+8,0),0)</f>
        <v>0</v>
      </c>
      <c r="R1625">
        <f>IFERROR(VLOOKUP("906-495000-110",Out!B:AB,9+8,0),0)</f>
        <v>0</v>
      </c>
      <c r="S1625">
        <f>IFERROR(VLOOKUP("906-495000-110",Out!B:AB,10+8,0),0)</f>
        <v>0</v>
      </c>
      <c r="T1625">
        <f>IFERROR(VLOOKUP("906-495000-110",Out!B:AB,11+8,0),0)</f>
        <v>0</v>
      </c>
      <c r="U1625">
        <f>IFERROR(VLOOKUP("906-495000-110",Out!B:AB,12+8,0),0)</f>
        <v>0</v>
      </c>
      <c r="V1625">
        <f>IFERROR(VLOOKUP("906-495000-110",Out!B:AB,13+8,0),0)</f>
        <v>0</v>
      </c>
      <c r="W1625">
        <f>IFERROR(VLOOKUP("906-495000-110",Out!B:AB,14+8,0),0)</f>
        <v>0</v>
      </c>
      <c r="X1625">
        <f>IFERROR(VLOOKUP("906-495000-110",Out!B:AB,15+8,0),0)</f>
        <v>0</v>
      </c>
      <c r="Y1625">
        <f>IFERROR(VLOOKUP("906-495000-110",Out!B:AB,16+8,0),0)</f>
        <v>0</v>
      </c>
      <c r="Z1625">
        <f>IFERROR(VLOOKUP("906-495000-110",Out!B:AB,17+8,0),0)</f>
        <v>0</v>
      </c>
      <c r="AA1625">
        <f>IFERROR(VLOOKUP("906-495000-110",Out!B:AB,18+8,0),0)</f>
        <v>0</v>
      </c>
      <c r="AB1625">
        <f>IFERROR(VLOOKUP("906-495000-110",Out!B:AB,19+8,0),0)</f>
        <v>0</v>
      </c>
      <c r="AC1625">
        <f>IFERROR(VLOOKUP("906-495000-110",Out!B:AB,20+8,0),0)</f>
        <v>0</v>
      </c>
      <c r="AD1625">
        <f>IFERROR(VLOOKUP("906-495000-110",Out!B:AB,21+8,0),0)</f>
        <v>0</v>
      </c>
      <c r="AE1625">
        <f>IFERROR(VLOOKUP("906-495000-110",Out!B:AB,22+8,0),0)</f>
        <v>0</v>
      </c>
      <c r="AF1625">
        <f>IFERROR(VLOOKUP("906-495000-110",Out!B:AB,23+8,0),0)</f>
        <v>0</v>
      </c>
      <c r="AG1625">
        <f>IFERROR(VLOOKUP("906-495000-110",Out!B:AB,24+8,0),0)</f>
        <v>0</v>
      </c>
      <c r="AH1625">
        <f>IFERROR(VLOOKUP("906-495000-110",Out!B:AB,25+8,0),0)</f>
        <v>0</v>
      </c>
      <c r="AI1625">
        <f>IFERROR(VLOOKUP("906-495000-110",Out!B:AB,26+8,0),0)</f>
        <v>0</v>
      </c>
      <c r="AJ1625">
        <f>IFERROR(VLOOKUP("906-495000-110",Out!B:AB,27+8,0),0)</f>
        <v>0</v>
      </c>
      <c r="AK1625">
        <f>IFERROR(VLOOKUP("906-495000-110",Out!B:AB,28+8,0),0)</f>
        <v>0</v>
      </c>
      <c r="AL1625">
        <f>IFERROR(VLOOKUP("906-495000-110",Out!B:AB,29+8,0),0)</f>
        <v>0</v>
      </c>
      <c r="AM1625">
        <f>IFERROR(VLOOKUP("906-495000-110",Out!B:AB,30+8,0),0)</f>
        <v>0</v>
      </c>
      <c r="AN1625">
        <f>IFERROR(VLOOKUP("906-495000-110",Out!B:AB,31+8,0),0)</f>
        <v>0</v>
      </c>
      <c r="AO1625">
        <f>SUN(INDIRECT(ADDRESS(1624,8)):INDIRECT(ADDRESS(1624,39)))</f>
        <v>0</v>
      </c>
    </row>
    <row r="1626" spans="1:41">
      <c r="H1626" t="s">
        <v>179</v>
      </c>
      <c r="J1626">
        <f>INDIRECT(ADDRESS(1626,9))+INDIRECT(ADDRESS(1624,10))-INDIRECT(ADDRESS(1625,10))</f>
        <v>0</v>
      </c>
      <c r="K1626">
        <f>INDIRECT(ADDRESS(1626,10))+INDIRECT(ADDRESS(1624,11))-INDIRECT(ADDRESS(1625,11))</f>
        <v>0</v>
      </c>
      <c r="L1626">
        <f>INDIRECT(ADDRESS(1626,11))+INDIRECT(ADDRESS(1624,12))-INDIRECT(ADDRESS(1625,12))</f>
        <v>0</v>
      </c>
      <c r="M1626">
        <f>INDIRECT(ADDRESS(1626,12))+INDIRECT(ADDRESS(1624,13))-INDIRECT(ADDRESS(1625,13))</f>
        <v>0</v>
      </c>
      <c r="N1626">
        <f>INDIRECT(ADDRESS(1626,13))+INDIRECT(ADDRESS(1624,14))-INDIRECT(ADDRESS(1625,14))</f>
        <v>0</v>
      </c>
      <c r="O1626">
        <f>INDIRECT(ADDRESS(1626,14))+INDIRECT(ADDRESS(1624,15))-INDIRECT(ADDRESS(1625,15))</f>
        <v>0</v>
      </c>
      <c r="P1626">
        <f>INDIRECT(ADDRESS(1626,15))+INDIRECT(ADDRESS(1624,16))-INDIRECT(ADDRESS(1625,16))</f>
        <v>0</v>
      </c>
      <c r="Q1626">
        <f>INDIRECT(ADDRESS(1626,16))+INDIRECT(ADDRESS(1624,17))-INDIRECT(ADDRESS(1625,17))</f>
        <v>0</v>
      </c>
      <c r="R1626">
        <f>INDIRECT(ADDRESS(1626,17))+INDIRECT(ADDRESS(1624,18))-INDIRECT(ADDRESS(1625,18))</f>
        <v>0</v>
      </c>
      <c r="S1626">
        <f>INDIRECT(ADDRESS(1626,18))+INDIRECT(ADDRESS(1624,19))-INDIRECT(ADDRESS(1625,19))</f>
        <v>0</v>
      </c>
      <c r="T1626">
        <f>INDIRECT(ADDRESS(1626,19))+INDIRECT(ADDRESS(1624,20))-INDIRECT(ADDRESS(1625,20))</f>
        <v>0</v>
      </c>
      <c r="U1626">
        <f>INDIRECT(ADDRESS(1626,20))+INDIRECT(ADDRESS(1624,21))-INDIRECT(ADDRESS(1625,21))</f>
        <v>0</v>
      </c>
      <c r="V1626">
        <f>INDIRECT(ADDRESS(1626,21))+INDIRECT(ADDRESS(1624,22))-INDIRECT(ADDRESS(1625,22))</f>
        <v>0</v>
      </c>
      <c r="W1626">
        <f>INDIRECT(ADDRESS(1626,22))+INDIRECT(ADDRESS(1624,23))-INDIRECT(ADDRESS(1625,23))</f>
        <v>0</v>
      </c>
      <c r="X1626">
        <f>INDIRECT(ADDRESS(1626,23))+INDIRECT(ADDRESS(1624,24))-INDIRECT(ADDRESS(1625,24))</f>
        <v>0</v>
      </c>
      <c r="Y1626">
        <f>INDIRECT(ADDRESS(1626,24))+INDIRECT(ADDRESS(1624,25))-INDIRECT(ADDRESS(1625,25))</f>
        <v>0</v>
      </c>
      <c r="Z1626">
        <f>INDIRECT(ADDRESS(1626,25))+INDIRECT(ADDRESS(1624,26))-INDIRECT(ADDRESS(1625,26))</f>
        <v>0</v>
      </c>
      <c r="AA1626">
        <f>INDIRECT(ADDRESS(1626,26))+INDIRECT(ADDRESS(1624,27))-INDIRECT(ADDRESS(1625,27))</f>
        <v>0</v>
      </c>
      <c r="AB1626">
        <f>INDIRECT(ADDRESS(1626,27))+INDIRECT(ADDRESS(1624,28))-INDIRECT(ADDRESS(1625,28))</f>
        <v>0</v>
      </c>
      <c r="AC1626">
        <f>INDIRECT(ADDRESS(1626,28))+INDIRECT(ADDRESS(1624,29))-INDIRECT(ADDRESS(1625,29))</f>
        <v>0</v>
      </c>
      <c r="AD1626">
        <f>INDIRECT(ADDRESS(1626,29))+INDIRECT(ADDRESS(1624,30))-INDIRECT(ADDRESS(1625,30))</f>
        <v>0</v>
      </c>
      <c r="AE1626">
        <f>INDIRECT(ADDRESS(1626,30))+INDIRECT(ADDRESS(1624,31))-INDIRECT(ADDRESS(1625,31))</f>
        <v>0</v>
      </c>
      <c r="AF1626">
        <f>INDIRECT(ADDRESS(1626,31))+INDIRECT(ADDRESS(1624,32))-INDIRECT(ADDRESS(1625,32))</f>
        <v>0</v>
      </c>
      <c r="AG1626">
        <f>INDIRECT(ADDRESS(1626,32))+INDIRECT(ADDRESS(1624,33))-INDIRECT(ADDRESS(1625,33))</f>
        <v>0</v>
      </c>
      <c r="AH1626">
        <f>INDIRECT(ADDRESS(1626,33))+INDIRECT(ADDRESS(1624,34))-INDIRECT(ADDRESS(1625,34))</f>
        <v>0</v>
      </c>
      <c r="AI1626">
        <f>INDIRECT(ADDRESS(1626,34))+INDIRECT(ADDRESS(1624,35))-INDIRECT(ADDRESS(1625,35))</f>
        <v>0</v>
      </c>
      <c r="AJ1626">
        <f>INDIRECT(ADDRESS(1626,35))+INDIRECT(ADDRESS(1624,36))-INDIRECT(ADDRESS(1625,36))</f>
        <v>0</v>
      </c>
      <c r="AK1626">
        <f>INDIRECT(ADDRESS(1626,36))+INDIRECT(ADDRESS(1624,37))-INDIRECT(ADDRESS(1625,37))</f>
        <v>0</v>
      </c>
      <c r="AL1626">
        <f>INDIRECT(ADDRESS(1626,37))+INDIRECT(ADDRESS(1624,38))-INDIRECT(ADDRESS(1625,38))</f>
        <v>0</v>
      </c>
      <c r="AM1626">
        <f>INDIRECT(ADDRESS(1626,38))+INDIRECT(ADDRESS(1624,39))-INDIRECT(ADDRESS(1625,39))</f>
        <v>0</v>
      </c>
      <c r="AN1626">
        <f>INDIRECT(ADDRESS(1626,39))+INDIRECT(ADDRESS(1624,40))-INDIRECT(ADDRESS(1625,40))</f>
        <v>0</v>
      </c>
      <c r="AO1626">
        <f>SUM(INDIRECT(ADDRESS(1625,8)):INDIRECT(ADDRESS(1625,39)))</f>
        <v>0</v>
      </c>
    </row>
    <row r="1627" spans="1:41">
      <c r="A1627" t="s">
        <v>180</v>
      </c>
      <c r="B1627" t="s">
        <v>763</v>
      </c>
      <c r="C1627" t="s">
        <v>131</v>
      </c>
      <c r="E1627">
        <v>1</v>
      </c>
      <c r="I1627" t="s">
        <v>177</v>
      </c>
    </row>
    <row r="1628" spans="1:41">
      <c r="I1628" t="s">
        <v>178</v>
      </c>
      <c r="J1628">
        <f>IFERROR(VLOOKUP("906-495000-110",B:AB,1+8,0),0)</f>
        <v>0</v>
      </c>
      <c r="K1628">
        <f>IFERROR(VLOOKUP("906-495000-110",B:AB,2+8,0),0)</f>
        <v>0</v>
      </c>
      <c r="L1628">
        <f>IFERROR(VLOOKUP("906-495000-110",B:AB,3+8,0),0)</f>
        <v>0</v>
      </c>
      <c r="M1628">
        <f>IFERROR(VLOOKUP("906-495000-110",B:AB,4+8,0),0)</f>
        <v>0</v>
      </c>
      <c r="N1628">
        <f>IFERROR(VLOOKUP("906-495000-110",B:AB,5+8,0),0)</f>
        <v>0</v>
      </c>
      <c r="O1628">
        <f>IFERROR(VLOOKUP("906-495000-110",B:AB,6+8,0),0)</f>
        <v>0</v>
      </c>
      <c r="P1628">
        <f>IFERROR(VLOOKUP("906-495000-110",B:AB,7+8,0),0)</f>
        <v>0</v>
      </c>
      <c r="Q1628">
        <f>IFERROR(VLOOKUP("906-495000-110",B:AB,8+8,0),0)</f>
        <v>0</v>
      </c>
      <c r="R1628">
        <f>IFERROR(VLOOKUP("906-495000-110",B:AB,9+8,0),0)</f>
        <v>0</v>
      </c>
      <c r="S1628">
        <f>IFERROR(VLOOKUP("906-495000-110",B:AB,10+8,0),0)</f>
        <v>0</v>
      </c>
      <c r="T1628">
        <f>IFERROR(VLOOKUP("906-495000-110",B:AB,11+8,0),0)</f>
        <v>0</v>
      </c>
      <c r="U1628">
        <f>IFERROR(VLOOKUP("906-495000-110",B:AB,12+8,0),0)</f>
        <v>0</v>
      </c>
      <c r="V1628">
        <f>IFERROR(VLOOKUP("906-495000-110",B:AB,13+8,0),0)</f>
        <v>0</v>
      </c>
      <c r="W1628">
        <f>IFERROR(VLOOKUP("906-495000-110",B:AB,14+8,0),0)</f>
        <v>0</v>
      </c>
      <c r="X1628">
        <f>IFERROR(VLOOKUP("906-495000-110",B:AB,15+8,0),0)</f>
        <v>0</v>
      </c>
      <c r="Y1628">
        <f>IFERROR(VLOOKUP("906-495000-110",B:AB,16+8,0),0)</f>
        <v>0</v>
      </c>
      <c r="Z1628">
        <f>IFERROR(VLOOKUP("906-495000-110",B:AB,17+8,0),0)</f>
        <v>0</v>
      </c>
      <c r="AA1628">
        <f>IFERROR(VLOOKUP("906-495000-110",B:AB,18+8,0),0)</f>
        <v>0</v>
      </c>
      <c r="AB1628">
        <f>IFERROR(VLOOKUP("906-495000-110",B:AB,19+8,0),0)</f>
        <v>0</v>
      </c>
      <c r="AC1628">
        <f>IFERROR(VLOOKUP("906-495000-110",B:AB,20+8,0),0)</f>
        <v>0</v>
      </c>
      <c r="AD1628">
        <f>IFERROR(VLOOKUP("906-495000-110",B:AB,21+8,0),0)</f>
        <v>0</v>
      </c>
      <c r="AE1628">
        <f>IFERROR(VLOOKUP("906-495000-110",B:AB,22+8,0),0)</f>
        <v>0</v>
      </c>
      <c r="AF1628">
        <f>IFERROR(VLOOKUP("906-495000-110",B:AB,23+8,0),0)</f>
        <v>0</v>
      </c>
      <c r="AG1628">
        <f>IFERROR(VLOOKUP("906-495000-110",B:AB,24+8,0),0)</f>
        <v>0</v>
      </c>
      <c r="AH1628">
        <f>IFERROR(VLOOKUP("906-495000-110",B:AB,25+8,0),0)</f>
        <v>0</v>
      </c>
      <c r="AI1628">
        <f>IFERROR(VLOOKUP("906-495000-110",B:AB,26+8,0),0)</f>
        <v>0</v>
      </c>
      <c r="AJ1628">
        <f>IFERROR(VLOOKUP("906-495000-110",B:AB,27+8,0),0)</f>
        <v>0</v>
      </c>
      <c r="AK1628">
        <f>IFERROR(VLOOKUP("906-495000-110",B:AB,28+8,0),0)</f>
        <v>0</v>
      </c>
      <c r="AL1628">
        <f>IFERROR(VLOOKUP("906-495000-110",B:AB,29+8,0),0)</f>
        <v>0</v>
      </c>
      <c r="AM1628">
        <f>IFERROR(VLOOKUP("906-495000-110",B:AB,30+8,0),0)</f>
        <v>0</v>
      </c>
      <c r="AN1628">
        <f>IFERROR(VLOOKUP("906-495000-110",B:AB,31+8,0),0)</f>
        <v>0</v>
      </c>
      <c r="AO1628">
        <f>SUN(INDIRECT(ADDRESS(1627,8)):INDIRECT(ADDRESS(1627,39)))</f>
        <v>0</v>
      </c>
    </row>
    <row r="1629" spans="1:41">
      <c r="H1629" t="s">
        <v>179</v>
      </c>
      <c r="J1629">
        <f>INDIRECT(ADDRESS(1629,9))+INDIRECT(ADDRESS(1627,10))-INDIRECT(ADDRESS(1628,10))</f>
        <v>0</v>
      </c>
      <c r="K1629">
        <f>INDIRECT(ADDRESS(1629,10))+INDIRECT(ADDRESS(1627,11))-INDIRECT(ADDRESS(1628,11))</f>
        <v>0</v>
      </c>
      <c r="L1629">
        <f>INDIRECT(ADDRESS(1629,11))+INDIRECT(ADDRESS(1627,12))-INDIRECT(ADDRESS(1628,12))</f>
        <v>0</v>
      </c>
      <c r="M1629">
        <f>INDIRECT(ADDRESS(1629,12))+INDIRECT(ADDRESS(1627,13))-INDIRECT(ADDRESS(1628,13))</f>
        <v>0</v>
      </c>
      <c r="N1629">
        <f>INDIRECT(ADDRESS(1629,13))+INDIRECT(ADDRESS(1627,14))-INDIRECT(ADDRESS(1628,14))</f>
        <v>0</v>
      </c>
      <c r="O1629">
        <f>INDIRECT(ADDRESS(1629,14))+INDIRECT(ADDRESS(1627,15))-INDIRECT(ADDRESS(1628,15))</f>
        <v>0</v>
      </c>
      <c r="P1629">
        <f>INDIRECT(ADDRESS(1629,15))+INDIRECT(ADDRESS(1627,16))-INDIRECT(ADDRESS(1628,16))</f>
        <v>0</v>
      </c>
      <c r="Q1629">
        <f>INDIRECT(ADDRESS(1629,16))+INDIRECT(ADDRESS(1627,17))-INDIRECT(ADDRESS(1628,17))</f>
        <v>0</v>
      </c>
      <c r="R1629">
        <f>INDIRECT(ADDRESS(1629,17))+INDIRECT(ADDRESS(1627,18))-INDIRECT(ADDRESS(1628,18))</f>
        <v>0</v>
      </c>
      <c r="S1629">
        <f>INDIRECT(ADDRESS(1629,18))+INDIRECT(ADDRESS(1627,19))-INDIRECT(ADDRESS(1628,19))</f>
        <v>0</v>
      </c>
      <c r="T1629">
        <f>INDIRECT(ADDRESS(1629,19))+INDIRECT(ADDRESS(1627,20))-INDIRECT(ADDRESS(1628,20))</f>
        <v>0</v>
      </c>
      <c r="U1629">
        <f>INDIRECT(ADDRESS(1629,20))+INDIRECT(ADDRESS(1627,21))-INDIRECT(ADDRESS(1628,21))</f>
        <v>0</v>
      </c>
      <c r="V1629">
        <f>INDIRECT(ADDRESS(1629,21))+INDIRECT(ADDRESS(1627,22))-INDIRECT(ADDRESS(1628,22))</f>
        <v>0</v>
      </c>
      <c r="W1629">
        <f>INDIRECT(ADDRESS(1629,22))+INDIRECT(ADDRESS(1627,23))-INDIRECT(ADDRESS(1628,23))</f>
        <v>0</v>
      </c>
      <c r="X1629">
        <f>INDIRECT(ADDRESS(1629,23))+INDIRECT(ADDRESS(1627,24))-INDIRECT(ADDRESS(1628,24))</f>
        <v>0</v>
      </c>
      <c r="Y1629">
        <f>INDIRECT(ADDRESS(1629,24))+INDIRECT(ADDRESS(1627,25))-INDIRECT(ADDRESS(1628,25))</f>
        <v>0</v>
      </c>
      <c r="Z1629">
        <f>INDIRECT(ADDRESS(1629,25))+INDIRECT(ADDRESS(1627,26))-INDIRECT(ADDRESS(1628,26))</f>
        <v>0</v>
      </c>
      <c r="AA1629">
        <f>INDIRECT(ADDRESS(1629,26))+INDIRECT(ADDRESS(1627,27))-INDIRECT(ADDRESS(1628,27))</f>
        <v>0</v>
      </c>
      <c r="AB1629">
        <f>INDIRECT(ADDRESS(1629,27))+INDIRECT(ADDRESS(1627,28))-INDIRECT(ADDRESS(1628,28))</f>
        <v>0</v>
      </c>
      <c r="AC1629">
        <f>INDIRECT(ADDRESS(1629,28))+INDIRECT(ADDRESS(1627,29))-INDIRECT(ADDRESS(1628,29))</f>
        <v>0</v>
      </c>
      <c r="AD1629">
        <f>INDIRECT(ADDRESS(1629,29))+INDIRECT(ADDRESS(1627,30))-INDIRECT(ADDRESS(1628,30))</f>
        <v>0</v>
      </c>
      <c r="AE1629">
        <f>INDIRECT(ADDRESS(1629,30))+INDIRECT(ADDRESS(1627,31))-INDIRECT(ADDRESS(1628,31))</f>
        <v>0</v>
      </c>
      <c r="AF1629">
        <f>INDIRECT(ADDRESS(1629,31))+INDIRECT(ADDRESS(1627,32))-INDIRECT(ADDRESS(1628,32))</f>
        <v>0</v>
      </c>
      <c r="AG1629">
        <f>INDIRECT(ADDRESS(1629,32))+INDIRECT(ADDRESS(1627,33))-INDIRECT(ADDRESS(1628,33))</f>
        <v>0</v>
      </c>
      <c r="AH1629">
        <f>INDIRECT(ADDRESS(1629,33))+INDIRECT(ADDRESS(1627,34))-INDIRECT(ADDRESS(1628,34))</f>
        <v>0</v>
      </c>
      <c r="AI1629">
        <f>INDIRECT(ADDRESS(1629,34))+INDIRECT(ADDRESS(1627,35))-INDIRECT(ADDRESS(1628,35))</f>
        <v>0</v>
      </c>
      <c r="AJ1629">
        <f>INDIRECT(ADDRESS(1629,35))+INDIRECT(ADDRESS(1627,36))-INDIRECT(ADDRESS(1628,36))</f>
        <v>0</v>
      </c>
      <c r="AK1629">
        <f>INDIRECT(ADDRESS(1629,36))+INDIRECT(ADDRESS(1627,37))-INDIRECT(ADDRESS(1628,37))</f>
        <v>0</v>
      </c>
      <c r="AL1629">
        <f>INDIRECT(ADDRESS(1629,37))+INDIRECT(ADDRESS(1627,38))-INDIRECT(ADDRESS(1628,38))</f>
        <v>0</v>
      </c>
      <c r="AM1629">
        <f>INDIRECT(ADDRESS(1629,38))+INDIRECT(ADDRESS(1627,39))-INDIRECT(ADDRESS(1628,39))</f>
        <v>0</v>
      </c>
      <c r="AN1629">
        <f>INDIRECT(ADDRESS(1629,39))+INDIRECT(ADDRESS(1627,40))-INDIRECT(ADDRESS(1628,40))</f>
        <v>0</v>
      </c>
      <c r="AO1629">
        <f>SUM(INDIRECT(ADDRESS(1628,8)):INDIRECT(ADDRESS(1628,39)))</f>
        <v>0</v>
      </c>
    </row>
    <row r="1630" spans="1:41">
      <c r="A1630" t="s">
        <v>185</v>
      </c>
      <c r="B1630" t="s">
        <v>764</v>
      </c>
      <c r="C1630" t="s">
        <v>765</v>
      </c>
      <c r="E1630">
        <v>1</v>
      </c>
      <c r="I1630" t="s">
        <v>177</v>
      </c>
    </row>
    <row r="1631" spans="1:41">
      <c r="I1631" t="s">
        <v>178</v>
      </c>
      <c r="J1631">
        <f>IFERROR(VLOOKUP("906-495000-110",B:AB,1+8,0),0)</f>
        <v>0</v>
      </c>
      <c r="K1631">
        <f>IFERROR(VLOOKUP("906-495000-110",B:AB,2+8,0),0)</f>
        <v>0</v>
      </c>
      <c r="L1631">
        <f>IFERROR(VLOOKUP("906-495000-110",B:AB,3+8,0),0)</f>
        <v>0</v>
      </c>
      <c r="M1631">
        <f>IFERROR(VLOOKUP("906-495000-110",B:AB,4+8,0),0)</f>
        <v>0</v>
      </c>
      <c r="N1631">
        <f>IFERROR(VLOOKUP("906-495000-110",B:AB,5+8,0),0)</f>
        <v>0</v>
      </c>
      <c r="O1631">
        <f>IFERROR(VLOOKUP("906-495000-110",B:AB,6+8,0),0)</f>
        <v>0</v>
      </c>
      <c r="P1631">
        <f>IFERROR(VLOOKUP("906-495000-110",B:AB,7+8,0),0)</f>
        <v>0</v>
      </c>
      <c r="Q1631">
        <f>IFERROR(VLOOKUP("906-495000-110",B:AB,8+8,0),0)</f>
        <v>0</v>
      </c>
      <c r="R1631">
        <f>IFERROR(VLOOKUP("906-495000-110",B:AB,9+8,0),0)</f>
        <v>0</v>
      </c>
      <c r="S1631">
        <f>IFERROR(VLOOKUP("906-495000-110",B:AB,10+8,0),0)</f>
        <v>0</v>
      </c>
      <c r="T1631">
        <f>IFERROR(VLOOKUP("906-495000-110",B:AB,11+8,0),0)</f>
        <v>0</v>
      </c>
      <c r="U1631">
        <f>IFERROR(VLOOKUP("906-495000-110",B:AB,12+8,0),0)</f>
        <v>0</v>
      </c>
      <c r="V1631">
        <f>IFERROR(VLOOKUP("906-495000-110",B:AB,13+8,0),0)</f>
        <v>0</v>
      </c>
      <c r="W1631">
        <f>IFERROR(VLOOKUP("906-495000-110",B:AB,14+8,0),0)</f>
        <v>0</v>
      </c>
      <c r="X1631">
        <f>IFERROR(VLOOKUP("906-495000-110",B:AB,15+8,0),0)</f>
        <v>0</v>
      </c>
      <c r="Y1631">
        <f>IFERROR(VLOOKUP("906-495000-110",B:AB,16+8,0),0)</f>
        <v>0</v>
      </c>
      <c r="Z1631">
        <f>IFERROR(VLOOKUP("906-495000-110",B:AB,17+8,0),0)</f>
        <v>0</v>
      </c>
      <c r="AA1631">
        <f>IFERROR(VLOOKUP("906-495000-110",B:AB,18+8,0),0)</f>
        <v>0</v>
      </c>
      <c r="AB1631">
        <f>IFERROR(VLOOKUP("906-495000-110",B:AB,19+8,0),0)</f>
        <v>0</v>
      </c>
      <c r="AC1631">
        <f>IFERROR(VLOOKUP("906-495000-110",B:AB,20+8,0),0)</f>
        <v>0</v>
      </c>
      <c r="AD1631">
        <f>IFERROR(VLOOKUP("906-495000-110",B:AB,21+8,0),0)</f>
        <v>0</v>
      </c>
      <c r="AE1631">
        <f>IFERROR(VLOOKUP("906-495000-110",B:AB,22+8,0),0)</f>
        <v>0</v>
      </c>
      <c r="AF1631">
        <f>IFERROR(VLOOKUP("906-495000-110",B:AB,23+8,0),0)</f>
        <v>0</v>
      </c>
      <c r="AG1631">
        <f>IFERROR(VLOOKUP("906-495000-110",B:AB,24+8,0),0)</f>
        <v>0</v>
      </c>
      <c r="AH1631">
        <f>IFERROR(VLOOKUP("906-495000-110",B:AB,25+8,0),0)</f>
        <v>0</v>
      </c>
      <c r="AI1631">
        <f>IFERROR(VLOOKUP("906-495000-110",B:AB,26+8,0),0)</f>
        <v>0</v>
      </c>
      <c r="AJ1631">
        <f>IFERROR(VLOOKUP("906-495000-110",B:AB,27+8,0),0)</f>
        <v>0</v>
      </c>
      <c r="AK1631">
        <f>IFERROR(VLOOKUP("906-495000-110",B:AB,28+8,0),0)</f>
        <v>0</v>
      </c>
      <c r="AL1631">
        <f>IFERROR(VLOOKUP("906-495000-110",B:AB,29+8,0),0)</f>
        <v>0</v>
      </c>
      <c r="AM1631">
        <f>IFERROR(VLOOKUP("906-495000-110",B:AB,30+8,0),0)</f>
        <v>0</v>
      </c>
      <c r="AN1631">
        <f>IFERROR(VLOOKUP("906-495000-110",B:AB,31+8,0),0)</f>
        <v>0</v>
      </c>
      <c r="AO1631">
        <f>SUN(INDIRECT(ADDRESS(1630,8)):INDIRECT(ADDRESS(1630,39)))</f>
        <v>0</v>
      </c>
    </row>
    <row r="1632" spans="1:41">
      <c r="H1632" t="s">
        <v>179</v>
      </c>
      <c r="J1632">
        <f>INDIRECT(ADDRESS(1632,9))+INDIRECT(ADDRESS(1630,10))-INDIRECT(ADDRESS(1631,10))</f>
        <v>0</v>
      </c>
      <c r="K1632">
        <f>INDIRECT(ADDRESS(1632,10))+INDIRECT(ADDRESS(1630,11))-INDIRECT(ADDRESS(1631,11))</f>
        <v>0</v>
      </c>
      <c r="L1632">
        <f>INDIRECT(ADDRESS(1632,11))+INDIRECT(ADDRESS(1630,12))-INDIRECT(ADDRESS(1631,12))</f>
        <v>0</v>
      </c>
      <c r="M1632">
        <f>INDIRECT(ADDRESS(1632,12))+INDIRECT(ADDRESS(1630,13))-INDIRECT(ADDRESS(1631,13))</f>
        <v>0</v>
      </c>
      <c r="N1632">
        <f>INDIRECT(ADDRESS(1632,13))+INDIRECT(ADDRESS(1630,14))-INDIRECT(ADDRESS(1631,14))</f>
        <v>0</v>
      </c>
      <c r="O1632">
        <f>INDIRECT(ADDRESS(1632,14))+INDIRECT(ADDRESS(1630,15))-INDIRECT(ADDRESS(1631,15))</f>
        <v>0</v>
      </c>
      <c r="P1632">
        <f>INDIRECT(ADDRESS(1632,15))+INDIRECT(ADDRESS(1630,16))-INDIRECT(ADDRESS(1631,16))</f>
        <v>0</v>
      </c>
      <c r="Q1632">
        <f>INDIRECT(ADDRESS(1632,16))+INDIRECT(ADDRESS(1630,17))-INDIRECT(ADDRESS(1631,17))</f>
        <v>0</v>
      </c>
      <c r="R1632">
        <f>INDIRECT(ADDRESS(1632,17))+INDIRECT(ADDRESS(1630,18))-INDIRECT(ADDRESS(1631,18))</f>
        <v>0</v>
      </c>
      <c r="S1632">
        <f>INDIRECT(ADDRESS(1632,18))+INDIRECT(ADDRESS(1630,19))-INDIRECT(ADDRESS(1631,19))</f>
        <v>0</v>
      </c>
      <c r="T1632">
        <f>INDIRECT(ADDRESS(1632,19))+INDIRECT(ADDRESS(1630,20))-INDIRECT(ADDRESS(1631,20))</f>
        <v>0</v>
      </c>
      <c r="U1632">
        <f>INDIRECT(ADDRESS(1632,20))+INDIRECT(ADDRESS(1630,21))-INDIRECT(ADDRESS(1631,21))</f>
        <v>0</v>
      </c>
      <c r="V1632">
        <f>INDIRECT(ADDRESS(1632,21))+INDIRECT(ADDRESS(1630,22))-INDIRECT(ADDRESS(1631,22))</f>
        <v>0</v>
      </c>
      <c r="W1632">
        <f>INDIRECT(ADDRESS(1632,22))+INDIRECT(ADDRESS(1630,23))-INDIRECT(ADDRESS(1631,23))</f>
        <v>0</v>
      </c>
      <c r="X1632">
        <f>INDIRECT(ADDRESS(1632,23))+INDIRECT(ADDRESS(1630,24))-INDIRECT(ADDRESS(1631,24))</f>
        <v>0</v>
      </c>
      <c r="Y1632">
        <f>INDIRECT(ADDRESS(1632,24))+INDIRECT(ADDRESS(1630,25))-INDIRECT(ADDRESS(1631,25))</f>
        <v>0</v>
      </c>
      <c r="Z1632">
        <f>INDIRECT(ADDRESS(1632,25))+INDIRECT(ADDRESS(1630,26))-INDIRECT(ADDRESS(1631,26))</f>
        <v>0</v>
      </c>
      <c r="AA1632">
        <f>INDIRECT(ADDRESS(1632,26))+INDIRECT(ADDRESS(1630,27))-INDIRECT(ADDRESS(1631,27))</f>
        <v>0</v>
      </c>
      <c r="AB1632">
        <f>INDIRECT(ADDRESS(1632,27))+INDIRECT(ADDRESS(1630,28))-INDIRECT(ADDRESS(1631,28))</f>
        <v>0</v>
      </c>
      <c r="AC1632">
        <f>INDIRECT(ADDRESS(1632,28))+INDIRECT(ADDRESS(1630,29))-INDIRECT(ADDRESS(1631,29))</f>
        <v>0</v>
      </c>
      <c r="AD1632">
        <f>INDIRECT(ADDRESS(1632,29))+INDIRECT(ADDRESS(1630,30))-INDIRECT(ADDRESS(1631,30))</f>
        <v>0</v>
      </c>
      <c r="AE1632">
        <f>INDIRECT(ADDRESS(1632,30))+INDIRECT(ADDRESS(1630,31))-INDIRECT(ADDRESS(1631,31))</f>
        <v>0</v>
      </c>
      <c r="AF1632">
        <f>INDIRECT(ADDRESS(1632,31))+INDIRECT(ADDRESS(1630,32))-INDIRECT(ADDRESS(1631,32))</f>
        <v>0</v>
      </c>
      <c r="AG1632">
        <f>INDIRECT(ADDRESS(1632,32))+INDIRECT(ADDRESS(1630,33))-INDIRECT(ADDRESS(1631,33))</f>
        <v>0</v>
      </c>
      <c r="AH1632">
        <f>INDIRECT(ADDRESS(1632,33))+INDIRECT(ADDRESS(1630,34))-INDIRECT(ADDRESS(1631,34))</f>
        <v>0</v>
      </c>
      <c r="AI1632">
        <f>INDIRECT(ADDRESS(1632,34))+INDIRECT(ADDRESS(1630,35))-INDIRECT(ADDRESS(1631,35))</f>
        <v>0</v>
      </c>
      <c r="AJ1632">
        <f>INDIRECT(ADDRESS(1632,35))+INDIRECT(ADDRESS(1630,36))-INDIRECT(ADDRESS(1631,36))</f>
        <v>0</v>
      </c>
      <c r="AK1632">
        <f>INDIRECT(ADDRESS(1632,36))+INDIRECT(ADDRESS(1630,37))-INDIRECT(ADDRESS(1631,37))</f>
        <v>0</v>
      </c>
      <c r="AL1632">
        <f>INDIRECT(ADDRESS(1632,37))+INDIRECT(ADDRESS(1630,38))-INDIRECT(ADDRESS(1631,38))</f>
        <v>0</v>
      </c>
      <c r="AM1632">
        <f>INDIRECT(ADDRESS(1632,38))+INDIRECT(ADDRESS(1630,39))-INDIRECT(ADDRESS(1631,39))</f>
        <v>0</v>
      </c>
      <c r="AN1632">
        <f>INDIRECT(ADDRESS(1632,39))+INDIRECT(ADDRESS(1630,40))-INDIRECT(ADDRESS(1631,40))</f>
        <v>0</v>
      </c>
      <c r="AO1632">
        <f>SUM(INDIRECT(ADDRESS(1631,8)):INDIRECT(ADDRESS(1631,39)))</f>
        <v>0</v>
      </c>
    </row>
    <row r="1633" spans="1:41">
      <c r="A1633" t="s">
        <v>185</v>
      </c>
      <c r="B1633" t="s">
        <v>766</v>
      </c>
      <c r="C1633" t="s">
        <v>767</v>
      </c>
      <c r="E1633">
        <v>2</v>
      </c>
      <c r="I1633" t="s">
        <v>177</v>
      </c>
    </row>
    <row r="1634" spans="1:41">
      <c r="I1634" t="s">
        <v>178</v>
      </c>
      <c r="J1634">
        <f>IFERROR(VLOOKUP("906-495000-110",B:AB,1+8,0),0)</f>
        <v>0</v>
      </c>
      <c r="K1634">
        <f>IFERROR(VLOOKUP("906-495000-110",B:AB,2+8,0),0)</f>
        <v>0</v>
      </c>
      <c r="L1634">
        <f>IFERROR(VLOOKUP("906-495000-110",B:AB,3+8,0),0)</f>
        <v>0</v>
      </c>
      <c r="M1634">
        <f>IFERROR(VLOOKUP("906-495000-110",B:AB,4+8,0),0)</f>
        <v>0</v>
      </c>
      <c r="N1634">
        <f>IFERROR(VLOOKUP("906-495000-110",B:AB,5+8,0),0)</f>
        <v>0</v>
      </c>
      <c r="O1634">
        <f>IFERROR(VLOOKUP("906-495000-110",B:AB,6+8,0),0)</f>
        <v>0</v>
      </c>
      <c r="P1634">
        <f>IFERROR(VLOOKUP("906-495000-110",B:AB,7+8,0),0)</f>
        <v>0</v>
      </c>
      <c r="Q1634">
        <f>IFERROR(VLOOKUP("906-495000-110",B:AB,8+8,0),0)</f>
        <v>0</v>
      </c>
      <c r="R1634">
        <f>IFERROR(VLOOKUP("906-495000-110",B:AB,9+8,0),0)</f>
        <v>0</v>
      </c>
      <c r="S1634">
        <f>IFERROR(VLOOKUP("906-495000-110",B:AB,10+8,0),0)</f>
        <v>0</v>
      </c>
      <c r="T1634">
        <f>IFERROR(VLOOKUP("906-495000-110",B:AB,11+8,0),0)</f>
        <v>0</v>
      </c>
      <c r="U1634">
        <f>IFERROR(VLOOKUP("906-495000-110",B:AB,12+8,0),0)</f>
        <v>0</v>
      </c>
      <c r="V1634">
        <f>IFERROR(VLOOKUP("906-495000-110",B:AB,13+8,0),0)</f>
        <v>0</v>
      </c>
      <c r="W1634">
        <f>IFERROR(VLOOKUP("906-495000-110",B:AB,14+8,0),0)</f>
        <v>0</v>
      </c>
      <c r="X1634">
        <f>IFERROR(VLOOKUP("906-495000-110",B:AB,15+8,0),0)</f>
        <v>0</v>
      </c>
      <c r="Y1634">
        <f>IFERROR(VLOOKUP("906-495000-110",B:AB,16+8,0),0)</f>
        <v>0</v>
      </c>
      <c r="Z1634">
        <f>IFERROR(VLOOKUP("906-495000-110",B:AB,17+8,0),0)</f>
        <v>0</v>
      </c>
      <c r="AA1634">
        <f>IFERROR(VLOOKUP("906-495000-110",B:AB,18+8,0),0)</f>
        <v>0</v>
      </c>
      <c r="AB1634">
        <f>IFERROR(VLOOKUP("906-495000-110",B:AB,19+8,0),0)</f>
        <v>0</v>
      </c>
      <c r="AC1634">
        <f>IFERROR(VLOOKUP("906-495000-110",B:AB,20+8,0),0)</f>
        <v>0</v>
      </c>
      <c r="AD1634">
        <f>IFERROR(VLOOKUP("906-495000-110",B:AB,21+8,0),0)</f>
        <v>0</v>
      </c>
      <c r="AE1634">
        <f>IFERROR(VLOOKUP("906-495000-110",B:AB,22+8,0),0)</f>
        <v>0</v>
      </c>
      <c r="AF1634">
        <f>IFERROR(VLOOKUP("906-495000-110",B:AB,23+8,0),0)</f>
        <v>0</v>
      </c>
      <c r="AG1634">
        <f>IFERROR(VLOOKUP("906-495000-110",B:AB,24+8,0),0)</f>
        <v>0</v>
      </c>
      <c r="AH1634">
        <f>IFERROR(VLOOKUP("906-495000-110",B:AB,25+8,0),0)</f>
        <v>0</v>
      </c>
      <c r="AI1634">
        <f>IFERROR(VLOOKUP("906-495000-110",B:AB,26+8,0),0)</f>
        <v>0</v>
      </c>
      <c r="AJ1634">
        <f>IFERROR(VLOOKUP("906-495000-110",B:AB,27+8,0),0)</f>
        <v>0</v>
      </c>
      <c r="AK1634">
        <f>IFERROR(VLOOKUP("906-495000-110",B:AB,28+8,0),0)</f>
        <v>0</v>
      </c>
      <c r="AL1634">
        <f>IFERROR(VLOOKUP("906-495000-110",B:AB,29+8,0),0)</f>
        <v>0</v>
      </c>
      <c r="AM1634">
        <f>IFERROR(VLOOKUP("906-495000-110",B:AB,30+8,0),0)</f>
        <v>0</v>
      </c>
      <c r="AN1634">
        <f>IFERROR(VLOOKUP("906-495000-110",B:AB,31+8,0),0)</f>
        <v>0</v>
      </c>
      <c r="AO1634">
        <f>SUN(INDIRECT(ADDRESS(1633,8)):INDIRECT(ADDRESS(1633,39)))</f>
        <v>0</v>
      </c>
    </row>
    <row r="1635" spans="1:41">
      <c r="H1635" t="s">
        <v>179</v>
      </c>
      <c r="J1635">
        <f>INDIRECT(ADDRESS(1635,9))+INDIRECT(ADDRESS(1633,10))-INDIRECT(ADDRESS(1634,10))</f>
        <v>0</v>
      </c>
      <c r="K1635">
        <f>INDIRECT(ADDRESS(1635,10))+INDIRECT(ADDRESS(1633,11))-INDIRECT(ADDRESS(1634,11))</f>
        <v>0</v>
      </c>
      <c r="L1635">
        <f>INDIRECT(ADDRESS(1635,11))+INDIRECT(ADDRESS(1633,12))-INDIRECT(ADDRESS(1634,12))</f>
        <v>0</v>
      </c>
      <c r="M1635">
        <f>INDIRECT(ADDRESS(1635,12))+INDIRECT(ADDRESS(1633,13))-INDIRECT(ADDRESS(1634,13))</f>
        <v>0</v>
      </c>
      <c r="N1635">
        <f>INDIRECT(ADDRESS(1635,13))+INDIRECT(ADDRESS(1633,14))-INDIRECT(ADDRESS(1634,14))</f>
        <v>0</v>
      </c>
      <c r="O1635">
        <f>INDIRECT(ADDRESS(1635,14))+INDIRECT(ADDRESS(1633,15))-INDIRECT(ADDRESS(1634,15))</f>
        <v>0</v>
      </c>
      <c r="P1635">
        <f>INDIRECT(ADDRESS(1635,15))+INDIRECT(ADDRESS(1633,16))-INDIRECT(ADDRESS(1634,16))</f>
        <v>0</v>
      </c>
      <c r="Q1635">
        <f>INDIRECT(ADDRESS(1635,16))+INDIRECT(ADDRESS(1633,17))-INDIRECT(ADDRESS(1634,17))</f>
        <v>0</v>
      </c>
      <c r="R1635">
        <f>INDIRECT(ADDRESS(1635,17))+INDIRECT(ADDRESS(1633,18))-INDIRECT(ADDRESS(1634,18))</f>
        <v>0</v>
      </c>
      <c r="S1635">
        <f>INDIRECT(ADDRESS(1635,18))+INDIRECT(ADDRESS(1633,19))-INDIRECT(ADDRESS(1634,19))</f>
        <v>0</v>
      </c>
      <c r="T1635">
        <f>INDIRECT(ADDRESS(1635,19))+INDIRECT(ADDRESS(1633,20))-INDIRECT(ADDRESS(1634,20))</f>
        <v>0</v>
      </c>
      <c r="U1635">
        <f>INDIRECT(ADDRESS(1635,20))+INDIRECT(ADDRESS(1633,21))-INDIRECT(ADDRESS(1634,21))</f>
        <v>0</v>
      </c>
      <c r="V1635">
        <f>INDIRECT(ADDRESS(1635,21))+INDIRECT(ADDRESS(1633,22))-INDIRECT(ADDRESS(1634,22))</f>
        <v>0</v>
      </c>
      <c r="W1635">
        <f>INDIRECT(ADDRESS(1635,22))+INDIRECT(ADDRESS(1633,23))-INDIRECT(ADDRESS(1634,23))</f>
        <v>0</v>
      </c>
      <c r="X1635">
        <f>INDIRECT(ADDRESS(1635,23))+INDIRECT(ADDRESS(1633,24))-INDIRECT(ADDRESS(1634,24))</f>
        <v>0</v>
      </c>
      <c r="Y1635">
        <f>INDIRECT(ADDRESS(1635,24))+INDIRECT(ADDRESS(1633,25))-INDIRECT(ADDRESS(1634,25))</f>
        <v>0</v>
      </c>
      <c r="Z1635">
        <f>INDIRECT(ADDRESS(1635,25))+INDIRECT(ADDRESS(1633,26))-INDIRECT(ADDRESS(1634,26))</f>
        <v>0</v>
      </c>
      <c r="AA1635">
        <f>INDIRECT(ADDRESS(1635,26))+INDIRECT(ADDRESS(1633,27))-INDIRECT(ADDRESS(1634,27))</f>
        <v>0</v>
      </c>
      <c r="AB1635">
        <f>INDIRECT(ADDRESS(1635,27))+INDIRECT(ADDRESS(1633,28))-INDIRECT(ADDRESS(1634,28))</f>
        <v>0</v>
      </c>
      <c r="AC1635">
        <f>INDIRECT(ADDRESS(1635,28))+INDIRECT(ADDRESS(1633,29))-INDIRECT(ADDRESS(1634,29))</f>
        <v>0</v>
      </c>
      <c r="AD1635">
        <f>INDIRECT(ADDRESS(1635,29))+INDIRECT(ADDRESS(1633,30))-INDIRECT(ADDRESS(1634,30))</f>
        <v>0</v>
      </c>
      <c r="AE1635">
        <f>INDIRECT(ADDRESS(1635,30))+INDIRECT(ADDRESS(1633,31))-INDIRECT(ADDRESS(1634,31))</f>
        <v>0</v>
      </c>
      <c r="AF1635">
        <f>INDIRECT(ADDRESS(1635,31))+INDIRECT(ADDRESS(1633,32))-INDIRECT(ADDRESS(1634,32))</f>
        <v>0</v>
      </c>
      <c r="AG1635">
        <f>INDIRECT(ADDRESS(1635,32))+INDIRECT(ADDRESS(1633,33))-INDIRECT(ADDRESS(1634,33))</f>
        <v>0</v>
      </c>
      <c r="AH1635">
        <f>INDIRECT(ADDRESS(1635,33))+INDIRECT(ADDRESS(1633,34))-INDIRECT(ADDRESS(1634,34))</f>
        <v>0</v>
      </c>
      <c r="AI1635">
        <f>INDIRECT(ADDRESS(1635,34))+INDIRECT(ADDRESS(1633,35))-INDIRECT(ADDRESS(1634,35))</f>
        <v>0</v>
      </c>
      <c r="AJ1635">
        <f>INDIRECT(ADDRESS(1635,35))+INDIRECT(ADDRESS(1633,36))-INDIRECT(ADDRESS(1634,36))</f>
        <v>0</v>
      </c>
      <c r="AK1635">
        <f>INDIRECT(ADDRESS(1635,36))+INDIRECT(ADDRESS(1633,37))-INDIRECT(ADDRESS(1634,37))</f>
        <v>0</v>
      </c>
      <c r="AL1635">
        <f>INDIRECT(ADDRESS(1635,37))+INDIRECT(ADDRESS(1633,38))-INDIRECT(ADDRESS(1634,38))</f>
        <v>0</v>
      </c>
      <c r="AM1635">
        <f>INDIRECT(ADDRESS(1635,38))+INDIRECT(ADDRESS(1633,39))-INDIRECT(ADDRESS(1634,39))</f>
        <v>0</v>
      </c>
      <c r="AN1635">
        <f>INDIRECT(ADDRESS(1635,39))+INDIRECT(ADDRESS(1633,40))-INDIRECT(ADDRESS(1634,40))</f>
        <v>0</v>
      </c>
      <c r="AO1635">
        <f>SUM(INDIRECT(ADDRESS(1634,8)):INDIRECT(ADDRESS(1634,39)))</f>
        <v>0</v>
      </c>
    </row>
    <row r="1636" spans="1:41">
      <c r="A1636" t="s">
        <v>185</v>
      </c>
      <c r="B1636" t="s">
        <v>768</v>
      </c>
      <c r="C1636" t="s">
        <v>769</v>
      </c>
      <c r="E1636">
        <v>2</v>
      </c>
      <c r="I1636" t="s">
        <v>177</v>
      </c>
    </row>
    <row r="1637" spans="1:41">
      <c r="I1637" t="s">
        <v>178</v>
      </c>
      <c r="J1637">
        <f>IFERROR(VLOOKUP("906-495000-110",B:AB,1+8,0),0)</f>
        <v>0</v>
      </c>
      <c r="K1637">
        <f>IFERROR(VLOOKUP("906-495000-110",B:AB,2+8,0),0)</f>
        <v>0</v>
      </c>
      <c r="L1637">
        <f>IFERROR(VLOOKUP("906-495000-110",B:AB,3+8,0),0)</f>
        <v>0</v>
      </c>
      <c r="M1637">
        <f>IFERROR(VLOOKUP("906-495000-110",B:AB,4+8,0),0)</f>
        <v>0</v>
      </c>
      <c r="N1637">
        <f>IFERROR(VLOOKUP("906-495000-110",B:AB,5+8,0),0)</f>
        <v>0</v>
      </c>
      <c r="O1637">
        <f>IFERROR(VLOOKUP("906-495000-110",B:AB,6+8,0),0)</f>
        <v>0</v>
      </c>
      <c r="P1637">
        <f>IFERROR(VLOOKUP("906-495000-110",B:AB,7+8,0),0)</f>
        <v>0</v>
      </c>
      <c r="Q1637">
        <f>IFERROR(VLOOKUP("906-495000-110",B:AB,8+8,0),0)</f>
        <v>0</v>
      </c>
      <c r="R1637">
        <f>IFERROR(VLOOKUP("906-495000-110",B:AB,9+8,0),0)</f>
        <v>0</v>
      </c>
      <c r="S1637">
        <f>IFERROR(VLOOKUP("906-495000-110",B:AB,10+8,0),0)</f>
        <v>0</v>
      </c>
      <c r="T1637">
        <f>IFERROR(VLOOKUP("906-495000-110",B:AB,11+8,0),0)</f>
        <v>0</v>
      </c>
      <c r="U1637">
        <f>IFERROR(VLOOKUP("906-495000-110",B:AB,12+8,0),0)</f>
        <v>0</v>
      </c>
      <c r="V1637">
        <f>IFERROR(VLOOKUP("906-495000-110",B:AB,13+8,0),0)</f>
        <v>0</v>
      </c>
      <c r="W1637">
        <f>IFERROR(VLOOKUP("906-495000-110",B:AB,14+8,0),0)</f>
        <v>0</v>
      </c>
      <c r="X1637">
        <f>IFERROR(VLOOKUP("906-495000-110",B:AB,15+8,0),0)</f>
        <v>0</v>
      </c>
      <c r="Y1637">
        <f>IFERROR(VLOOKUP("906-495000-110",B:AB,16+8,0),0)</f>
        <v>0</v>
      </c>
      <c r="Z1637">
        <f>IFERROR(VLOOKUP("906-495000-110",B:AB,17+8,0),0)</f>
        <v>0</v>
      </c>
      <c r="AA1637">
        <f>IFERROR(VLOOKUP("906-495000-110",B:AB,18+8,0),0)</f>
        <v>0</v>
      </c>
      <c r="AB1637">
        <f>IFERROR(VLOOKUP("906-495000-110",B:AB,19+8,0),0)</f>
        <v>0</v>
      </c>
      <c r="AC1637">
        <f>IFERROR(VLOOKUP("906-495000-110",B:AB,20+8,0),0)</f>
        <v>0</v>
      </c>
      <c r="AD1637">
        <f>IFERROR(VLOOKUP("906-495000-110",B:AB,21+8,0),0)</f>
        <v>0</v>
      </c>
      <c r="AE1637">
        <f>IFERROR(VLOOKUP("906-495000-110",B:AB,22+8,0),0)</f>
        <v>0</v>
      </c>
      <c r="AF1637">
        <f>IFERROR(VLOOKUP("906-495000-110",B:AB,23+8,0),0)</f>
        <v>0</v>
      </c>
      <c r="AG1637">
        <f>IFERROR(VLOOKUP("906-495000-110",B:AB,24+8,0),0)</f>
        <v>0</v>
      </c>
      <c r="AH1637">
        <f>IFERROR(VLOOKUP("906-495000-110",B:AB,25+8,0),0)</f>
        <v>0</v>
      </c>
      <c r="AI1637">
        <f>IFERROR(VLOOKUP("906-495000-110",B:AB,26+8,0),0)</f>
        <v>0</v>
      </c>
      <c r="AJ1637">
        <f>IFERROR(VLOOKUP("906-495000-110",B:AB,27+8,0),0)</f>
        <v>0</v>
      </c>
      <c r="AK1637">
        <f>IFERROR(VLOOKUP("906-495000-110",B:AB,28+8,0),0)</f>
        <v>0</v>
      </c>
      <c r="AL1637">
        <f>IFERROR(VLOOKUP("906-495000-110",B:AB,29+8,0),0)</f>
        <v>0</v>
      </c>
      <c r="AM1637">
        <f>IFERROR(VLOOKUP("906-495000-110",B:AB,30+8,0),0)</f>
        <v>0</v>
      </c>
      <c r="AN1637">
        <f>IFERROR(VLOOKUP("906-495000-110",B:AB,31+8,0),0)</f>
        <v>0</v>
      </c>
      <c r="AO1637">
        <f>SUN(INDIRECT(ADDRESS(1636,8)):INDIRECT(ADDRESS(1636,39)))</f>
        <v>0</v>
      </c>
    </row>
    <row r="1638" spans="1:41">
      <c r="H1638" t="s">
        <v>179</v>
      </c>
      <c r="J1638">
        <f>INDIRECT(ADDRESS(1638,9))+INDIRECT(ADDRESS(1636,10))-INDIRECT(ADDRESS(1637,10))</f>
        <v>0</v>
      </c>
      <c r="K1638">
        <f>INDIRECT(ADDRESS(1638,10))+INDIRECT(ADDRESS(1636,11))-INDIRECT(ADDRESS(1637,11))</f>
        <v>0</v>
      </c>
      <c r="L1638">
        <f>INDIRECT(ADDRESS(1638,11))+INDIRECT(ADDRESS(1636,12))-INDIRECT(ADDRESS(1637,12))</f>
        <v>0</v>
      </c>
      <c r="M1638">
        <f>INDIRECT(ADDRESS(1638,12))+INDIRECT(ADDRESS(1636,13))-INDIRECT(ADDRESS(1637,13))</f>
        <v>0</v>
      </c>
      <c r="N1638">
        <f>INDIRECT(ADDRESS(1638,13))+INDIRECT(ADDRESS(1636,14))-INDIRECT(ADDRESS(1637,14))</f>
        <v>0</v>
      </c>
      <c r="O1638">
        <f>INDIRECT(ADDRESS(1638,14))+INDIRECT(ADDRESS(1636,15))-INDIRECT(ADDRESS(1637,15))</f>
        <v>0</v>
      </c>
      <c r="P1638">
        <f>INDIRECT(ADDRESS(1638,15))+INDIRECT(ADDRESS(1636,16))-INDIRECT(ADDRESS(1637,16))</f>
        <v>0</v>
      </c>
      <c r="Q1638">
        <f>INDIRECT(ADDRESS(1638,16))+INDIRECT(ADDRESS(1636,17))-INDIRECT(ADDRESS(1637,17))</f>
        <v>0</v>
      </c>
      <c r="R1638">
        <f>INDIRECT(ADDRESS(1638,17))+INDIRECT(ADDRESS(1636,18))-INDIRECT(ADDRESS(1637,18))</f>
        <v>0</v>
      </c>
      <c r="S1638">
        <f>INDIRECT(ADDRESS(1638,18))+INDIRECT(ADDRESS(1636,19))-INDIRECT(ADDRESS(1637,19))</f>
        <v>0</v>
      </c>
      <c r="T1638">
        <f>INDIRECT(ADDRESS(1638,19))+INDIRECT(ADDRESS(1636,20))-INDIRECT(ADDRESS(1637,20))</f>
        <v>0</v>
      </c>
      <c r="U1638">
        <f>INDIRECT(ADDRESS(1638,20))+INDIRECT(ADDRESS(1636,21))-INDIRECT(ADDRESS(1637,21))</f>
        <v>0</v>
      </c>
      <c r="V1638">
        <f>INDIRECT(ADDRESS(1638,21))+INDIRECT(ADDRESS(1636,22))-INDIRECT(ADDRESS(1637,22))</f>
        <v>0</v>
      </c>
      <c r="W1638">
        <f>INDIRECT(ADDRESS(1638,22))+INDIRECT(ADDRESS(1636,23))-INDIRECT(ADDRESS(1637,23))</f>
        <v>0</v>
      </c>
      <c r="X1638">
        <f>INDIRECT(ADDRESS(1638,23))+INDIRECT(ADDRESS(1636,24))-INDIRECT(ADDRESS(1637,24))</f>
        <v>0</v>
      </c>
      <c r="Y1638">
        <f>INDIRECT(ADDRESS(1638,24))+INDIRECT(ADDRESS(1636,25))-INDIRECT(ADDRESS(1637,25))</f>
        <v>0</v>
      </c>
      <c r="Z1638">
        <f>INDIRECT(ADDRESS(1638,25))+INDIRECT(ADDRESS(1636,26))-INDIRECT(ADDRESS(1637,26))</f>
        <v>0</v>
      </c>
      <c r="AA1638">
        <f>INDIRECT(ADDRESS(1638,26))+INDIRECT(ADDRESS(1636,27))-INDIRECT(ADDRESS(1637,27))</f>
        <v>0</v>
      </c>
      <c r="AB1638">
        <f>INDIRECT(ADDRESS(1638,27))+INDIRECT(ADDRESS(1636,28))-INDIRECT(ADDRESS(1637,28))</f>
        <v>0</v>
      </c>
      <c r="AC1638">
        <f>INDIRECT(ADDRESS(1638,28))+INDIRECT(ADDRESS(1636,29))-INDIRECT(ADDRESS(1637,29))</f>
        <v>0</v>
      </c>
      <c r="AD1638">
        <f>INDIRECT(ADDRESS(1638,29))+INDIRECT(ADDRESS(1636,30))-INDIRECT(ADDRESS(1637,30))</f>
        <v>0</v>
      </c>
      <c r="AE1638">
        <f>INDIRECT(ADDRESS(1638,30))+INDIRECT(ADDRESS(1636,31))-INDIRECT(ADDRESS(1637,31))</f>
        <v>0</v>
      </c>
      <c r="AF1638">
        <f>INDIRECT(ADDRESS(1638,31))+INDIRECT(ADDRESS(1636,32))-INDIRECT(ADDRESS(1637,32))</f>
        <v>0</v>
      </c>
      <c r="AG1638">
        <f>INDIRECT(ADDRESS(1638,32))+INDIRECT(ADDRESS(1636,33))-INDIRECT(ADDRESS(1637,33))</f>
        <v>0</v>
      </c>
      <c r="AH1638">
        <f>INDIRECT(ADDRESS(1638,33))+INDIRECT(ADDRESS(1636,34))-INDIRECT(ADDRESS(1637,34))</f>
        <v>0</v>
      </c>
      <c r="AI1638">
        <f>INDIRECT(ADDRESS(1638,34))+INDIRECT(ADDRESS(1636,35))-INDIRECT(ADDRESS(1637,35))</f>
        <v>0</v>
      </c>
      <c r="AJ1638">
        <f>INDIRECT(ADDRESS(1638,35))+INDIRECT(ADDRESS(1636,36))-INDIRECT(ADDRESS(1637,36))</f>
        <v>0</v>
      </c>
      <c r="AK1638">
        <f>INDIRECT(ADDRESS(1638,36))+INDIRECT(ADDRESS(1636,37))-INDIRECT(ADDRESS(1637,37))</f>
        <v>0</v>
      </c>
      <c r="AL1638">
        <f>INDIRECT(ADDRESS(1638,37))+INDIRECT(ADDRESS(1636,38))-INDIRECT(ADDRESS(1637,38))</f>
        <v>0</v>
      </c>
      <c r="AM1638">
        <f>INDIRECT(ADDRESS(1638,38))+INDIRECT(ADDRESS(1636,39))-INDIRECT(ADDRESS(1637,39))</f>
        <v>0</v>
      </c>
      <c r="AN1638">
        <f>INDIRECT(ADDRESS(1638,39))+INDIRECT(ADDRESS(1636,40))-INDIRECT(ADDRESS(1637,40))</f>
        <v>0</v>
      </c>
      <c r="AO1638">
        <f>SUM(INDIRECT(ADDRESS(1637,8)):INDIRECT(ADDRESS(1637,39)))</f>
        <v>0</v>
      </c>
    </row>
    <row r="1639" spans="1:41">
      <c r="A1639" t="s">
        <v>185</v>
      </c>
      <c r="B1639" t="s">
        <v>770</v>
      </c>
      <c r="C1639" t="s">
        <v>133</v>
      </c>
      <c r="E1639">
        <v>2</v>
      </c>
      <c r="I1639" t="s">
        <v>177</v>
      </c>
    </row>
    <row r="1640" spans="1:41">
      <c r="I1640" t="s">
        <v>178</v>
      </c>
      <c r="J1640">
        <f>IFERROR(VLOOKUP("906-495000-110",B:AB,1+8,0),0)</f>
        <v>0</v>
      </c>
      <c r="K1640">
        <f>IFERROR(VLOOKUP("906-495000-110",B:AB,2+8,0),0)</f>
        <v>0</v>
      </c>
      <c r="L1640">
        <f>IFERROR(VLOOKUP("906-495000-110",B:AB,3+8,0),0)</f>
        <v>0</v>
      </c>
      <c r="M1640">
        <f>IFERROR(VLOOKUP("906-495000-110",B:AB,4+8,0),0)</f>
        <v>0</v>
      </c>
      <c r="N1640">
        <f>IFERROR(VLOOKUP("906-495000-110",B:AB,5+8,0),0)</f>
        <v>0</v>
      </c>
      <c r="O1640">
        <f>IFERROR(VLOOKUP("906-495000-110",B:AB,6+8,0),0)</f>
        <v>0</v>
      </c>
      <c r="P1640">
        <f>IFERROR(VLOOKUP("906-495000-110",B:AB,7+8,0),0)</f>
        <v>0</v>
      </c>
      <c r="Q1640">
        <f>IFERROR(VLOOKUP("906-495000-110",B:AB,8+8,0),0)</f>
        <v>0</v>
      </c>
      <c r="R1640">
        <f>IFERROR(VLOOKUP("906-495000-110",B:AB,9+8,0),0)</f>
        <v>0</v>
      </c>
      <c r="S1640">
        <f>IFERROR(VLOOKUP("906-495000-110",B:AB,10+8,0),0)</f>
        <v>0</v>
      </c>
      <c r="T1640">
        <f>IFERROR(VLOOKUP("906-495000-110",B:AB,11+8,0),0)</f>
        <v>0</v>
      </c>
      <c r="U1640">
        <f>IFERROR(VLOOKUP("906-495000-110",B:AB,12+8,0),0)</f>
        <v>0</v>
      </c>
      <c r="V1640">
        <f>IFERROR(VLOOKUP("906-495000-110",B:AB,13+8,0),0)</f>
        <v>0</v>
      </c>
      <c r="W1640">
        <f>IFERROR(VLOOKUP("906-495000-110",B:AB,14+8,0),0)</f>
        <v>0</v>
      </c>
      <c r="X1640">
        <f>IFERROR(VLOOKUP("906-495000-110",B:AB,15+8,0),0)</f>
        <v>0</v>
      </c>
      <c r="Y1640">
        <f>IFERROR(VLOOKUP("906-495000-110",B:AB,16+8,0),0)</f>
        <v>0</v>
      </c>
      <c r="Z1640">
        <f>IFERROR(VLOOKUP("906-495000-110",B:AB,17+8,0),0)</f>
        <v>0</v>
      </c>
      <c r="AA1640">
        <f>IFERROR(VLOOKUP("906-495000-110",B:AB,18+8,0),0)</f>
        <v>0</v>
      </c>
      <c r="AB1640">
        <f>IFERROR(VLOOKUP("906-495000-110",B:AB,19+8,0),0)</f>
        <v>0</v>
      </c>
      <c r="AC1640">
        <f>IFERROR(VLOOKUP("906-495000-110",B:AB,20+8,0),0)</f>
        <v>0</v>
      </c>
      <c r="AD1640">
        <f>IFERROR(VLOOKUP("906-495000-110",B:AB,21+8,0),0)</f>
        <v>0</v>
      </c>
      <c r="AE1640">
        <f>IFERROR(VLOOKUP("906-495000-110",B:AB,22+8,0),0)</f>
        <v>0</v>
      </c>
      <c r="AF1640">
        <f>IFERROR(VLOOKUP("906-495000-110",B:AB,23+8,0),0)</f>
        <v>0</v>
      </c>
      <c r="AG1640">
        <f>IFERROR(VLOOKUP("906-495000-110",B:AB,24+8,0),0)</f>
        <v>0</v>
      </c>
      <c r="AH1640">
        <f>IFERROR(VLOOKUP("906-495000-110",B:AB,25+8,0),0)</f>
        <v>0</v>
      </c>
      <c r="AI1640">
        <f>IFERROR(VLOOKUP("906-495000-110",B:AB,26+8,0),0)</f>
        <v>0</v>
      </c>
      <c r="AJ1640">
        <f>IFERROR(VLOOKUP("906-495000-110",B:AB,27+8,0),0)</f>
        <v>0</v>
      </c>
      <c r="AK1640">
        <f>IFERROR(VLOOKUP("906-495000-110",B:AB,28+8,0),0)</f>
        <v>0</v>
      </c>
      <c r="AL1640">
        <f>IFERROR(VLOOKUP("906-495000-110",B:AB,29+8,0),0)</f>
        <v>0</v>
      </c>
      <c r="AM1640">
        <f>IFERROR(VLOOKUP("906-495000-110",B:AB,30+8,0),0)</f>
        <v>0</v>
      </c>
      <c r="AN1640">
        <f>IFERROR(VLOOKUP("906-495000-110",B:AB,31+8,0),0)</f>
        <v>0</v>
      </c>
      <c r="AO1640">
        <f>SUN(INDIRECT(ADDRESS(1639,8)):INDIRECT(ADDRESS(1639,39)))</f>
        <v>0</v>
      </c>
    </row>
    <row r="1641" spans="1:41">
      <c r="H1641" t="s">
        <v>179</v>
      </c>
      <c r="J1641">
        <f>INDIRECT(ADDRESS(1641,9))+INDIRECT(ADDRESS(1639,10))-INDIRECT(ADDRESS(1640,10))</f>
        <v>0</v>
      </c>
      <c r="K1641">
        <f>INDIRECT(ADDRESS(1641,10))+INDIRECT(ADDRESS(1639,11))-INDIRECT(ADDRESS(1640,11))</f>
        <v>0</v>
      </c>
      <c r="L1641">
        <f>INDIRECT(ADDRESS(1641,11))+INDIRECT(ADDRESS(1639,12))-INDIRECT(ADDRESS(1640,12))</f>
        <v>0</v>
      </c>
      <c r="M1641">
        <f>INDIRECT(ADDRESS(1641,12))+INDIRECT(ADDRESS(1639,13))-INDIRECT(ADDRESS(1640,13))</f>
        <v>0</v>
      </c>
      <c r="N1641">
        <f>INDIRECT(ADDRESS(1641,13))+INDIRECT(ADDRESS(1639,14))-INDIRECT(ADDRESS(1640,14))</f>
        <v>0</v>
      </c>
      <c r="O1641">
        <f>INDIRECT(ADDRESS(1641,14))+INDIRECT(ADDRESS(1639,15))-INDIRECT(ADDRESS(1640,15))</f>
        <v>0</v>
      </c>
      <c r="P1641">
        <f>INDIRECT(ADDRESS(1641,15))+INDIRECT(ADDRESS(1639,16))-INDIRECT(ADDRESS(1640,16))</f>
        <v>0</v>
      </c>
      <c r="Q1641">
        <f>INDIRECT(ADDRESS(1641,16))+INDIRECT(ADDRESS(1639,17))-INDIRECT(ADDRESS(1640,17))</f>
        <v>0</v>
      </c>
      <c r="R1641">
        <f>INDIRECT(ADDRESS(1641,17))+INDIRECT(ADDRESS(1639,18))-INDIRECT(ADDRESS(1640,18))</f>
        <v>0</v>
      </c>
      <c r="S1641">
        <f>INDIRECT(ADDRESS(1641,18))+INDIRECT(ADDRESS(1639,19))-INDIRECT(ADDRESS(1640,19))</f>
        <v>0</v>
      </c>
      <c r="T1641">
        <f>INDIRECT(ADDRESS(1641,19))+INDIRECT(ADDRESS(1639,20))-INDIRECT(ADDRESS(1640,20))</f>
        <v>0</v>
      </c>
      <c r="U1641">
        <f>INDIRECT(ADDRESS(1641,20))+INDIRECT(ADDRESS(1639,21))-INDIRECT(ADDRESS(1640,21))</f>
        <v>0</v>
      </c>
      <c r="V1641">
        <f>INDIRECT(ADDRESS(1641,21))+INDIRECT(ADDRESS(1639,22))-INDIRECT(ADDRESS(1640,22))</f>
        <v>0</v>
      </c>
      <c r="W1641">
        <f>INDIRECT(ADDRESS(1641,22))+INDIRECT(ADDRESS(1639,23))-INDIRECT(ADDRESS(1640,23))</f>
        <v>0</v>
      </c>
      <c r="X1641">
        <f>INDIRECT(ADDRESS(1641,23))+INDIRECT(ADDRESS(1639,24))-INDIRECT(ADDRESS(1640,24))</f>
        <v>0</v>
      </c>
      <c r="Y1641">
        <f>INDIRECT(ADDRESS(1641,24))+INDIRECT(ADDRESS(1639,25))-INDIRECT(ADDRESS(1640,25))</f>
        <v>0</v>
      </c>
      <c r="Z1641">
        <f>INDIRECT(ADDRESS(1641,25))+INDIRECT(ADDRESS(1639,26))-INDIRECT(ADDRESS(1640,26))</f>
        <v>0</v>
      </c>
      <c r="AA1641">
        <f>INDIRECT(ADDRESS(1641,26))+INDIRECT(ADDRESS(1639,27))-INDIRECT(ADDRESS(1640,27))</f>
        <v>0</v>
      </c>
      <c r="AB1641">
        <f>INDIRECT(ADDRESS(1641,27))+INDIRECT(ADDRESS(1639,28))-INDIRECT(ADDRESS(1640,28))</f>
        <v>0</v>
      </c>
      <c r="AC1641">
        <f>INDIRECT(ADDRESS(1641,28))+INDIRECT(ADDRESS(1639,29))-INDIRECT(ADDRESS(1640,29))</f>
        <v>0</v>
      </c>
      <c r="AD1641">
        <f>INDIRECT(ADDRESS(1641,29))+INDIRECT(ADDRESS(1639,30))-INDIRECT(ADDRESS(1640,30))</f>
        <v>0</v>
      </c>
      <c r="AE1641">
        <f>INDIRECT(ADDRESS(1641,30))+INDIRECT(ADDRESS(1639,31))-INDIRECT(ADDRESS(1640,31))</f>
        <v>0</v>
      </c>
      <c r="AF1641">
        <f>INDIRECT(ADDRESS(1641,31))+INDIRECT(ADDRESS(1639,32))-INDIRECT(ADDRESS(1640,32))</f>
        <v>0</v>
      </c>
      <c r="AG1641">
        <f>INDIRECT(ADDRESS(1641,32))+INDIRECT(ADDRESS(1639,33))-INDIRECT(ADDRESS(1640,33))</f>
        <v>0</v>
      </c>
      <c r="AH1641">
        <f>INDIRECT(ADDRESS(1641,33))+INDIRECT(ADDRESS(1639,34))-INDIRECT(ADDRESS(1640,34))</f>
        <v>0</v>
      </c>
      <c r="AI1641">
        <f>INDIRECT(ADDRESS(1641,34))+INDIRECT(ADDRESS(1639,35))-INDIRECT(ADDRESS(1640,35))</f>
        <v>0</v>
      </c>
      <c r="AJ1641">
        <f>INDIRECT(ADDRESS(1641,35))+INDIRECT(ADDRESS(1639,36))-INDIRECT(ADDRESS(1640,36))</f>
        <v>0</v>
      </c>
      <c r="AK1641">
        <f>INDIRECT(ADDRESS(1641,36))+INDIRECT(ADDRESS(1639,37))-INDIRECT(ADDRESS(1640,37))</f>
        <v>0</v>
      </c>
      <c r="AL1641">
        <f>INDIRECT(ADDRESS(1641,37))+INDIRECT(ADDRESS(1639,38))-INDIRECT(ADDRESS(1640,38))</f>
        <v>0</v>
      </c>
      <c r="AM1641">
        <f>INDIRECT(ADDRESS(1641,38))+INDIRECT(ADDRESS(1639,39))-INDIRECT(ADDRESS(1640,39))</f>
        <v>0</v>
      </c>
      <c r="AN1641">
        <f>INDIRECT(ADDRESS(1641,39))+INDIRECT(ADDRESS(1639,40))-INDIRECT(ADDRESS(1640,40))</f>
        <v>0</v>
      </c>
      <c r="AO1641">
        <f>SUM(INDIRECT(ADDRESS(1640,8)):INDIRECT(ADDRESS(1640,39)))</f>
        <v>0</v>
      </c>
    </row>
    <row r="1642" spans="1:41">
      <c r="A1642" t="s">
        <v>8</v>
      </c>
      <c r="B1642" t="s">
        <v>132</v>
      </c>
      <c r="C1642" t="s">
        <v>133</v>
      </c>
      <c r="E1642">
        <v>2</v>
      </c>
      <c r="I1642" t="s">
        <v>177</v>
      </c>
    </row>
    <row r="1643" spans="1:41">
      <c r="I1643" t="s">
        <v>178</v>
      </c>
      <c r="J1643">
        <f>IFERROR(VLOOKUP("906-496000-110",Out!B:AB,1+8,0),0)</f>
        <v>0</v>
      </c>
      <c r="K1643">
        <f>IFERROR(VLOOKUP("906-496000-110",Out!B:AB,2+8,0),0)</f>
        <v>0</v>
      </c>
      <c r="L1643">
        <f>IFERROR(VLOOKUP("906-496000-110",Out!B:AB,3+8,0),0)</f>
        <v>0</v>
      </c>
      <c r="M1643">
        <f>IFERROR(VLOOKUP("906-496000-110",Out!B:AB,4+8,0),0)</f>
        <v>0</v>
      </c>
      <c r="N1643">
        <f>IFERROR(VLOOKUP("906-496000-110",Out!B:AB,5+8,0),0)</f>
        <v>0</v>
      </c>
      <c r="O1643">
        <f>IFERROR(VLOOKUP("906-496000-110",Out!B:AB,6+8,0),0)</f>
        <v>0</v>
      </c>
      <c r="P1643">
        <f>IFERROR(VLOOKUP("906-496000-110",Out!B:AB,7+8,0),0)</f>
        <v>0</v>
      </c>
      <c r="Q1643">
        <f>IFERROR(VLOOKUP("906-496000-110",Out!B:AB,8+8,0),0)</f>
        <v>0</v>
      </c>
      <c r="R1643">
        <f>IFERROR(VLOOKUP("906-496000-110",Out!B:AB,9+8,0),0)</f>
        <v>0</v>
      </c>
      <c r="S1643">
        <f>IFERROR(VLOOKUP("906-496000-110",Out!B:AB,10+8,0),0)</f>
        <v>0</v>
      </c>
      <c r="T1643">
        <f>IFERROR(VLOOKUP("906-496000-110",Out!B:AB,11+8,0),0)</f>
        <v>0</v>
      </c>
      <c r="U1643">
        <f>IFERROR(VLOOKUP("906-496000-110",Out!B:AB,12+8,0),0)</f>
        <v>0</v>
      </c>
      <c r="V1643">
        <f>IFERROR(VLOOKUP("906-496000-110",Out!B:AB,13+8,0),0)</f>
        <v>0</v>
      </c>
      <c r="W1643">
        <f>IFERROR(VLOOKUP("906-496000-110",Out!B:AB,14+8,0),0)</f>
        <v>0</v>
      </c>
      <c r="X1643">
        <f>IFERROR(VLOOKUP("906-496000-110",Out!B:AB,15+8,0),0)</f>
        <v>0</v>
      </c>
      <c r="Y1643">
        <f>IFERROR(VLOOKUP("906-496000-110",Out!B:AB,16+8,0),0)</f>
        <v>0</v>
      </c>
      <c r="Z1643">
        <f>IFERROR(VLOOKUP("906-496000-110",Out!B:AB,17+8,0),0)</f>
        <v>0</v>
      </c>
      <c r="AA1643">
        <f>IFERROR(VLOOKUP("906-496000-110",Out!B:AB,18+8,0),0)</f>
        <v>0</v>
      </c>
      <c r="AB1643">
        <f>IFERROR(VLOOKUP("906-496000-110",Out!B:AB,19+8,0),0)</f>
        <v>0</v>
      </c>
      <c r="AC1643">
        <f>IFERROR(VLOOKUP("906-496000-110",Out!B:AB,20+8,0),0)</f>
        <v>0</v>
      </c>
      <c r="AD1643">
        <f>IFERROR(VLOOKUP("906-496000-110",Out!B:AB,21+8,0),0)</f>
        <v>0</v>
      </c>
      <c r="AE1643">
        <f>IFERROR(VLOOKUP("906-496000-110",Out!B:AB,22+8,0),0)</f>
        <v>0</v>
      </c>
      <c r="AF1643">
        <f>IFERROR(VLOOKUP("906-496000-110",Out!B:AB,23+8,0),0)</f>
        <v>0</v>
      </c>
      <c r="AG1643">
        <f>IFERROR(VLOOKUP("906-496000-110",Out!B:AB,24+8,0),0)</f>
        <v>0</v>
      </c>
      <c r="AH1643">
        <f>IFERROR(VLOOKUP("906-496000-110",Out!B:AB,25+8,0),0)</f>
        <v>0</v>
      </c>
      <c r="AI1643">
        <f>IFERROR(VLOOKUP("906-496000-110",Out!B:AB,26+8,0),0)</f>
        <v>0</v>
      </c>
      <c r="AJ1643">
        <f>IFERROR(VLOOKUP("906-496000-110",Out!B:AB,27+8,0),0)</f>
        <v>0</v>
      </c>
      <c r="AK1643">
        <f>IFERROR(VLOOKUP("906-496000-110",Out!B:AB,28+8,0),0)</f>
        <v>0</v>
      </c>
      <c r="AL1643">
        <f>IFERROR(VLOOKUP("906-496000-110",Out!B:AB,29+8,0),0)</f>
        <v>0</v>
      </c>
      <c r="AM1643">
        <f>IFERROR(VLOOKUP("906-496000-110",Out!B:AB,30+8,0),0)</f>
        <v>0</v>
      </c>
      <c r="AN1643">
        <f>IFERROR(VLOOKUP("906-496000-110",Out!B:AB,31+8,0),0)</f>
        <v>0</v>
      </c>
      <c r="AO1643">
        <f>SUN(INDIRECT(ADDRESS(1642,8)):INDIRECT(ADDRESS(1642,39)))</f>
        <v>0</v>
      </c>
    </row>
    <row r="1644" spans="1:41">
      <c r="H1644" t="s">
        <v>179</v>
      </c>
      <c r="J1644">
        <f>INDIRECT(ADDRESS(1644,9))+INDIRECT(ADDRESS(1642,10))-INDIRECT(ADDRESS(1643,10))</f>
        <v>0</v>
      </c>
      <c r="K1644">
        <f>INDIRECT(ADDRESS(1644,10))+INDIRECT(ADDRESS(1642,11))-INDIRECT(ADDRESS(1643,11))</f>
        <v>0</v>
      </c>
      <c r="L1644">
        <f>INDIRECT(ADDRESS(1644,11))+INDIRECT(ADDRESS(1642,12))-INDIRECT(ADDRESS(1643,12))</f>
        <v>0</v>
      </c>
      <c r="M1644">
        <f>INDIRECT(ADDRESS(1644,12))+INDIRECT(ADDRESS(1642,13))-INDIRECT(ADDRESS(1643,13))</f>
        <v>0</v>
      </c>
      <c r="N1644">
        <f>INDIRECT(ADDRESS(1644,13))+INDIRECT(ADDRESS(1642,14))-INDIRECT(ADDRESS(1643,14))</f>
        <v>0</v>
      </c>
      <c r="O1644">
        <f>INDIRECT(ADDRESS(1644,14))+INDIRECT(ADDRESS(1642,15))-INDIRECT(ADDRESS(1643,15))</f>
        <v>0</v>
      </c>
      <c r="P1644">
        <f>INDIRECT(ADDRESS(1644,15))+INDIRECT(ADDRESS(1642,16))-INDIRECT(ADDRESS(1643,16))</f>
        <v>0</v>
      </c>
      <c r="Q1644">
        <f>INDIRECT(ADDRESS(1644,16))+INDIRECT(ADDRESS(1642,17))-INDIRECT(ADDRESS(1643,17))</f>
        <v>0</v>
      </c>
      <c r="R1644">
        <f>INDIRECT(ADDRESS(1644,17))+INDIRECT(ADDRESS(1642,18))-INDIRECT(ADDRESS(1643,18))</f>
        <v>0</v>
      </c>
      <c r="S1644">
        <f>INDIRECT(ADDRESS(1644,18))+INDIRECT(ADDRESS(1642,19))-INDIRECT(ADDRESS(1643,19))</f>
        <v>0</v>
      </c>
      <c r="T1644">
        <f>INDIRECT(ADDRESS(1644,19))+INDIRECT(ADDRESS(1642,20))-INDIRECT(ADDRESS(1643,20))</f>
        <v>0</v>
      </c>
      <c r="U1644">
        <f>INDIRECT(ADDRESS(1644,20))+INDIRECT(ADDRESS(1642,21))-INDIRECT(ADDRESS(1643,21))</f>
        <v>0</v>
      </c>
      <c r="V1644">
        <f>INDIRECT(ADDRESS(1644,21))+INDIRECT(ADDRESS(1642,22))-INDIRECT(ADDRESS(1643,22))</f>
        <v>0</v>
      </c>
      <c r="W1644">
        <f>INDIRECT(ADDRESS(1644,22))+INDIRECT(ADDRESS(1642,23))-INDIRECT(ADDRESS(1643,23))</f>
        <v>0</v>
      </c>
      <c r="X1644">
        <f>INDIRECT(ADDRESS(1644,23))+INDIRECT(ADDRESS(1642,24))-INDIRECT(ADDRESS(1643,24))</f>
        <v>0</v>
      </c>
      <c r="Y1644">
        <f>INDIRECT(ADDRESS(1644,24))+INDIRECT(ADDRESS(1642,25))-INDIRECT(ADDRESS(1643,25))</f>
        <v>0</v>
      </c>
      <c r="Z1644">
        <f>INDIRECT(ADDRESS(1644,25))+INDIRECT(ADDRESS(1642,26))-INDIRECT(ADDRESS(1643,26))</f>
        <v>0</v>
      </c>
      <c r="AA1644">
        <f>INDIRECT(ADDRESS(1644,26))+INDIRECT(ADDRESS(1642,27))-INDIRECT(ADDRESS(1643,27))</f>
        <v>0</v>
      </c>
      <c r="AB1644">
        <f>INDIRECT(ADDRESS(1644,27))+INDIRECT(ADDRESS(1642,28))-INDIRECT(ADDRESS(1643,28))</f>
        <v>0</v>
      </c>
      <c r="AC1644">
        <f>INDIRECT(ADDRESS(1644,28))+INDIRECT(ADDRESS(1642,29))-INDIRECT(ADDRESS(1643,29))</f>
        <v>0</v>
      </c>
      <c r="AD1644">
        <f>INDIRECT(ADDRESS(1644,29))+INDIRECT(ADDRESS(1642,30))-INDIRECT(ADDRESS(1643,30))</f>
        <v>0</v>
      </c>
      <c r="AE1644">
        <f>INDIRECT(ADDRESS(1644,30))+INDIRECT(ADDRESS(1642,31))-INDIRECT(ADDRESS(1643,31))</f>
        <v>0</v>
      </c>
      <c r="AF1644">
        <f>INDIRECT(ADDRESS(1644,31))+INDIRECT(ADDRESS(1642,32))-INDIRECT(ADDRESS(1643,32))</f>
        <v>0</v>
      </c>
      <c r="AG1644">
        <f>INDIRECT(ADDRESS(1644,32))+INDIRECT(ADDRESS(1642,33))-INDIRECT(ADDRESS(1643,33))</f>
        <v>0</v>
      </c>
      <c r="AH1644">
        <f>INDIRECT(ADDRESS(1644,33))+INDIRECT(ADDRESS(1642,34))-INDIRECT(ADDRESS(1643,34))</f>
        <v>0</v>
      </c>
      <c r="AI1644">
        <f>INDIRECT(ADDRESS(1644,34))+INDIRECT(ADDRESS(1642,35))-INDIRECT(ADDRESS(1643,35))</f>
        <v>0</v>
      </c>
      <c r="AJ1644">
        <f>INDIRECT(ADDRESS(1644,35))+INDIRECT(ADDRESS(1642,36))-INDIRECT(ADDRESS(1643,36))</f>
        <v>0</v>
      </c>
      <c r="AK1644">
        <f>INDIRECT(ADDRESS(1644,36))+INDIRECT(ADDRESS(1642,37))-INDIRECT(ADDRESS(1643,37))</f>
        <v>0</v>
      </c>
      <c r="AL1644">
        <f>INDIRECT(ADDRESS(1644,37))+INDIRECT(ADDRESS(1642,38))-INDIRECT(ADDRESS(1643,38))</f>
        <v>0</v>
      </c>
      <c r="AM1644">
        <f>INDIRECT(ADDRESS(1644,38))+INDIRECT(ADDRESS(1642,39))-INDIRECT(ADDRESS(1643,39))</f>
        <v>0</v>
      </c>
      <c r="AN1644">
        <f>INDIRECT(ADDRESS(1644,39))+INDIRECT(ADDRESS(1642,40))-INDIRECT(ADDRESS(1643,40))</f>
        <v>0</v>
      </c>
      <c r="AO1644">
        <f>SUM(INDIRECT(ADDRESS(1643,8)):INDIRECT(ADDRESS(1643,39)))</f>
        <v>0</v>
      </c>
    </row>
    <row r="1645" spans="1:41">
      <c r="A1645" t="s">
        <v>180</v>
      </c>
      <c r="B1645" t="s">
        <v>771</v>
      </c>
      <c r="C1645" t="s">
        <v>133</v>
      </c>
      <c r="E1645">
        <v>1</v>
      </c>
      <c r="I1645" t="s">
        <v>177</v>
      </c>
    </row>
    <row r="1646" spans="1:41">
      <c r="I1646" t="s">
        <v>178</v>
      </c>
      <c r="J1646">
        <f>IFERROR(VLOOKUP("906-496000-110",B:AB,1+8,0),0)</f>
        <v>0</v>
      </c>
      <c r="K1646">
        <f>IFERROR(VLOOKUP("906-496000-110",B:AB,2+8,0),0)</f>
        <v>0</v>
      </c>
      <c r="L1646">
        <f>IFERROR(VLOOKUP("906-496000-110",B:AB,3+8,0),0)</f>
        <v>0</v>
      </c>
      <c r="M1646">
        <f>IFERROR(VLOOKUP("906-496000-110",B:AB,4+8,0),0)</f>
        <v>0</v>
      </c>
      <c r="N1646">
        <f>IFERROR(VLOOKUP("906-496000-110",B:AB,5+8,0),0)</f>
        <v>0</v>
      </c>
      <c r="O1646">
        <f>IFERROR(VLOOKUP("906-496000-110",B:AB,6+8,0),0)</f>
        <v>0</v>
      </c>
      <c r="P1646">
        <f>IFERROR(VLOOKUP("906-496000-110",B:AB,7+8,0),0)</f>
        <v>0</v>
      </c>
      <c r="Q1646">
        <f>IFERROR(VLOOKUP("906-496000-110",B:AB,8+8,0),0)</f>
        <v>0</v>
      </c>
      <c r="R1646">
        <f>IFERROR(VLOOKUP("906-496000-110",B:AB,9+8,0),0)</f>
        <v>0</v>
      </c>
      <c r="S1646">
        <f>IFERROR(VLOOKUP("906-496000-110",B:AB,10+8,0),0)</f>
        <v>0</v>
      </c>
      <c r="T1646">
        <f>IFERROR(VLOOKUP("906-496000-110",B:AB,11+8,0),0)</f>
        <v>0</v>
      </c>
      <c r="U1646">
        <f>IFERROR(VLOOKUP("906-496000-110",B:AB,12+8,0),0)</f>
        <v>0</v>
      </c>
      <c r="V1646">
        <f>IFERROR(VLOOKUP("906-496000-110",B:AB,13+8,0),0)</f>
        <v>0</v>
      </c>
      <c r="W1646">
        <f>IFERROR(VLOOKUP("906-496000-110",B:AB,14+8,0),0)</f>
        <v>0</v>
      </c>
      <c r="X1646">
        <f>IFERROR(VLOOKUP("906-496000-110",B:AB,15+8,0),0)</f>
        <v>0</v>
      </c>
      <c r="Y1646">
        <f>IFERROR(VLOOKUP("906-496000-110",B:AB,16+8,0),0)</f>
        <v>0</v>
      </c>
      <c r="Z1646">
        <f>IFERROR(VLOOKUP("906-496000-110",B:AB,17+8,0),0)</f>
        <v>0</v>
      </c>
      <c r="AA1646">
        <f>IFERROR(VLOOKUP("906-496000-110",B:AB,18+8,0),0)</f>
        <v>0</v>
      </c>
      <c r="AB1646">
        <f>IFERROR(VLOOKUP("906-496000-110",B:AB,19+8,0),0)</f>
        <v>0</v>
      </c>
      <c r="AC1646">
        <f>IFERROR(VLOOKUP("906-496000-110",B:AB,20+8,0),0)</f>
        <v>0</v>
      </c>
      <c r="AD1646">
        <f>IFERROR(VLOOKUP("906-496000-110",B:AB,21+8,0),0)</f>
        <v>0</v>
      </c>
      <c r="AE1646">
        <f>IFERROR(VLOOKUP("906-496000-110",B:AB,22+8,0),0)</f>
        <v>0</v>
      </c>
      <c r="AF1646">
        <f>IFERROR(VLOOKUP("906-496000-110",B:AB,23+8,0),0)</f>
        <v>0</v>
      </c>
      <c r="AG1646">
        <f>IFERROR(VLOOKUP("906-496000-110",B:AB,24+8,0),0)</f>
        <v>0</v>
      </c>
      <c r="AH1646">
        <f>IFERROR(VLOOKUP("906-496000-110",B:AB,25+8,0),0)</f>
        <v>0</v>
      </c>
      <c r="AI1646">
        <f>IFERROR(VLOOKUP("906-496000-110",B:AB,26+8,0),0)</f>
        <v>0</v>
      </c>
      <c r="AJ1646">
        <f>IFERROR(VLOOKUP("906-496000-110",B:AB,27+8,0),0)</f>
        <v>0</v>
      </c>
      <c r="AK1646">
        <f>IFERROR(VLOOKUP("906-496000-110",B:AB,28+8,0),0)</f>
        <v>0</v>
      </c>
      <c r="AL1646">
        <f>IFERROR(VLOOKUP("906-496000-110",B:AB,29+8,0),0)</f>
        <v>0</v>
      </c>
      <c r="AM1646">
        <f>IFERROR(VLOOKUP("906-496000-110",B:AB,30+8,0),0)</f>
        <v>0</v>
      </c>
      <c r="AN1646">
        <f>IFERROR(VLOOKUP("906-496000-110",B:AB,31+8,0),0)</f>
        <v>0</v>
      </c>
      <c r="AO1646">
        <f>SUN(INDIRECT(ADDRESS(1645,8)):INDIRECT(ADDRESS(1645,39)))</f>
        <v>0</v>
      </c>
    </row>
    <row r="1647" spans="1:41">
      <c r="H1647" t="s">
        <v>179</v>
      </c>
      <c r="J1647">
        <f>INDIRECT(ADDRESS(1647,9))+INDIRECT(ADDRESS(1645,10))-INDIRECT(ADDRESS(1646,10))</f>
        <v>0</v>
      </c>
      <c r="K1647">
        <f>INDIRECT(ADDRESS(1647,10))+INDIRECT(ADDRESS(1645,11))-INDIRECT(ADDRESS(1646,11))</f>
        <v>0</v>
      </c>
      <c r="L1647">
        <f>INDIRECT(ADDRESS(1647,11))+INDIRECT(ADDRESS(1645,12))-INDIRECT(ADDRESS(1646,12))</f>
        <v>0</v>
      </c>
      <c r="M1647">
        <f>INDIRECT(ADDRESS(1647,12))+INDIRECT(ADDRESS(1645,13))-INDIRECT(ADDRESS(1646,13))</f>
        <v>0</v>
      </c>
      <c r="N1647">
        <f>INDIRECT(ADDRESS(1647,13))+INDIRECT(ADDRESS(1645,14))-INDIRECT(ADDRESS(1646,14))</f>
        <v>0</v>
      </c>
      <c r="O1647">
        <f>INDIRECT(ADDRESS(1647,14))+INDIRECT(ADDRESS(1645,15))-INDIRECT(ADDRESS(1646,15))</f>
        <v>0</v>
      </c>
      <c r="P1647">
        <f>INDIRECT(ADDRESS(1647,15))+INDIRECT(ADDRESS(1645,16))-INDIRECT(ADDRESS(1646,16))</f>
        <v>0</v>
      </c>
      <c r="Q1647">
        <f>INDIRECT(ADDRESS(1647,16))+INDIRECT(ADDRESS(1645,17))-INDIRECT(ADDRESS(1646,17))</f>
        <v>0</v>
      </c>
      <c r="R1647">
        <f>INDIRECT(ADDRESS(1647,17))+INDIRECT(ADDRESS(1645,18))-INDIRECT(ADDRESS(1646,18))</f>
        <v>0</v>
      </c>
      <c r="S1647">
        <f>INDIRECT(ADDRESS(1647,18))+INDIRECT(ADDRESS(1645,19))-INDIRECT(ADDRESS(1646,19))</f>
        <v>0</v>
      </c>
      <c r="T1647">
        <f>INDIRECT(ADDRESS(1647,19))+INDIRECT(ADDRESS(1645,20))-INDIRECT(ADDRESS(1646,20))</f>
        <v>0</v>
      </c>
      <c r="U1647">
        <f>INDIRECT(ADDRESS(1647,20))+INDIRECT(ADDRESS(1645,21))-INDIRECT(ADDRESS(1646,21))</f>
        <v>0</v>
      </c>
      <c r="V1647">
        <f>INDIRECT(ADDRESS(1647,21))+INDIRECT(ADDRESS(1645,22))-INDIRECT(ADDRESS(1646,22))</f>
        <v>0</v>
      </c>
      <c r="W1647">
        <f>INDIRECT(ADDRESS(1647,22))+INDIRECT(ADDRESS(1645,23))-INDIRECT(ADDRESS(1646,23))</f>
        <v>0</v>
      </c>
      <c r="X1647">
        <f>INDIRECT(ADDRESS(1647,23))+INDIRECT(ADDRESS(1645,24))-INDIRECT(ADDRESS(1646,24))</f>
        <v>0</v>
      </c>
      <c r="Y1647">
        <f>INDIRECT(ADDRESS(1647,24))+INDIRECT(ADDRESS(1645,25))-INDIRECT(ADDRESS(1646,25))</f>
        <v>0</v>
      </c>
      <c r="Z1647">
        <f>INDIRECT(ADDRESS(1647,25))+INDIRECT(ADDRESS(1645,26))-INDIRECT(ADDRESS(1646,26))</f>
        <v>0</v>
      </c>
      <c r="AA1647">
        <f>INDIRECT(ADDRESS(1647,26))+INDIRECT(ADDRESS(1645,27))-INDIRECT(ADDRESS(1646,27))</f>
        <v>0</v>
      </c>
      <c r="AB1647">
        <f>INDIRECT(ADDRESS(1647,27))+INDIRECT(ADDRESS(1645,28))-INDIRECT(ADDRESS(1646,28))</f>
        <v>0</v>
      </c>
      <c r="AC1647">
        <f>INDIRECT(ADDRESS(1647,28))+INDIRECT(ADDRESS(1645,29))-INDIRECT(ADDRESS(1646,29))</f>
        <v>0</v>
      </c>
      <c r="AD1647">
        <f>INDIRECT(ADDRESS(1647,29))+INDIRECT(ADDRESS(1645,30))-INDIRECT(ADDRESS(1646,30))</f>
        <v>0</v>
      </c>
      <c r="AE1647">
        <f>INDIRECT(ADDRESS(1647,30))+INDIRECT(ADDRESS(1645,31))-INDIRECT(ADDRESS(1646,31))</f>
        <v>0</v>
      </c>
      <c r="AF1647">
        <f>INDIRECT(ADDRESS(1647,31))+INDIRECT(ADDRESS(1645,32))-INDIRECT(ADDRESS(1646,32))</f>
        <v>0</v>
      </c>
      <c r="AG1647">
        <f>INDIRECT(ADDRESS(1647,32))+INDIRECT(ADDRESS(1645,33))-INDIRECT(ADDRESS(1646,33))</f>
        <v>0</v>
      </c>
      <c r="AH1647">
        <f>INDIRECT(ADDRESS(1647,33))+INDIRECT(ADDRESS(1645,34))-INDIRECT(ADDRESS(1646,34))</f>
        <v>0</v>
      </c>
      <c r="AI1647">
        <f>INDIRECT(ADDRESS(1647,34))+INDIRECT(ADDRESS(1645,35))-INDIRECT(ADDRESS(1646,35))</f>
        <v>0</v>
      </c>
      <c r="AJ1647">
        <f>INDIRECT(ADDRESS(1647,35))+INDIRECT(ADDRESS(1645,36))-INDIRECT(ADDRESS(1646,36))</f>
        <v>0</v>
      </c>
      <c r="AK1647">
        <f>INDIRECT(ADDRESS(1647,36))+INDIRECT(ADDRESS(1645,37))-INDIRECT(ADDRESS(1646,37))</f>
        <v>0</v>
      </c>
      <c r="AL1647">
        <f>INDIRECT(ADDRESS(1647,37))+INDIRECT(ADDRESS(1645,38))-INDIRECT(ADDRESS(1646,38))</f>
        <v>0</v>
      </c>
      <c r="AM1647">
        <f>INDIRECT(ADDRESS(1647,38))+INDIRECT(ADDRESS(1645,39))-INDIRECT(ADDRESS(1646,39))</f>
        <v>0</v>
      </c>
      <c r="AN1647">
        <f>INDIRECT(ADDRESS(1647,39))+INDIRECT(ADDRESS(1645,40))-INDIRECT(ADDRESS(1646,40))</f>
        <v>0</v>
      </c>
      <c r="AO1647">
        <f>SUM(INDIRECT(ADDRESS(1646,8)):INDIRECT(ADDRESS(1646,39)))</f>
        <v>0</v>
      </c>
    </row>
    <row r="1648" spans="1:41">
      <c r="A1648" t="s">
        <v>180</v>
      </c>
      <c r="B1648" t="s">
        <v>772</v>
      </c>
      <c r="C1648" t="s">
        <v>133</v>
      </c>
      <c r="E1648">
        <v>1</v>
      </c>
      <c r="I1648" t="s">
        <v>177</v>
      </c>
    </row>
    <row r="1649" spans="1:41">
      <c r="I1649" t="s">
        <v>178</v>
      </c>
      <c r="J1649">
        <f>IFERROR(VLOOKUP("906-496000-110",B:AB,1+8,0),0)</f>
        <v>0</v>
      </c>
      <c r="K1649">
        <f>IFERROR(VLOOKUP("906-496000-110",B:AB,2+8,0),0)</f>
        <v>0</v>
      </c>
      <c r="L1649">
        <f>IFERROR(VLOOKUP("906-496000-110",B:AB,3+8,0),0)</f>
        <v>0</v>
      </c>
      <c r="M1649">
        <f>IFERROR(VLOOKUP("906-496000-110",B:AB,4+8,0),0)</f>
        <v>0</v>
      </c>
      <c r="N1649">
        <f>IFERROR(VLOOKUP("906-496000-110",B:AB,5+8,0),0)</f>
        <v>0</v>
      </c>
      <c r="O1649">
        <f>IFERROR(VLOOKUP("906-496000-110",B:AB,6+8,0),0)</f>
        <v>0</v>
      </c>
      <c r="P1649">
        <f>IFERROR(VLOOKUP("906-496000-110",B:AB,7+8,0),0)</f>
        <v>0</v>
      </c>
      <c r="Q1649">
        <f>IFERROR(VLOOKUP("906-496000-110",B:AB,8+8,0),0)</f>
        <v>0</v>
      </c>
      <c r="R1649">
        <f>IFERROR(VLOOKUP("906-496000-110",B:AB,9+8,0),0)</f>
        <v>0</v>
      </c>
      <c r="S1649">
        <f>IFERROR(VLOOKUP("906-496000-110",B:AB,10+8,0),0)</f>
        <v>0</v>
      </c>
      <c r="T1649">
        <f>IFERROR(VLOOKUP("906-496000-110",B:AB,11+8,0),0)</f>
        <v>0</v>
      </c>
      <c r="U1649">
        <f>IFERROR(VLOOKUP("906-496000-110",B:AB,12+8,0),0)</f>
        <v>0</v>
      </c>
      <c r="V1649">
        <f>IFERROR(VLOOKUP("906-496000-110",B:AB,13+8,0),0)</f>
        <v>0</v>
      </c>
      <c r="W1649">
        <f>IFERROR(VLOOKUP("906-496000-110",B:AB,14+8,0),0)</f>
        <v>0</v>
      </c>
      <c r="X1649">
        <f>IFERROR(VLOOKUP("906-496000-110",B:AB,15+8,0),0)</f>
        <v>0</v>
      </c>
      <c r="Y1649">
        <f>IFERROR(VLOOKUP("906-496000-110",B:AB,16+8,0),0)</f>
        <v>0</v>
      </c>
      <c r="Z1649">
        <f>IFERROR(VLOOKUP("906-496000-110",B:AB,17+8,0),0)</f>
        <v>0</v>
      </c>
      <c r="AA1649">
        <f>IFERROR(VLOOKUP("906-496000-110",B:AB,18+8,0),0)</f>
        <v>0</v>
      </c>
      <c r="AB1649">
        <f>IFERROR(VLOOKUP("906-496000-110",B:AB,19+8,0),0)</f>
        <v>0</v>
      </c>
      <c r="AC1649">
        <f>IFERROR(VLOOKUP("906-496000-110",B:AB,20+8,0),0)</f>
        <v>0</v>
      </c>
      <c r="AD1649">
        <f>IFERROR(VLOOKUP("906-496000-110",B:AB,21+8,0),0)</f>
        <v>0</v>
      </c>
      <c r="AE1649">
        <f>IFERROR(VLOOKUP("906-496000-110",B:AB,22+8,0),0)</f>
        <v>0</v>
      </c>
      <c r="AF1649">
        <f>IFERROR(VLOOKUP("906-496000-110",B:AB,23+8,0),0)</f>
        <v>0</v>
      </c>
      <c r="AG1649">
        <f>IFERROR(VLOOKUP("906-496000-110",B:AB,24+8,0),0)</f>
        <v>0</v>
      </c>
      <c r="AH1649">
        <f>IFERROR(VLOOKUP("906-496000-110",B:AB,25+8,0),0)</f>
        <v>0</v>
      </c>
      <c r="AI1649">
        <f>IFERROR(VLOOKUP("906-496000-110",B:AB,26+8,0),0)</f>
        <v>0</v>
      </c>
      <c r="AJ1649">
        <f>IFERROR(VLOOKUP("906-496000-110",B:AB,27+8,0),0)</f>
        <v>0</v>
      </c>
      <c r="AK1649">
        <f>IFERROR(VLOOKUP("906-496000-110",B:AB,28+8,0),0)</f>
        <v>0</v>
      </c>
      <c r="AL1649">
        <f>IFERROR(VLOOKUP("906-496000-110",B:AB,29+8,0),0)</f>
        <v>0</v>
      </c>
      <c r="AM1649">
        <f>IFERROR(VLOOKUP("906-496000-110",B:AB,30+8,0),0)</f>
        <v>0</v>
      </c>
      <c r="AN1649">
        <f>IFERROR(VLOOKUP("906-496000-110",B:AB,31+8,0),0)</f>
        <v>0</v>
      </c>
      <c r="AO1649">
        <f>SUN(INDIRECT(ADDRESS(1648,8)):INDIRECT(ADDRESS(1648,39)))</f>
        <v>0</v>
      </c>
    </row>
    <row r="1650" spans="1:41">
      <c r="H1650" t="s">
        <v>179</v>
      </c>
      <c r="J1650">
        <f>INDIRECT(ADDRESS(1650,9))+INDIRECT(ADDRESS(1648,10))-INDIRECT(ADDRESS(1649,10))</f>
        <v>0</v>
      </c>
      <c r="K1650">
        <f>INDIRECT(ADDRESS(1650,10))+INDIRECT(ADDRESS(1648,11))-INDIRECT(ADDRESS(1649,11))</f>
        <v>0</v>
      </c>
      <c r="L1650">
        <f>INDIRECT(ADDRESS(1650,11))+INDIRECT(ADDRESS(1648,12))-INDIRECT(ADDRESS(1649,12))</f>
        <v>0</v>
      </c>
      <c r="M1650">
        <f>INDIRECT(ADDRESS(1650,12))+INDIRECT(ADDRESS(1648,13))-INDIRECT(ADDRESS(1649,13))</f>
        <v>0</v>
      </c>
      <c r="N1650">
        <f>INDIRECT(ADDRESS(1650,13))+INDIRECT(ADDRESS(1648,14))-INDIRECT(ADDRESS(1649,14))</f>
        <v>0</v>
      </c>
      <c r="O1650">
        <f>INDIRECT(ADDRESS(1650,14))+INDIRECT(ADDRESS(1648,15))-INDIRECT(ADDRESS(1649,15))</f>
        <v>0</v>
      </c>
      <c r="P1650">
        <f>INDIRECT(ADDRESS(1650,15))+INDIRECT(ADDRESS(1648,16))-INDIRECT(ADDRESS(1649,16))</f>
        <v>0</v>
      </c>
      <c r="Q1650">
        <f>INDIRECT(ADDRESS(1650,16))+INDIRECT(ADDRESS(1648,17))-INDIRECT(ADDRESS(1649,17))</f>
        <v>0</v>
      </c>
      <c r="R1650">
        <f>INDIRECT(ADDRESS(1650,17))+INDIRECT(ADDRESS(1648,18))-INDIRECT(ADDRESS(1649,18))</f>
        <v>0</v>
      </c>
      <c r="S1650">
        <f>INDIRECT(ADDRESS(1650,18))+INDIRECT(ADDRESS(1648,19))-INDIRECT(ADDRESS(1649,19))</f>
        <v>0</v>
      </c>
      <c r="T1650">
        <f>INDIRECT(ADDRESS(1650,19))+INDIRECT(ADDRESS(1648,20))-INDIRECT(ADDRESS(1649,20))</f>
        <v>0</v>
      </c>
      <c r="U1650">
        <f>INDIRECT(ADDRESS(1650,20))+INDIRECT(ADDRESS(1648,21))-INDIRECT(ADDRESS(1649,21))</f>
        <v>0</v>
      </c>
      <c r="V1650">
        <f>INDIRECT(ADDRESS(1650,21))+INDIRECT(ADDRESS(1648,22))-INDIRECT(ADDRESS(1649,22))</f>
        <v>0</v>
      </c>
      <c r="W1650">
        <f>INDIRECT(ADDRESS(1650,22))+INDIRECT(ADDRESS(1648,23))-INDIRECT(ADDRESS(1649,23))</f>
        <v>0</v>
      </c>
      <c r="X1650">
        <f>INDIRECT(ADDRESS(1650,23))+INDIRECT(ADDRESS(1648,24))-INDIRECT(ADDRESS(1649,24))</f>
        <v>0</v>
      </c>
      <c r="Y1650">
        <f>INDIRECT(ADDRESS(1650,24))+INDIRECT(ADDRESS(1648,25))-INDIRECT(ADDRESS(1649,25))</f>
        <v>0</v>
      </c>
      <c r="Z1650">
        <f>INDIRECT(ADDRESS(1650,25))+INDIRECT(ADDRESS(1648,26))-INDIRECT(ADDRESS(1649,26))</f>
        <v>0</v>
      </c>
      <c r="AA1650">
        <f>INDIRECT(ADDRESS(1650,26))+INDIRECT(ADDRESS(1648,27))-INDIRECT(ADDRESS(1649,27))</f>
        <v>0</v>
      </c>
      <c r="AB1650">
        <f>INDIRECT(ADDRESS(1650,27))+INDIRECT(ADDRESS(1648,28))-INDIRECT(ADDRESS(1649,28))</f>
        <v>0</v>
      </c>
      <c r="AC1650">
        <f>INDIRECT(ADDRESS(1650,28))+INDIRECT(ADDRESS(1648,29))-INDIRECT(ADDRESS(1649,29))</f>
        <v>0</v>
      </c>
      <c r="AD1650">
        <f>INDIRECT(ADDRESS(1650,29))+INDIRECT(ADDRESS(1648,30))-INDIRECT(ADDRESS(1649,30))</f>
        <v>0</v>
      </c>
      <c r="AE1650">
        <f>INDIRECT(ADDRESS(1650,30))+INDIRECT(ADDRESS(1648,31))-INDIRECT(ADDRESS(1649,31))</f>
        <v>0</v>
      </c>
      <c r="AF1650">
        <f>INDIRECT(ADDRESS(1650,31))+INDIRECT(ADDRESS(1648,32))-INDIRECT(ADDRESS(1649,32))</f>
        <v>0</v>
      </c>
      <c r="AG1650">
        <f>INDIRECT(ADDRESS(1650,32))+INDIRECT(ADDRESS(1648,33))-INDIRECT(ADDRESS(1649,33))</f>
        <v>0</v>
      </c>
      <c r="AH1650">
        <f>INDIRECT(ADDRESS(1650,33))+INDIRECT(ADDRESS(1648,34))-INDIRECT(ADDRESS(1649,34))</f>
        <v>0</v>
      </c>
      <c r="AI1650">
        <f>INDIRECT(ADDRESS(1650,34))+INDIRECT(ADDRESS(1648,35))-INDIRECT(ADDRESS(1649,35))</f>
        <v>0</v>
      </c>
      <c r="AJ1650">
        <f>INDIRECT(ADDRESS(1650,35))+INDIRECT(ADDRESS(1648,36))-INDIRECT(ADDRESS(1649,36))</f>
        <v>0</v>
      </c>
      <c r="AK1650">
        <f>INDIRECT(ADDRESS(1650,36))+INDIRECT(ADDRESS(1648,37))-INDIRECT(ADDRESS(1649,37))</f>
        <v>0</v>
      </c>
      <c r="AL1650">
        <f>INDIRECT(ADDRESS(1650,37))+INDIRECT(ADDRESS(1648,38))-INDIRECT(ADDRESS(1649,38))</f>
        <v>0</v>
      </c>
      <c r="AM1650">
        <f>INDIRECT(ADDRESS(1650,38))+INDIRECT(ADDRESS(1648,39))-INDIRECT(ADDRESS(1649,39))</f>
        <v>0</v>
      </c>
      <c r="AN1650">
        <f>INDIRECT(ADDRESS(1650,39))+INDIRECT(ADDRESS(1648,40))-INDIRECT(ADDRESS(1649,40))</f>
        <v>0</v>
      </c>
      <c r="AO1650">
        <f>SUM(INDIRECT(ADDRESS(1649,8)):INDIRECT(ADDRESS(1649,39)))</f>
        <v>0</v>
      </c>
    </row>
    <row r="1651" spans="1:41">
      <c r="A1651" t="s">
        <v>185</v>
      </c>
      <c r="B1651" t="s">
        <v>773</v>
      </c>
      <c r="C1651" t="s">
        <v>774</v>
      </c>
      <c r="E1651">
        <v>1</v>
      </c>
      <c r="I1651" t="s">
        <v>177</v>
      </c>
    </row>
    <row r="1652" spans="1:41">
      <c r="I1652" t="s">
        <v>178</v>
      </c>
      <c r="J1652">
        <f>IFERROR(VLOOKUP("906-496000-110",B:AB,1+8,0),0)</f>
        <v>0</v>
      </c>
      <c r="K1652">
        <f>IFERROR(VLOOKUP("906-496000-110",B:AB,2+8,0),0)</f>
        <v>0</v>
      </c>
      <c r="L1652">
        <f>IFERROR(VLOOKUP("906-496000-110",B:AB,3+8,0),0)</f>
        <v>0</v>
      </c>
      <c r="M1652">
        <f>IFERROR(VLOOKUP("906-496000-110",B:AB,4+8,0),0)</f>
        <v>0</v>
      </c>
      <c r="N1652">
        <f>IFERROR(VLOOKUP("906-496000-110",B:AB,5+8,0),0)</f>
        <v>0</v>
      </c>
      <c r="O1652">
        <f>IFERROR(VLOOKUP("906-496000-110",B:AB,6+8,0),0)</f>
        <v>0</v>
      </c>
      <c r="P1652">
        <f>IFERROR(VLOOKUP("906-496000-110",B:AB,7+8,0),0)</f>
        <v>0</v>
      </c>
      <c r="Q1652">
        <f>IFERROR(VLOOKUP("906-496000-110",B:AB,8+8,0),0)</f>
        <v>0</v>
      </c>
      <c r="R1652">
        <f>IFERROR(VLOOKUP("906-496000-110",B:AB,9+8,0),0)</f>
        <v>0</v>
      </c>
      <c r="S1652">
        <f>IFERROR(VLOOKUP("906-496000-110",B:AB,10+8,0),0)</f>
        <v>0</v>
      </c>
      <c r="T1652">
        <f>IFERROR(VLOOKUP("906-496000-110",B:AB,11+8,0),0)</f>
        <v>0</v>
      </c>
      <c r="U1652">
        <f>IFERROR(VLOOKUP("906-496000-110",B:AB,12+8,0),0)</f>
        <v>0</v>
      </c>
      <c r="V1652">
        <f>IFERROR(VLOOKUP("906-496000-110",B:AB,13+8,0),0)</f>
        <v>0</v>
      </c>
      <c r="W1652">
        <f>IFERROR(VLOOKUP("906-496000-110",B:AB,14+8,0),0)</f>
        <v>0</v>
      </c>
      <c r="X1652">
        <f>IFERROR(VLOOKUP("906-496000-110",B:AB,15+8,0),0)</f>
        <v>0</v>
      </c>
      <c r="Y1652">
        <f>IFERROR(VLOOKUP("906-496000-110",B:AB,16+8,0),0)</f>
        <v>0</v>
      </c>
      <c r="Z1652">
        <f>IFERROR(VLOOKUP("906-496000-110",B:AB,17+8,0),0)</f>
        <v>0</v>
      </c>
      <c r="AA1652">
        <f>IFERROR(VLOOKUP("906-496000-110",B:AB,18+8,0),0)</f>
        <v>0</v>
      </c>
      <c r="AB1652">
        <f>IFERROR(VLOOKUP("906-496000-110",B:AB,19+8,0),0)</f>
        <v>0</v>
      </c>
      <c r="AC1652">
        <f>IFERROR(VLOOKUP("906-496000-110",B:AB,20+8,0),0)</f>
        <v>0</v>
      </c>
      <c r="AD1652">
        <f>IFERROR(VLOOKUP("906-496000-110",B:AB,21+8,0),0)</f>
        <v>0</v>
      </c>
      <c r="AE1652">
        <f>IFERROR(VLOOKUP("906-496000-110",B:AB,22+8,0),0)</f>
        <v>0</v>
      </c>
      <c r="AF1652">
        <f>IFERROR(VLOOKUP("906-496000-110",B:AB,23+8,0),0)</f>
        <v>0</v>
      </c>
      <c r="AG1652">
        <f>IFERROR(VLOOKUP("906-496000-110",B:AB,24+8,0),0)</f>
        <v>0</v>
      </c>
      <c r="AH1652">
        <f>IFERROR(VLOOKUP("906-496000-110",B:AB,25+8,0),0)</f>
        <v>0</v>
      </c>
      <c r="AI1652">
        <f>IFERROR(VLOOKUP("906-496000-110",B:AB,26+8,0),0)</f>
        <v>0</v>
      </c>
      <c r="AJ1652">
        <f>IFERROR(VLOOKUP("906-496000-110",B:AB,27+8,0),0)</f>
        <v>0</v>
      </c>
      <c r="AK1652">
        <f>IFERROR(VLOOKUP("906-496000-110",B:AB,28+8,0),0)</f>
        <v>0</v>
      </c>
      <c r="AL1652">
        <f>IFERROR(VLOOKUP("906-496000-110",B:AB,29+8,0),0)</f>
        <v>0</v>
      </c>
      <c r="AM1652">
        <f>IFERROR(VLOOKUP("906-496000-110",B:AB,30+8,0),0)</f>
        <v>0</v>
      </c>
      <c r="AN1652">
        <f>IFERROR(VLOOKUP("906-496000-110",B:AB,31+8,0),0)</f>
        <v>0</v>
      </c>
      <c r="AO1652">
        <f>SUN(INDIRECT(ADDRESS(1651,8)):INDIRECT(ADDRESS(1651,39)))</f>
        <v>0</v>
      </c>
    </row>
    <row r="1653" spans="1:41">
      <c r="H1653" t="s">
        <v>179</v>
      </c>
      <c r="J1653">
        <f>INDIRECT(ADDRESS(1653,9))+INDIRECT(ADDRESS(1651,10))-INDIRECT(ADDRESS(1652,10))</f>
        <v>0</v>
      </c>
      <c r="K1653">
        <f>INDIRECT(ADDRESS(1653,10))+INDIRECT(ADDRESS(1651,11))-INDIRECT(ADDRESS(1652,11))</f>
        <v>0</v>
      </c>
      <c r="L1653">
        <f>INDIRECT(ADDRESS(1653,11))+INDIRECT(ADDRESS(1651,12))-INDIRECT(ADDRESS(1652,12))</f>
        <v>0</v>
      </c>
      <c r="M1653">
        <f>INDIRECT(ADDRESS(1653,12))+INDIRECT(ADDRESS(1651,13))-INDIRECT(ADDRESS(1652,13))</f>
        <v>0</v>
      </c>
      <c r="N1653">
        <f>INDIRECT(ADDRESS(1653,13))+INDIRECT(ADDRESS(1651,14))-INDIRECT(ADDRESS(1652,14))</f>
        <v>0</v>
      </c>
      <c r="O1653">
        <f>INDIRECT(ADDRESS(1653,14))+INDIRECT(ADDRESS(1651,15))-INDIRECT(ADDRESS(1652,15))</f>
        <v>0</v>
      </c>
      <c r="P1653">
        <f>INDIRECT(ADDRESS(1653,15))+INDIRECT(ADDRESS(1651,16))-INDIRECT(ADDRESS(1652,16))</f>
        <v>0</v>
      </c>
      <c r="Q1653">
        <f>INDIRECT(ADDRESS(1653,16))+INDIRECT(ADDRESS(1651,17))-INDIRECT(ADDRESS(1652,17))</f>
        <v>0</v>
      </c>
      <c r="R1653">
        <f>INDIRECT(ADDRESS(1653,17))+INDIRECT(ADDRESS(1651,18))-INDIRECT(ADDRESS(1652,18))</f>
        <v>0</v>
      </c>
      <c r="S1653">
        <f>INDIRECT(ADDRESS(1653,18))+INDIRECT(ADDRESS(1651,19))-INDIRECT(ADDRESS(1652,19))</f>
        <v>0</v>
      </c>
      <c r="T1653">
        <f>INDIRECT(ADDRESS(1653,19))+INDIRECT(ADDRESS(1651,20))-INDIRECT(ADDRESS(1652,20))</f>
        <v>0</v>
      </c>
      <c r="U1653">
        <f>INDIRECT(ADDRESS(1653,20))+INDIRECT(ADDRESS(1651,21))-INDIRECT(ADDRESS(1652,21))</f>
        <v>0</v>
      </c>
      <c r="V1653">
        <f>INDIRECT(ADDRESS(1653,21))+INDIRECT(ADDRESS(1651,22))-INDIRECT(ADDRESS(1652,22))</f>
        <v>0</v>
      </c>
      <c r="W1653">
        <f>INDIRECT(ADDRESS(1653,22))+INDIRECT(ADDRESS(1651,23))-INDIRECT(ADDRESS(1652,23))</f>
        <v>0</v>
      </c>
      <c r="X1653">
        <f>INDIRECT(ADDRESS(1653,23))+INDIRECT(ADDRESS(1651,24))-INDIRECT(ADDRESS(1652,24))</f>
        <v>0</v>
      </c>
      <c r="Y1653">
        <f>INDIRECT(ADDRESS(1653,24))+INDIRECT(ADDRESS(1651,25))-INDIRECT(ADDRESS(1652,25))</f>
        <v>0</v>
      </c>
      <c r="Z1653">
        <f>INDIRECT(ADDRESS(1653,25))+INDIRECT(ADDRESS(1651,26))-INDIRECT(ADDRESS(1652,26))</f>
        <v>0</v>
      </c>
      <c r="AA1653">
        <f>INDIRECT(ADDRESS(1653,26))+INDIRECT(ADDRESS(1651,27))-INDIRECT(ADDRESS(1652,27))</f>
        <v>0</v>
      </c>
      <c r="AB1653">
        <f>INDIRECT(ADDRESS(1653,27))+INDIRECT(ADDRESS(1651,28))-INDIRECT(ADDRESS(1652,28))</f>
        <v>0</v>
      </c>
      <c r="AC1653">
        <f>INDIRECT(ADDRESS(1653,28))+INDIRECT(ADDRESS(1651,29))-INDIRECT(ADDRESS(1652,29))</f>
        <v>0</v>
      </c>
      <c r="AD1653">
        <f>INDIRECT(ADDRESS(1653,29))+INDIRECT(ADDRESS(1651,30))-INDIRECT(ADDRESS(1652,30))</f>
        <v>0</v>
      </c>
      <c r="AE1653">
        <f>INDIRECT(ADDRESS(1653,30))+INDIRECT(ADDRESS(1651,31))-INDIRECT(ADDRESS(1652,31))</f>
        <v>0</v>
      </c>
      <c r="AF1653">
        <f>INDIRECT(ADDRESS(1653,31))+INDIRECT(ADDRESS(1651,32))-INDIRECT(ADDRESS(1652,32))</f>
        <v>0</v>
      </c>
      <c r="AG1653">
        <f>INDIRECT(ADDRESS(1653,32))+INDIRECT(ADDRESS(1651,33))-INDIRECT(ADDRESS(1652,33))</f>
        <v>0</v>
      </c>
      <c r="AH1653">
        <f>INDIRECT(ADDRESS(1653,33))+INDIRECT(ADDRESS(1651,34))-INDIRECT(ADDRESS(1652,34))</f>
        <v>0</v>
      </c>
      <c r="AI1653">
        <f>INDIRECT(ADDRESS(1653,34))+INDIRECT(ADDRESS(1651,35))-INDIRECT(ADDRESS(1652,35))</f>
        <v>0</v>
      </c>
      <c r="AJ1653">
        <f>INDIRECT(ADDRESS(1653,35))+INDIRECT(ADDRESS(1651,36))-INDIRECT(ADDRESS(1652,36))</f>
        <v>0</v>
      </c>
      <c r="AK1653">
        <f>INDIRECT(ADDRESS(1653,36))+INDIRECT(ADDRESS(1651,37))-INDIRECT(ADDRESS(1652,37))</f>
        <v>0</v>
      </c>
      <c r="AL1653">
        <f>INDIRECT(ADDRESS(1653,37))+INDIRECT(ADDRESS(1651,38))-INDIRECT(ADDRESS(1652,38))</f>
        <v>0</v>
      </c>
      <c r="AM1653">
        <f>INDIRECT(ADDRESS(1653,38))+INDIRECT(ADDRESS(1651,39))-INDIRECT(ADDRESS(1652,39))</f>
        <v>0</v>
      </c>
      <c r="AN1653">
        <f>INDIRECT(ADDRESS(1653,39))+INDIRECT(ADDRESS(1651,40))-INDIRECT(ADDRESS(1652,40))</f>
        <v>0</v>
      </c>
      <c r="AO1653">
        <f>SUM(INDIRECT(ADDRESS(1652,8)):INDIRECT(ADDRESS(1652,39)))</f>
        <v>0</v>
      </c>
    </row>
    <row r="1654" spans="1:41">
      <c r="A1654" t="s">
        <v>185</v>
      </c>
      <c r="B1654" t="s">
        <v>775</v>
      </c>
      <c r="C1654" t="s">
        <v>776</v>
      </c>
      <c r="E1654">
        <v>1</v>
      </c>
      <c r="I1654" t="s">
        <v>177</v>
      </c>
    </row>
    <row r="1655" spans="1:41">
      <c r="I1655" t="s">
        <v>178</v>
      </c>
      <c r="J1655">
        <f>IFERROR(VLOOKUP("906-496000-110",B:AB,1+8,0),0)</f>
        <v>0</v>
      </c>
      <c r="K1655">
        <f>IFERROR(VLOOKUP("906-496000-110",B:AB,2+8,0),0)</f>
        <v>0</v>
      </c>
      <c r="L1655">
        <f>IFERROR(VLOOKUP("906-496000-110",B:AB,3+8,0),0)</f>
        <v>0</v>
      </c>
      <c r="M1655">
        <f>IFERROR(VLOOKUP("906-496000-110",B:AB,4+8,0),0)</f>
        <v>0</v>
      </c>
      <c r="N1655">
        <f>IFERROR(VLOOKUP("906-496000-110",B:AB,5+8,0),0)</f>
        <v>0</v>
      </c>
      <c r="O1655">
        <f>IFERROR(VLOOKUP("906-496000-110",B:AB,6+8,0),0)</f>
        <v>0</v>
      </c>
      <c r="P1655">
        <f>IFERROR(VLOOKUP("906-496000-110",B:AB,7+8,0),0)</f>
        <v>0</v>
      </c>
      <c r="Q1655">
        <f>IFERROR(VLOOKUP("906-496000-110",B:AB,8+8,0),0)</f>
        <v>0</v>
      </c>
      <c r="R1655">
        <f>IFERROR(VLOOKUP("906-496000-110",B:AB,9+8,0),0)</f>
        <v>0</v>
      </c>
      <c r="S1655">
        <f>IFERROR(VLOOKUP("906-496000-110",B:AB,10+8,0),0)</f>
        <v>0</v>
      </c>
      <c r="T1655">
        <f>IFERROR(VLOOKUP("906-496000-110",B:AB,11+8,0),0)</f>
        <v>0</v>
      </c>
      <c r="U1655">
        <f>IFERROR(VLOOKUP("906-496000-110",B:AB,12+8,0),0)</f>
        <v>0</v>
      </c>
      <c r="V1655">
        <f>IFERROR(VLOOKUP("906-496000-110",B:AB,13+8,0),0)</f>
        <v>0</v>
      </c>
      <c r="W1655">
        <f>IFERROR(VLOOKUP("906-496000-110",B:AB,14+8,0),0)</f>
        <v>0</v>
      </c>
      <c r="X1655">
        <f>IFERROR(VLOOKUP("906-496000-110",B:AB,15+8,0),0)</f>
        <v>0</v>
      </c>
      <c r="Y1655">
        <f>IFERROR(VLOOKUP("906-496000-110",B:AB,16+8,0),0)</f>
        <v>0</v>
      </c>
      <c r="Z1655">
        <f>IFERROR(VLOOKUP("906-496000-110",B:AB,17+8,0),0)</f>
        <v>0</v>
      </c>
      <c r="AA1655">
        <f>IFERROR(VLOOKUP("906-496000-110",B:AB,18+8,0),0)</f>
        <v>0</v>
      </c>
      <c r="AB1655">
        <f>IFERROR(VLOOKUP("906-496000-110",B:AB,19+8,0),0)</f>
        <v>0</v>
      </c>
      <c r="AC1655">
        <f>IFERROR(VLOOKUP("906-496000-110",B:AB,20+8,0),0)</f>
        <v>0</v>
      </c>
      <c r="AD1655">
        <f>IFERROR(VLOOKUP("906-496000-110",B:AB,21+8,0),0)</f>
        <v>0</v>
      </c>
      <c r="AE1655">
        <f>IFERROR(VLOOKUP("906-496000-110",B:AB,22+8,0),0)</f>
        <v>0</v>
      </c>
      <c r="AF1655">
        <f>IFERROR(VLOOKUP("906-496000-110",B:AB,23+8,0),0)</f>
        <v>0</v>
      </c>
      <c r="AG1655">
        <f>IFERROR(VLOOKUP("906-496000-110",B:AB,24+8,0),0)</f>
        <v>0</v>
      </c>
      <c r="AH1655">
        <f>IFERROR(VLOOKUP("906-496000-110",B:AB,25+8,0),0)</f>
        <v>0</v>
      </c>
      <c r="AI1655">
        <f>IFERROR(VLOOKUP("906-496000-110",B:AB,26+8,0),0)</f>
        <v>0</v>
      </c>
      <c r="AJ1655">
        <f>IFERROR(VLOOKUP("906-496000-110",B:AB,27+8,0),0)</f>
        <v>0</v>
      </c>
      <c r="AK1655">
        <f>IFERROR(VLOOKUP("906-496000-110",B:AB,28+8,0),0)</f>
        <v>0</v>
      </c>
      <c r="AL1655">
        <f>IFERROR(VLOOKUP("906-496000-110",B:AB,29+8,0),0)</f>
        <v>0</v>
      </c>
      <c r="AM1655">
        <f>IFERROR(VLOOKUP("906-496000-110",B:AB,30+8,0),0)</f>
        <v>0</v>
      </c>
      <c r="AN1655">
        <f>IFERROR(VLOOKUP("906-496000-110",B:AB,31+8,0),0)</f>
        <v>0</v>
      </c>
      <c r="AO1655">
        <f>SUN(INDIRECT(ADDRESS(1654,8)):INDIRECT(ADDRESS(1654,39)))</f>
        <v>0</v>
      </c>
    </row>
    <row r="1656" spans="1:41">
      <c r="H1656" t="s">
        <v>179</v>
      </c>
      <c r="J1656">
        <f>INDIRECT(ADDRESS(1656,9))+INDIRECT(ADDRESS(1654,10))-INDIRECT(ADDRESS(1655,10))</f>
        <v>0</v>
      </c>
      <c r="K1656">
        <f>INDIRECT(ADDRESS(1656,10))+INDIRECT(ADDRESS(1654,11))-INDIRECT(ADDRESS(1655,11))</f>
        <v>0</v>
      </c>
      <c r="L1656">
        <f>INDIRECT(ADDRESS(1656,11))+INDIRECT(ADDRESS(1654,12))-INDIRECT(ADDRESS(1655,12))</f>
        <v>0</v>
      </c>
      <c r="M1656">
        <f>INDIRECT(ADDRESS(1656,12))+INDIRECT(ADDRESS(1654,13))-INDIRECT(ADDRESS(1655,13))</f>
        <v>0</v>
      </c>
      <c r="N1656">
        <f>INDIRECT(ADDRESS(1656,13))+INDIRECT(ADDRESS(1654,14))-INDIRECT(ADDRESS(1655,14))</f>
        <v>0</v>
      </c>
      <c r="O1656">
        <f>INDIRECT(ADDRESS(1656,14))+INDIRECT(ADDRESS(1654,15))-INDIRECT(ADDRESS(1655,15))</f>
        <v>0</v>
      </c>
      <c r="P1656">
        <f>INDIRECT(ADDRESS(1656,15))+INDIRECT(ADDRESS(1654,16))-INDIRECT(ADDRESS(1655,16))</f>
        <v>0</v>
      </c>
      <c r="Q1656">
        <f>INDIRECT(ADDRESS(1656,16))+INDIRECT(ADDRESS(1654,17))-INDIRECT(ADDRESS(1655,17))</f>
        <v>0</v>
      </c>
      <c r="R1656">
        <f>INDIRECT(ADDRESS(1656,17))+INDIRECT(ADDRESS(1654,18))-INDIRECT(ADDRESS(1655,18))</f>
        <v>0</v>
      </c>
      <c r="S1656">
        <f>INDIRECT(ADDRESS(1656,18))+INDIRECT(ADDRESS(1654,19))-INDIRECT(ADDRESS(1655,19))</f>
        <v>0</v>
      </c>
      <c r="T1656">
        <f>INDIRECT(ADDRESS(1656,19))+INDIRECT(ADDRESS(1654,20))-INDIRECT(ADDRESS(1655,20))</f>
        <v>0</v>
      </c>
      <c r="U1656">
        <f>INDIRECT(ADDRESS(1656,20))+INDIRECT(ADDRESS(1654,21))-INDIRECT(ADDRESS(1655,21))</f>
        <v>0</v>
      </c>
      <c r="V1656">
        <f>INDIRECT(ADDRESS(1656,21))+INDIRECT(ADDRESS(1654,22))-INDIRECT(ADDRESS(1655,22))</f>
        <v>0</v>
      </c>
      <c r="W1656">
        <f>INDIRECT(ADDRESS(1656,22))+INDIRECT(ADDRESS(1654,23))-INDIRECT(ADDRESS(1655,23))</f>
        <v>0</v>
      </c>
      <c r="X1656">
        <f>INDIRECT(ADDRESS(1656,23))+INDIRECT(ADDRESS(1654,24))-INDIRECT(ADDRESS(1655,24))</f>
        <v>0</v>
      </c>
      <c r="Y1656">
        <f>INDIRECT(ADDRESS(1656,24))+INDIRECT(ADDRESS(1654,25))-INDIRECT(ADDRESS(1655,25))</f>
        <v>0</v>
      </c>
      <c r="Z1656">
        <f>INDIRECT(ADDRESS(1656,25))+INDIRECT(ADDRESS(1654,26))-INDIRECT(ADDRESS(1655,26))</f>
        <v>0</v>
      </c>
      <c r="AA1656">
        <f>INDIRECT(ADDRESS(1656,26))+INDIRECT(ADDRESS(1654,27))-INDIRECT(ADDRESS(1655,27))</f>
        <v>0</v>
      </c>
      <c r="AB1656">
        <f>INDIRECT(ADDRESS(1656,27))+INDIRECT(ADDRESS(1654,28))-INDIRECT(ADDRESS(1655,28))</f>
        <v>0</v>
      </c>
      <c r="AC1656">
        <f>INDIRECT(ADDRESS(1656,28))+INDIRECT(ADDRESS(1654,29))-INDIRECT(ADDRESS(1655,29))</f>
        <v>0</v>
      </c>
      <c r="AD1656">
        <f>INDIRECT(ADDRESS(1656,29))+INDIRECT(ADDRESS(1654,30))-INDIRECT(ADDRESS(1655,30))</f>
        <v>0</v>
      </c>
      <c r="AE1656">
        <f>INDIRECT(ADDRESS(1656,30))+INDIRECT(ADDRESS(1654,31))-INDIRECT(ADDRESS(1655,31))</f>
        <v>0</v>
      </c>
      <c r="AF1656">
        <f>INDIRECT(ADDRESS(1656,31))+INDIRECT(ADDRESS(1654,32))-INDIRECT(ADDRESS(1655,32))</f>
        <v>0</v>
      </c>
      <c r="AG1656">
        <f>INDIRECT(ADDRESS(1656,32))+INDIRECT(ADDRESS(1654,33))-INDIRECT(ADDRESS(1655,33))</f>
        <v>0</v>
      </c>
      <c r="AH1656">
        <f>INDIRECT(ADDRESS(1656,33))+INDIRECT(ADDRESS(1654,34))-INDIRECT(ADDRESS(1655,34))</f>
        <v>0</v>
      </c>
      <c r="AI1656">
        <f>INDIRECT(ADDRESS(1656,34))+INDIRECT(ADDRESS(1654,35))-INDIRECT(ADDRESS(1655,35))</f>
        <v>0</v>
      </c>
      <c r="AJ1656">
        <f>INDIRECT(ADDRESS(1656,35))+INDIRECT(ADDRESS(1654,36))-INDIRECT(ADDRESS(1655,36))</f>
        <v>0</v>
      </c>
      <c r="AK1656">
        <f>INDIRECT(ADDRESS(1656,36))+INDIRECT(ADDRESS(1654,37))-INDIRECT(ADDRESS(1655,37))</f>
        <v>0</v>
      </c>
      <c r="AL1656">
        <f>INDIRECT(ADDRESS(1656,37))+INDIRECT(ADDRESS(1654,38))-INDIRECT(ADDRESS(1655,38))</f>
        <v>0</v>
      </c>
      <c r="AM1656">
        <f>INDIRECT(ADDRESS(1656,38))+INDIRECT(ADDRESS(1654,39))-INDIRECT(ADDRESS(1655,39))</f>
        <v>0</v>
      </c>
      <c r="AN1656">
        <f>INDIRECT(ADDRESS(1656,39))+INDIRECT(ADDRESS(1654,40))-INDIRECT(ADDRESS(1655,40))</f>
        <v>0</v>
      </c>
      <c r="AO1656">
        <f>SUM(INDIRECT(ADDRESS(1655,8)):INDIRECT(ADDRESS(1655,39)))</f>
        <v>0</v>
      </c>
    </row>
    <row r="1657" spans="1:41">
      <c r="A1657" t="s">
        <v>185</v>
      </c>
      <c r="B1657" t="s">
        <v>777</v>
      </c>
      <c r="C1657" t="s">
        <v>713</v>
      </c>
      <c r="E1657">
        <v>2</v>
      </c>
      <c r="I1657" t="s">
        <v>177</v>
      </c>
    </row>
    <row r="1658" spans="1:41">
      <c r="I1658" t="s">
        <v>178</v>
      </c>
      <c r="J1658">
        <f>IFERROR(VLOOKUP("906-496000-110",B:AB,1+8,0),0)</f>
        <v>0</v>
      </c>
      <c r="K1658">
        <f>IFERROR(VLOOKUP("906-496000-110",B:AB,2+8,0),0)</f>
        <v>0</v>
      </c>
      <c r="L1658">
        <f>IFERROR(VLOOKUP("906-496000-110",B:AB,3+8,0),0)</f>
        <v>0</v>
      </c>
      <c r="M1658">
        <f>IFERROR(VLOOKUP("906-496000-110",B:AB,4+8,0),0)</f>
        <v>0</v>
      </c>
      <c r="N1658">
        <f>IFERROR(VLOOKUP("906-496000-110",B:AB,5+8,0),0)</f>
        <v>0</v>
      </c>
      <c r="O1658">
        <f>IFERROR(VLOOKUP("906-496000-110",B:AB,6+8,0),0)</f>
        <v>0</v>
      </c>
      <c r="P1658">
        <f>IFERROR(VLOOKUP("906-496000-110",B:AB,7+8,0),0)</f>
        <v>0</v>
      </c>
      <c r="Q1658">
        <f>IFERROR(VLOOKUP("906-496000-110",B:AB,8+8,0),0)</f>
        <v>0</v>
      </c>
      <c r="R1658">
        <f>IFERROR(VLOOKUP("906-496000-110",B:AB,9+8,0),0)</f>
        <v>0</v>
      </c>
      <c r="S1658">
        <f>IFERROR(VLOOKUP("906-496000-110",B:AB,10+8,0),0)</f>
        <v>0</v>
      </c>
      <c r="T1658">
        <f>IFERROR(VLOOKUP("906-496000-110",B:AB,11+8,0),0)</f>
        <v>0</v>
      </c>
      <c r="U1658">
        <f>IFERROR(VLOOKUP("906-496000-110",B:AB,12+8,0),0)</f>
        <v>0</v>
      </c>
      <c r="V1658">
        <f>IFERROR(VLOOKUP("906-496000-110",B:AB,13+8,0),0)</f>
        <v>0</v>
      </c>
      <c r="W1658">
        <f>IFERROR(VLOOKUP("906-496000-110",B:AB,14+8,0),0)</f>
        <v>0</v>
      </c>
      <c r="X1658">
        <f>IFERROR(VLOOKUP("906-496000-110",B:AB,15+8,0),0)</f>
        <v>0</v>
      </c>
      <c r="Y1658">
        <f>IFERROR(VLOOKUP("906-496000-110",B:AB,16+8,0),0)</f>
        <v>0</v>
      </c>
      <c r="Z1658">
        <f>IFERROR(VLOOKUP("906-496000-110",B:AB,17+8,0),0)</f>
        <v>0</v>
      </c>
      <c r="AA1658">
        <f>IFERROR(VLOOKUP("906-496000-110",B:AB,18+8,0),0)</f>
        <v>0</v>
      </c>
      <c r="AB1658">
        <f>IFERROR(VLOOKUP("906-496000-110",B:AB,19+8,0),0)</f>
        <v>0</v>
      </c>
      <c r="AC1658">
        <f>IFERROR(VLOOKUP("906-496000-110",B:AB,20+8,0),0)</f>
        <v>0</v>
      </c>
      <c r="AD1658">
        <f>IFERROR(VLOOKUP("906-496000-110",B:AB,21+8,0),0)</f>
        <v>0</v>
      </c>
      <c r="AE1658">
        <f>IFERROR(VLOOKUP("906-496000-110",B:AB,22+8,0),0)</f>
        <v>0</v>
      </c>
      <c r="AF1658">
        <f>IFERROR(VLOOKUP("906-496000-110",B:AB,23+8,0),0)</f>
        <v>0</v>
      </c>
      <c r="AG1658">
        <f>IFERROR(VLOOKUP("906-496000-110",B:AB,24+8,0),0)</f>
        <v>0</v>
      </c>
      <c r="AH1658">
        <f>IFERROR(VLOOKUP("906-496000-110",B:AB,25+8,0),0)</f>
        <v>0</v>
      </c>
      <c r="AI1658">
        <f>IFERROR(VLOOKUP("906-496000-110",B:AB,26+8,0),0)</f>
        <v>0</v>
      </c>
      <c r="AJ1658">
        <f>IFERROR(VLOOKUP("906-496000-110",B:AB,27+8,0),0)</f>
        <v>0</v>
      </c>
      <c r="AK1658">
        <f>IFERROR(VLOOKUP("906-496000-110",B:AB,28+8,0),0)</f>
        <v>0</v>
      </c>
      <c r="AL1658">
        <f>IFERROR(VLOOKUP("906-496000-110",B:AB,29+8,0),0)</f>
        <v>0</v>
      </c>
      <c r="AM1658">
        <f>IFERROR(VLOOKUP("906-496000-110",B:AB,30+8,0),0)</f>
        <v>0</v>
      </c>
      <c r="AN1658">
        <f>IFERROR(VLOOKUP("906-496000-110",B:AB,31+8,0),0)</f>
        <v>0</v>
      </c>
      <c r="AO1658">
        <f>SUN(INDIRECT(ADDRESS(1657,8)):INDIRECT(ADDRESS(1657,39)))</f>
        <v>0</v>
      </c>
    </row>
    <row r="1659" spans="1:41">
      <c r="H1659" t="s">
        <v>179</v>
      </c>
      <c r="J1659">
        <f>INDIRECT(ADDRESS(1659,9))+INDIRECT(ADDRESS(1657,10))-INDIRECT(ADDRESS(1658,10))</f>
        <v>0</v>
      </c>
      <c r="K1659">
        <f>INDIRECT(ADDRESS(1659,10))+INDIRECT(ADDRESS(1657,11))-INDIRECT(ADDRESS(1658,11))</f>
        <v>0</v>
      </c>
      <c r="L1659">
        <f>INDIRECT(ADDRESS(1659,11))+INDIRECT(ADDRESS(1657,12))-INDIRECT(ADDRESS(1658,12))</f>
        <v>0</v>
      </c>
      <c r="M1659">
        <f>INDIRECT(ADDRESS(1659,12))+INDIRECT(ADDRESS(1657,13))-INDIRECT(ADDRESS(1658,13))</f>
        <v>0</v>
      </c>
      <c r="N1659">
        <f>INDIRECT(ADDRESS(1659,13))+INDIRECT(ADDRESS(1657,14))-INDIRECT(ADDRESS(1658,14))</f>
        <v>0</v>
      </c>
      <c r="O1659">
        <f>INDIRECT(ADDRESS(1659,14))+INDIRECT(ADDRESS(1657,15))-INDIRECT(ADDRESS(1658,15))</f>
        <v>0</v>
      </c>
      <c r="P1659">
        <f>INDIRECT(ADDRESS(1659,15))+INDIRECT(ADDRESS(1657,16))-INDIRECT(ADDRESS(1658,16))</f>
        <v>0</v>
      </c>
      <c r="Q1659">
        <f>INDIRECT(ADDRESS(1659,16))+INDIRECT(ADDRESS(1657,17))-INDIRECT(ADDRESS(1658,17))</f>
        <v>0</v>
      </c>
      <c r="R1659">
        <f>INDIRECT(ADDRESS(1659,17))+INDIRECT(ADDRESS(1657,18))-INDIRECT(ADDRESS(1658,18))</f>
        <v>0</v>
      </c>
      <c r="S1659">
        <f>INDIRECT(ADDRESS(1659,18))+INDIRECT(ADDRESS(1657,19))-INDIRECT(ADDRESS(1658,19))</f>
        <v>0</v>
      </c>
      <c r="T1659">
        <f>INDIRECT(ADDRESS(1659,19))+INDIRECT(ADDRESS(1657,20))-INDIRECT(ADDRESS(1658,20))</f>
        <v>0</v>
      </c>
      <c r="U1659">
        <f>INDIRECT(ADDRESS(1659,20))+INDIRECT(ADDRESS(1657,21))-INDIRECT(ADDRESS(1658,21))</f>
        <v>0</v>
      </c>
      <c r="V1659">
        <f>INDIRECT(ADDRESS(1659,21))+INDIRECT(ADDRESS(1657,22))-INDIRECT(ADDRESS(1658,22))</f>
        <v>0</v>
      </c>
      <c r="W1659">
        <f>INDIRECT(ADDRESS(1659,22))+INDIRECT(ADDRESS(1657,23))-INDIRECT(ADDRESS(1658,23))</f>
        <v>0</v>
      </c>
      <c r="X1659">
        <f>INDIRECT(ADDRESS(1659,23))+INDIRECT(ADDRESS(1657,24))-INDIRECT(ADDRESS(1658,24))</f>
        <v>0</v>
      </c>
      <c r="Y1659">
        <f>INDIRECT(ADDRESS(1659,24))+INDIRECT(ADDRESS(1657,25))-INDIRECT(ADDRESS(1658,25))</f>
        <v>0</v>
      </c>
      <c r="Z1659">
        <f>INDIRECT(ADDRESS(1659,25))+INDIRECT(ADDRESS(1657,26))-INDIRECT(ADDRESS(1658,26))</f>
        <v>0</v>
      </c>
      <c r="AA1659">
        <f>INDIRECT(ADDRESS(1659,26))+INDIRECT(ADDRESS(1657,27))-INDIRECT(ADDRESS(1658,27))</f>
        <v>0</v>
      </c>
      <c r="AB1659">
        <f>INDIRECT(ADDRESS(1659,27))+INDIRECT(ADDRESS(1657,28))-INDIRECT(ADDRESS(1658,28))</f>
        <v>0</v>
      </c>
      <c r="AC1659">
        <f>INDIRECT(ADDRESS(1659,28))+INDIRECT(ADDRESS(1657,29))-INDIRECT(ADDRESS(1658,29))</f>
        <v>0</v>
      </c>
      <c r="AD1659">
        <f>INDIRECT(ADDRESS(1659,29))+INDIRECT(ADDRESS(1657,30))-INDIRECT(ADDRESS(1658,30))</f>
        <v>0</v>
      </c>
      <c r="AE1659">
        <f>INDIRECT(ADDRESS(1659,30))+INDIRECT(ADDRESS(1657,31))-INDIRECT(ADDRESS(1658,31))</f>
        <v>0</v>
      </c>
      <c r="AF1659">
        <f>INDIRECT(ADDRESS(1659,31))+INDIRECT(ADDRESS(1657,32))-INDIRECT(ADDRESS(1658,32))</f>
        <v>0</v>
      </c>
      <c r="AG1659">
        <f>INDIRECT(ADDRESS(1659,32))+INDIRECT(ADDRESS(1657,33))-INDIRECT(ADDRESS(1658,33))</f>
        <v>0</v>
      </c>
      <c r="AH1659">
        <f>INDIRECT(ADDRESS(1659,33))+INDIRECT(ADDRESS(1657,34))-INDIRECT(ADDRESS(1658,34))</f>
        <v>0</v>
      </c>
      <c r="AI1659">
        <f>INDIRECT(ADDRESS(1659,34))+INDIRECT(ADDRESS(1657,35))-INDIRECT(ADDRESS(1658,35))</f>
        <v>0</v>
      </c>
      <c r="AJ1659">
        <f>INDIRECT(ADDRESS(1659,35))+INDIRECT(ADDRESS(1657,36))-INDIRECT(ADDRESS(1658,36))</f>
        <v>0</v>
      </c>
      <c r="AK1659">
        <f>INDIRECT(ADDRESS(1659,36))+INDIRECT(ADDRESS(1657,37))-INDIRECT(ADDRESS(1658,37))</f>
        <v>0</v>
      </c>
      <c r="AL1659">
        <f>INDIRECT(ADDRESS(1659,37))+INDIRECT(ADDRESS(1657,38))-INDIRECT(ADDRESS(1658,38))</f>
        <v>0</v>
      </c>
      <c r="AM1659">
        <f>INDIRECT(ADDRESS(1659,38))+INDIRECT(ADDRESS(1657,39))-INDIRECT(ADDRESS(1658,39))</f>
        <v>0</v>
      </c>
      <c r="AN1659">
        <f>INDIRECT(ADDRESS(1659,39))+INDIRECT(ADDRESS(1657,40))-INDIRECT(ADDRESS(1658,40))</f>
        <v>0</v>
      </c>
      <c r="AO1659">
        <f>SUM(INDIRECT(ADDRESS(1658,8)):INDIRECT(ADDRESS(1658,39)))</f>
        <v>0</v>
      </c>
    </row>
    <row r="1660" spans="1:41">
      <c r="A1660" t="s">
        <v>185</v>
      </c>
      <c r="B1660" t="s">
        <v>778</v>
      </c>
      <c r="C1660" t="s">
        <v>779</v>
      </c>
      <c r="E1660">
        <v>1</v>
      </c>
      <c r="I1660" t="s">
        <v>177</v>
      </c>
    </row>
    <row r="1661" spans="1:41">
      <c r="I1661" t="s">
        <v>178</v>
      </c>
      <c r="J1661">
        <f>IFERROR(VLOOKUP("906-496000-110",B:AB,1+8,0),0)</f>
        <v>0</v>
      </c>
      <c r="K1661">
        <f>IFERROR(VLOOKUP("906-496000-110",B:AB,2+8,0),0)</f>
        <v>0</v>
      </c>
      <c r="L1661">
        <f>IFERROR(VLOOKUP("906-496000-110",B:AB,3+8,0),0)</f>
        <v>0</v>
      </c>
      <c r="M1661">
        <f>IFERROR(VLOOKUP("906-496000-110",B:AB,4+8,0),0)</f>
        <v>0</v>
      </c>
      <c r="N1661">
        <f>IFERROR(VLOOKUP("906-496000-110",B:AB,5+8,0),0)</f>
        <v>0</v>
      </c>
      <c r="O1661">
        <f>IFERROR(VLOOKUP("906-496000-110",B:AB,6+8,0),0)</f>
        <v>0</v>
      </c>
      <c r="P1661">
        <f>IFERROR(VLOOKUP("906-496000-110",B:AB,7+8,0),0)</f>
        <v>0</v>
      </c>
      <c r="Q1661">
        <f>IFERROR(VLOOKUP("906-496000-110",B:AB,8+8,0),0)</f>
        <v>0</v>
      </c>
      <c r="R1661">
        <f>IFERROR(VLOOKUP("906-496000-110",B:AB,9+8,0),0)</f>
        <v>0</v>
      </c>
      <c r="S1661">
        <f>IFERROR(VLOOKUP("906-496000-110",B:AB,10+8,0),0)</f>
        <v>0</v>
      </c>
      <c r="T1661">
        <f>IFERROR(VLOOKUP("906-496000-110",B:AB,11+8,0),0)</f>
        <v>0</v>
      </c>
      <c r="U1661">
        <f>IFERROR(VLOOKUP("906-496000-110",B:AB,12+8,0),0)</f>
        <v>0</v>
      </c>
      <c r="V1661">
        <f>IFERROR(VLOOKUP("906-496000-110",B:AB,13+8,0),0)</f>
        <v>0</v>
      </c>
      <c r="W1661">
        <f>IFERROR(VLOOKUP("906-496000-110",B:AB,14+8,0),0)</f>
        <v>0</v>
      </c>
      <c r="X1661">
        <f>IFERROR(VLOOKUP("906-496000-110",B:AB,15+8,0),0)</f>
        <v>0</v>
      </c>
      <c r="Y1661">
        <f>IFERROR(VLOOKUP("906-496000-110",B:AB,16+8,0),0)</f>
        <v>0</v>
      </c>
      <c r="Z1661">
        <f>IFERROR(VLOOKUP("906-496000-110",B:AB,17+8,0),0)</f>
        <v>0</v>
      </c>
      <c r="AA1661">
        <f>IFERROR(VLOOKUP("906-496000-110",B:AB,18+8,0),0)</f>
        <v>0</v>
      </c>
      <c r="AB1661">
        <f>IFERROR(VLOOKUP("906-496000-110",B:AB,19+8,0),0)</f>
        <v>0</v>
      </c>
      <c r="AC1661">
        <f>IFERROR(VLOOKUP("906-496000-110",B:AB,20+8,0),0)</f>
        <v>0</v>
      </c>
      <c r="AD1661">
        <f>IFERROR(VLOOKUP("906-496000-110",B:AB,21+8,0),0)</f>
        <v>0</v>
      </c>
      <c r="AE1661">
        <f>IFERROR(VLOOKUP("906-496000-110",B:AB,22+8,0),0)</f>
        <v>0</v>
      </c>
      <c r="AF1661">
        <f>IFERROR(VLOOKUP("906-496000-110",B:AB,23+8,0),0)</f>
        <v>0</v>
      </c>
      <c r="AG1661">
        <f>IFERROR(VLOOKUP("906-496000-110",B:AB,24+8,0),0)</f>
        <v>0</v>
      </c>
      <c r="AH1661">
        <f>IFERROR(VLOOKUP("906-496000-110",B:AB,25+8,0),0)</f>
        <v>0</v>
      </c>
      <c r="AI1661">
        <f>IFERROR(VLOOKUP("906-496000-110",B:AB,26+8,0),0)</f>
        <v>0</v>
      </c>
      <c r="AJ1661">
        <f>IFERROR(VLOOKUP("906-496000-110",B:AB,27+8,0),0)</f>
        <v>0</v>
      </c>
      <c r="AK1661">
        <f>IFERROR(VLOOKUP("906-496000-110",B:AB,28+8,0),0)</f>
        <v>0</v>
      </c>
      <c r="AL1661">
        <f>IFERROR(VLOOKUP("906-496000-110",B:AB,29+8,0),0)</f>
        <v>0</v>
      </c>
      <c r="AM1661">
        <f>IFERROR(VLOOKUP("906-496000-110",B:AB,30+8,0),0)</f>
        <v>0</v>
      </c>
      <c r="AN1661">
        <f>IFERROR(VLOOKUP("906-496000-110",B:AB,31+8,0),0)</f>
        <v>0</v>
      </c>
      <c r="AO1661">
        <f>SUN(INDIRECT(ADDRESS(1660,8)):INDIRECT(ADDRESS(1660,39)))</f>
        <v>0</v>
      </c>
    </row>
    <row r="1662" spans="1:41">
      <c r="H1662" t="s">
        <v>179</v>
      </c>
      <c r="J1662">
        <f>INDIRECT(ADDRESS(1662,9))+INDIRECT(ADDRESS(1660,10))-INDIRECT(ADDRESS(1661,10))</f>
        <v>0</v>
      </c>
      <c r="K1662">
        <f>INDIRECT(ADDRESS(1662,10))+INDIRECT(ADDRESS(1660,11))-INDIRECT(ADDRESS(1661,11))</f>
        <v>0</v>
      </c>
      <c r="L1662">
        <f>INDIRECT(ADDRESS(1662,11))+INDIRECT(ADDRESS(1660,12))-INDIRECT(ADDRESS(1661,12))</f>
        <v>0</v>
      </c>
      <c r="M1662">
        <f>INDIRECT(ADDRESS(1662,12))+INDIRECT(ADDRESS(1660,13))-INDIRECT(ADDRESS(1661,13))</f>
        <v>0</v>
      </c>
      <c r="N1662">
        <f>INDIRECT(ADDRESS(1662,13))+INDIRECT(ADDRESS(1660,14))-INDIRECT(ADDRESS(1661,14))</f>
        <v>0</v>
      </c>
      <c r="O1662">
        <f>INDIRECT(ADDRESS(1662,14))+INDIRECT(ADDRESS(1660,15))-INDIRECT(ADDRESS(1661,15))</f>
        <v>0</v>
      </c>
      <c r="P1662">
        <f>INDIRECT(ADDRESS(1662,15))+INDIRECT(ADDRESS(1660,16))-INDIRECT(ADDRESS(1661,16))</f>
        <v>0</v>
      </c>
      <c r="Q1662">
        <f>INDIRECT(ADDRESS(1662,16))+INDIRECT(ADDRESS(1660,17))-INDIRECT(ADDRESS(1661,17))</f>
        <v>0</v>
      </c>
      <c r="R1662">
        <f>INDIRECT(ADDRESS(1662,17))+INDIRECT(ADDRESS(1660,18))-INDIRECT(ADDRESS(1661,18))</f>
        <v>0</v>
      </c>
      <c r="S1662">
        <f>INDIRECT(ADDRESS(1662,18))+INDIRECT(ADDRESS(1660,19))-INDIRECT(ADDRESS(1661,19))</f>
        <v>0</v>
      </c>
      <c r="T1662">
        <f>INDIRECT(ADDRESS(1662,19))+INDIRECT(ADDRESS(1660,20))-INDIRECT(ADDRESS(1661,20))</f>
        <v>0</v>
      </c>
      <c r="U1662">
        <f>INDIRECT(ADDRESS(1662,20))+INDIRECT(ADDRESS(1660,21))-INDIRECT(ADDRESS(1661,21))</f>
        <v>0</v>
      </c>
      <c r="V1662">
        <f>INDIRECT(ADDRESS(1662,21))+INDIRECT(ADDRESS(1660,22))-INDIRECT(ADDRESS(1661,22))</f>
        <v>0</v>
      </c>
      <c r="W1662">
        <f>INDIRECT(ADDRESS(1662,22))+INDIRECT(ADDRESS(1660,23))-INDIRECT(ADDRESS(1661,23))</f>
        <v>0</v>
      </c>
      <c r="X1662">
        <f>INDIRECT(ADDRESS(1662,23))+INDIRECT(ADDRESS(1660,24))-INDIRECT(ADDRESS(1661,24))</f>
        <v>0</v>
      </c>
      <c r="Y1662">
        <f>INDIRECT(ADDRESS(1662,24))+INDIRECT(ADDRESS(1660,25))-INDIRECT(ADDRESS(1661,25))</f>
        <v>0</v>
      </c>
      <c r="Z1662">
        <f>INDIRECT(ADDRESS(1662,25))+INDIRECT(ADDRESS(1660,26))-INDIRECT(ADDRESS(1661,26))</f>
        <v>0</v>
      </c>
      <c r="AA1662">
        <f>INDIRECT(ADDRESS(1662,26))+INDIRECT(ADDRESS(1660,27))-INDIRECT(ADDRESS(1661,27))</f>
        <v>0</v>
      </c>
      <c r="AB1662">
        <f>INDIRECT(ADDRESS(1662,27))+INDIRECT(ADDRESS(1660,28))-INDIRECT(ADDRESS(1661,28))</f>
        <v>0</v>
      </c>
      <c r="AC1662">
        <f>INDIRECT(ADDRESS(1662,28))+INDIRECT(ADDRESS(1660,29))-INDIRECT(ADDRESS(1661,29))</f>
        <v>0</v>
      </c>
      <c r="AD1662">
        <f>INDIRECT(ADDRESS(1662,29))+INDIRECT(ADDRESS(1660,30))-INDIRECT(ADDRESS(1661,30))</f>
        <v>0</v>
      </c>
      <c r="AE1662">
        <f>INDIRECT(ADDRESS(1662,30))+INDIRECT(ADDRESS(1660,31))-INDIRECT(ADDRESS(1661,31))</f>
        <v>0</v>
      </c>
      <c r="AF1662">
        <f>INDIRECT(ADDRESS(1662,31))+INDIRECT(ADDRESS(1660,32))-INDIRECT(ADDRESS(1661,32))</f>
        <v>0</v>
      </c>
      <c r="AG1662">
        <f>INDIRECT(ADDRESS(1662,32))+INDIRECT(ADDRESS(1660,33))-INDIRECT(ADDRESS(1661,33))</f>
        <v>0</v>
      </c>
      <c r="AH1662">
        <f>INDIRECT(ADDRESS(1662,33))+INDIRECT(ADDRESS(1660,34))-INDIRECT(ADDRESS(1661,34))</f>
        <v>0</v>
      </c>
      <c r="AI1662">
        <f>INDIRECT(ADDRESS(1662,34))+INDIRECT(ADDRESS(1660,35))-INDIRECT(ADDRESS(1661,35))</f>
        <v>0</v>
      </c>
      <c r="AJ1662">
        <f>INDIRECT(ADDRESS(1662,35))+INDIRECT(ADDRESS(1660,36))-INDIRECT(ADDRESS(1661,36))</f>
        <v>0</v>
      </c>
      <c r="AK1662">
        <f>INDIRECT(ADDRESS(1662,36))+INDIRECT(ADDRESS(1660,37))-INDIRECT(ADDRESS(1661,37))</f>
        <v>0</v>
      </c>
      <c r="AL1662">
        <f>INDIRECT(ADDRESS(1662,37))+INDIRECT(ADDRESS(1660,38))-INDIRECT(ADDRESS(1661,38))</f>
        <v>0</v>
      </c>
      <c r="AM1662">
        <f>INDIRECT(ADDRESS(1662,38))+INDIRECT(ADDRESS(1660,39))-INDIRECT(ADDRESS(1661,39))</f>
        <v>0</v>
      </c>
      <c r="AN1662">
        <f>INDIRECT(ADDRESS(1662,39))+INDIRECT(ADDRESS(1660,40))-INDIRECT(ADDRESS(1661,40))</f>
        <v>0</v>
      </c>
      <c r="AO1662">
        <f>SUM(INDIRECT(ADDRESS(1661,8)):INDIRECT(ADDRESS(1661,39)))</f>
        <v>0</v>
      </c>
    </row>
    <row r="1663" spans="1:41">
      <c r="A1663" t="s">
        <v>185</v>
      </c>
      <c r="B1663" t="s">
        <v>780</v>
      </c>
      <c r="C1663" t="s">
        <v>781</v>
      </c>
      <c r="E1663">
        <v>1</v>
      </c>
      <c r="I1663" t="s">
        <v>177</v>
      </c>
    </row>
    <row r="1664" spans="1:41">
      <c r="I1664" t="s">
        <v>178</v>
      </c>
      <c r="J1664">
        <f>IFERROR(VLOOKUP("906-496000-110",B:AB,1+8,0),0)</f>
        <v>0</v>
      </c>
      <c r="K1664">
        <f>IFERROR(VLOOKUP("906-496000-110",B:AB,2+8,0),0)</f>
        <v>0</v>
      </c>
      <c r="L1664">
        <f>IFERROR(VLOOKUP("906-496000-110",B:AB,3+8,0),0)</f>
        <v>0</v>
      </c>
      <c r="M1664">
        <f>IFERROR(VLOOKUP("906-496000-110",B:AB,4+8,0),0)</f>
        <v>0</v>
      </c>
      <c r="N1664">
        <f>IFERROR(VLOOKUP("906-496000-110",B:AB,5+8,0),0)</f>
        <v>0</v>
      </c>
      <c r="O1664">
        <f>IFERROR(VLOOKUP("906-496000-110",B:AB,6+8,0),0)</f>
        <v>0</v>
      </c>
      <c r="P1664">
        <f>IFERROR(VLOOKUP("906-496000-110",B:AB,7+8,0),0)</f>
        <v>0</v>
      </c>
      <c r="Q1664">
        <f>IFERROR(VLOOKUP("906-496000-110",B:AB,8+8,0),0)</f>
        <v>0</v>
      </c>
      <c r="R1664">
        <f>IFERROR(VLOOKUP("906-496000-110",B:AB,9+8,0),0)</f>
        <v>0</v>
      </c>
      <c r="S1664">
        <f>IFERROR(VLOOKUP("906-496000-110",B:AB,10+8,0),0)</f>
        <v>0</v>
      </c>
      <c r="T1664">
        <f>IFERROR(VLOOKUP("906-496000-110",B:AB,11+8,0),0)</f>
        <v>0</v>
      </c>
      <c r="U1664">
        <f>IFERROR(VLOOKUP("906-496000-110",B:AB,12+8,0),0)</f>
        <v>0</v>
      </c>
      <c r="V1664">
        <f>IFERROR(VLOOKUP("906-496000-110",B:AB,13+8,0),0)</f>
        <v>0</v>
      </c>
      <c r="W1664">
        <f>IFERROR(VLOOKUP("906-496000-110",B:AB,14+8,0),0)</f>
        <v>0</v>
      </c>
      <c r="X1664">
        <f>IFERROR(VLOOKUP("906-496000-110",B:AB,15+8,0),0)</f>
        <v>0</v>
      </c>
      <c r="Y1664">
        <f>IFERROR(VLOOKUP("906-496000-110",B:AB,16+8,0),0)</f>
        <v>0</v>
      </c>
      <c r="Z1664">
        <f>IFERROR(VLOOKUP("906-496000-110",B:AB,17+8,0),0)</f>
        <v>0</v>
      </c>
      <c r="AA1664">
        <f>IFERROR(VLOOKUP("906-496000-110",B:AB,18+8,0),0)</f>
        <v>0</v>
      </c>
      <c r="AB1664">
        <f>IFERROR(VLOOKUP("906-496000-110",B:AB,19+8,0),0)</f>
        <v>0</v>
      </c>
      <c r="AC1664">
        <f>IFERROR(VLOOKUP("906-496000-110",B:AB,20+8,0),0)</f>
        <v>0</v>
      </c>
      <c r="AD1664">
        <f>IFERROR(VLOOKUP("906-496000-110",B:AB,21+8,0),0)</f>
        <v>0</v>
      </c>
      <c r="AE1664">
        <f>IFERROR(VLOOKUP("906-496000-110",B:AB,22+8,0),0)</f>
        <v>0</v>
      </c>
      <c r="AF1664">
        <f>IFERROR(VLOOKUP("906-496000-110",B:AB,23+8,0),0)</f>
        <v>0</v>
      </c>
      <c r="AG1664">
        <f>IFERROR(VLOOKUP("906-496000-110",B:AB,24+8,0),0)</f>
        <v>0</v>
      </c>
      <c r="AH1664">
        <f>IFERROR(VLOOKUP("906-496000-110",B:AB,25+8,0),0)</f>
        <v>0</v>
      </c>
      <c r="AI1664">
        <f>IFERROR(VLOOKUP("906-496000-110",B:AB,26+8,0),0)</f>
        <v>0</v>
      </c>
      <c r="AJ1664">
        <f>IFERROR(VLOOKUP("906-496000-110",B:AB,27+8,0),0)</f>
        <v>0</v>
      </c>
      <c r="AK1664">
        <f>IFERROR(VLOOKUP("906-496000-110",B:AB,28+8,0),0)</f>
        <v>0</v>
      </c>
      <c r="AL1664">
        <f>IFERROR(VLOOKUP("906-496000-110",B:AB,29+8,0),0)</f>
        <v>0</v>
      </c>
      <c r="AM1664">
        <f>IFERROR(VLOOKUP("906-496000-110",B:AB,30+8,0),0)</f>
        <v>0</v>
      </c>
      <c r="AN1664">
        <f>IFERROR(VLOOKUP("906-496000-110",B:AB,31+8,0),0)</f>
        <v>0</v>
      </c>
      <c r="AO1664">
        <f>SUN(INDIRECT(ADDRESS(1663,8)):INDIRECT(ADDRESS(1663,39)))</f>
        <v>0</v>
      </c>
    </row>
    <row r="1665" spans="1:41">
      <c r="H1665" t="s">
        <v>179</v>
      </c>
      <c r="J1665">
        <f>INDIRECT(ADDRESS(1665,9))+INDIRECT(ADDRESS(1663,10))-INDIRECT(ADDRESS(1664,10))</f>
        <v>0</v>
      </c>
      <c r="K1665">
        <f>INDIRECT(ADDRESS(1665,10))+INDIRECT(ADDRESS(1663,11))-INDIRECT(ADDRESS(1664,11))</f>
        <v>0</v>
      </c>
      <c r="L1665">
        <f>INDIRECT(ADDRESS(1665,11))+INDIRECT(ADDRESS(1663,12))-INDIRECT(ADDRESS(1664,12))</f>
        <v>0</v>
      </c>
      <c r="M1665">
        <f>INDIRECT(ADDRESS(1665,12))+INDIRECT(ADDRESS(1663,13))-INDIRECT(ADDRESS(1664,13))</f>
        <v>0</v>
      </c>
      <c r="N1665">
        <f>INDIRECT(ADDRESS(1665,13))+INDIRECT(ADDRESS(1663,14))-INDIRECT(ADDRESS(1664,14))</f>
        <v>0</v>
      </c>
      <c r="O1665">
        <f>INDIRECT(ADDRESS(1665,14))+INDIRECT(ADDRESS(1663,15))-INDIRECT(ADDRESS(1664,15))</f>
        <v>0</v>
      </c>
      <c r="P1665">
        <f>INDIRECT(ADDRESS(1665,15))+INDIRECT(ADDRESS(1663,16))-INDIRECT(ADDRESS(1664,16))</f>
        <v>0</v>
      </c>
      <c r="Q1665">
        <f>INDIRECT(ADDRESS(1665,16))+INDIRECT(ADDRESS(1663,17))-INDIRECT(ADDRESS(1664,17))</f>
        <v>0</v>
      </c>
      <c r="R1665">
        <f>INDIRECT(ADDRESS(1665,17))+INDIRECT(ADDRESS(1663,18))-INDIRECT(ADDRESS(1664,18))</f>
        <v>0</v>
      </c>
      <c r="S1665">
        <f>INDIRECT(ADDRESS(1665,18))+INDIRECT(ADDRESS(1663,19))-INDIRECT(ADDRESS(1664,19))</f>
        <v>0</v>
      </c>
      <c r="T1665">
        <f>INDIRECT(ADDRESS(1665,19))+INDIRECT(ADDRESS(1663,20))-INDIRECT(ADDRESS(1664,20))</f>
        <v>0</v>
      </c>
      <c r="U1665">
        <f>INDIRECT(ADDRESS(1665,20))+INDIRECT(ADDRESS(1663,21))-INDIRECT(ADDRESS(1664,21))</f>
        <v>0</v>
      </c>
      <c r="V1665">
        <f>INDIRECT(ADDRESS(1665,21))+INDIRECT(ADDRESS(1663,22))-INDIRECT(ADDRESS(1664,22))</f>
        <v>0</v>
      </c>
      <c r="W1665">
        <f>INDIRECT(ADDRESS(1665,22))+INDIRECT(ADDRESS(1663,23))-INDIRECT(ADDRESS(1664,23))</f>
        <v>0</v>
      </c>
      <c r="X1665">
        <f>INDIRECT(ADDRESS(1665,23))+INDIRECT(ADDRESS(1663,24))-INDIRECT(ADDRESS(1664,24))</f>
        <v>0</v>
      </c>
      <c r="Y1665">
        <f>INDIRECT(ADDRESS(1665,24))+INDIRECT(ADDRESS(1663,25))-INDIRECT(ADDRESS(1664,25))</f>
        <v>0</v>
      </c>
      <c r="Z1665">
        <f>INDIRECT(ADDRESS(1665,25))+INDIRECT(ADDRESS(1663,26))-INDIRECT(ADDRESS(1664,26))</f>
        <v>0</v>
      </c>
      <c r="AA1665">
        <f>INDIRECT(ADDRESS(1665,26))+INDIRECT(ADDRESS(1663,27))-INDIRECT(ADDRESS(1664,27))</f>
        <v>0</v>
      </c>
      <c r="AB1665">
        <f>INDIRECT(ADDRESS(1665,27))+INDIRECT(ADDRESS(1663,28))-INDIRECT(ADDRESS(1664,28))</f>
        <v>0</v>
      </c>
      <c r="AC1665">
        <f>INDIRECT(ADDRESS(1665,28))+INDIRECT(ADDRESS(1663,29))-INDIRECT(ADDRESS(1664,29))</f>
        <v>0</v>
      </c>
      <c r="AD1665">
        <f>INDIRECT(ADDRESS(1665,29))+INDIRECT(ADDRESS(1663,30))-INDIRECT(ADDRESS(1664,30))</f>
        <v>0</v>
      </c>
      <c r="AE1665">
        <f>INDIRECT(ADDRESS(1665,30))+INDIRECT(ADDRESS(1663,31))-INDIRECT(ADDRESS(1664,31))</f>
        <v>0</v>
      </c>
      <c r="AF1665">
        <f>INDIRECT(ADDRESS(1665,31))+INDIRECT(ADDRESS(1663,32))-INDIRECT(ADDRESS(1664,32))</f>
        <v>0</v>
      </c>
      <c r="AG1665">
        <f>INDIRECT(ADDRESS(1665,32))+INDIRECT(ADDRESS(1663,33))-INDIRECT(ADDRESS(1664,33))</f>
        <v>0</v>
      </c>
      <c r="AH1665">
        <f>INDIRECT(ADDRESS(1665,33))+INDIRECT(ADDRESS(1663,34))-INDIRECT(ADDRESS(1664,34))</f>
        <v>0</v>
      </c>
      <c r="AI1665">
        <f>INDIRECT(ADDRESS(1665,34))+INDIRECT(ADDRESS(1663,35))-INDIRECT(ADDRESS(1664,35))</f>
        <v>0</v>
      </c>
      <c r="AJ1665">
        <f>INDIRECT(ADDRESS(1665,35))+INDIRECT(ADDRESS(1663,36))-INDIRECT(ADDRESS(1664,36))</f>
        <v>0</v>
      </c>
      <c r="AK1665">
        <f>INDIRECT(ADDRESS(1665,36))+INDIRECT(ADDRESS(1663,37))-INDIRECT(ADDRESS(1664,37))</f>
        <v>0</v>
      </c>
      <c r="AL1665">
        <f>INDIRECT(ADDRESS(1665,37))+INDIRECT(ADDRESS(1663,38))-INDIRECT(ADDRESS(1664,38))</f>
        <v>0</v>
      </c>
      <c r="AM1665">
        <f>INDIRECT(ADDRESS(1665,38))+INDIRECT(ADDRESS(1663,39))-INDIRECT(ADDRESS(1664,39))</f>
        <v>0</v>
      </c>
      <c r="AN1665">
        <f>INDIRECT(ADDRESS(1665,39))+INDIRECT(ADDRESS(1663,40))-INDIRECT(ADDRESS(1664,40))</f>
        <v>0</v>
      </c>
      <c r="AO1665">
        <f>SUM(INDIRECT(ADDRESS(1664,8)):INDIRECT(ADDRESS(1664,39)))</f>
        <v>0</v>
      </c>
    </row>
    <row r="1666" spans="1:41">
      <c r="A1666" t="s">
        <v>185</v>
      </c>
      <c r="B1666" t="s">
        <v>782</v>
      </c>
      <c r="C1666" t="s">
        <v>783</v>
      </c>
      <c r="E1666">
        <v>1</v>
      </c>
      <c r="I1666" t="s">
        <v>177</v>
      </c>
    </row>
    <row r="1667" spans="1:41">
      <c r="I1667" t="s">
        <v>178</v>
      </c>
      <c r="J1667">
        <f>IFERROR(VLOOKUP("906-496000-110",B:AB,1+8,0),0)</f>
        <v>0</v>
      </c>
      <c r="K1667">
        <f>IFERROR(VLOOKUP("906-496000-110",B:AB,2+8,0),0)</f>
        <v>0</v>
      </c>
      <c r="L1667">
        <f>IFERROR(VLOOKUP("906-496000-110",B:AB,3+8,0),0)</f>
        <v>0</v>
      </c>
      <c r="M1667">
        <f>IFERROR(VLOOKUP("906-496000-110",B:AB,4+8,0),0)</f>
        <v>0</v>
      </c>
      <c r="N1667">
        <f>IFERROR(VLOOKUP("906-496000-110",B:AB,5+8,0),0)</f>
        <v>0</v>
      </c>
      <c r="O1667">
        <f>IFERROR(VLOOKUP("906-496000-110",B:AB,6+8,0),0)</f>
        <v>0</v>
      </c>
      <c r="P1667">
        <f>IFERROR(VLOOKUP("906-496000-110",B:AB,7+8,0),0)</f>
        <v>0</v>
      </c>
      <c r="Q1667">
        <f>IFERROR(VLOOKUP("906-496000-110",B:AB,8+8,0),0)</f>
        <v>0</v>
      </c>
      <c r="R1667">
        <f>IFERROR(VLOOKUP("906-496000-110",B:AB,9+8,0),0)</f>
        <v>0</v>
      </c>
      <c r="S1667">
        <f>IFERROR(VLOOKUP("906-496000-110",B:AB,10+8,0),0)</f>
        <v>0</v>
      </c>
      <c r="T1667">
        <f>IFERROR(VLOOKUP("906-496000-110",B:AB,11+8,0),0)</f>
        <v>0</v>
      </c>
      <c r="U1667">
        <f>IFERROR(VLOOKUP("906-496000-110",B:AB,12+8,0),0)</f>
        <v>0</v>
      </c>
      <c r="V1667">
        <f>IFERROR(VLOOKUP("906-496000-110",B:AB,13+8,0),0)</f>
        <v>0</v>
      </c>
      <c r="W1667">
        <f>IFERROR(VLOOKUP("906-496000-110",B:AB,14+8,0),0)</f>
        <v>0</v>
      </c>
      <c r="X1667">
        <f>IFERROR(VLOOKUP("906-496000-110",B:AB,15+8,0),0)</f>
        <v>0</v>
      </c>
      <c r="Y1667">
        <f>IFERROR(VLOOKUP("906-496000-110",B:AB,16+8,0),0)</f>
        <v>0</v>
      </c>
      <c r="Z1667">
        <f>IFERROR(VLOOKUP("906-496000-110",B:AB,17+8,0),0)</f>
        <v>0</v>
      </c>
      <c r="AA1667">
        <f>IFERROR(VLOOKUP("906-496000-110",B:AB,18+8,0),0)</f>
        <v>0</v>
      </c>
      <c r="AB1667">
        <f>IFERROR(VLOOKUP("906-496000-110",B:AB,19+8,0),0)</f>
        <v>0</v>
      </c>
      <c r="AC1667">
        <f>IFERROR(VLOOKUP("906-496000-110",B:AB,20+8,0),0)</f>
        <v>0</v>
      </c>
      <c r="AD1667">
        <f>IFERROR(VLOOKUP("906-496000-110",B:AB,21+8,0),0)</f>
        <v>0</v>
      </c>
      <c r="AE1667">
        <f>IFERROR(VLOOKUP("906-496000-110",B:AB,22+8,0),0)</f>
        <v>0</v>
      </c>
      <c r="AF1667">
        <f>IFERROR(VLOOKUP("906-496000-110",B:AB,23+8,0),0)</f>
        <v>0</v>
      </c>
      <c r="AG1667">
        <f>IFERROR(VLOOKUP("906-496000-110",B:AB,24+8,0),0)</f>
        <v>0</v>
      </c>
      <c r="AH1667">
        <f>IFERROR(VLOOKUP("906-496000-110",B:AB,25+8,0),0)</f>
        <v>0</v>
      </c>
      <c r="AI1667">
        <f>IFERROR(VLOOKUP("906-496000-110",B:AB,26+8,0),0)</f>
        <v>0</v>
      </c>
      <c r="AJ1667">
        <f>IFERROR(VLOOKUP("906-496000-110",B:AB,27+8,0),0)</f>
        <v>0</v>
      </c>
      <c r="AK1667">
        <f>IFERROR(VLOOKUP("906-496000-110",B:AB,28+8,0),0)</f>
        <v>0</v>
      </c>
      <c r="AL1667">
        <f>IFERROR(VLOOKUP("906-496000-110",B:AB,29+8,0),0)</f>
        <v>0</v>
      </c>
      <c r="AM1667">
        <f>IFERROR(VLOOKUP("906-496000-110",B:AB,30+8,0),0)</f>
        <v>0</v>
      </c>
      <c r="AN1667">
        <f>IFERROR(VLOOKUP("906-496000-110",B:AB,31+8,0),0)</f>
        <v>0</v>
      </c>
      <c r="AO1667">
        <f>SUN(INDIRECT(ADDRESS(1666,8)):INDIRECT(ADDRESS(1666,39)))</f>
        <v>0</v>
      </c>
    </row>
    <row r="1668" spans="1:41">
      <c r="H1668" t="s">
        <v>179</v>
      </c>
      <c r="J1668">
        <f>INDIRECT(ADDRESS(1668,9))+INDIRECT(ADDRESS(1666,10))-INDIRECT(ADDRESS(1667,10))</f>
        <v>0</v>
      </c>
      <c r="K1668">
        <f>INDIRECT(ADDRESS(1668,10))+INDIRECT(ADDRESS(1666,11))-INDIRECT(ADDRESS(1667,11))</f>
        <v>0</v>
      </c>
      <c r="L1668">
        <f>INDIRECT(ADDRESS(1668,11))+INDIRECT(ADDRESS(1666,12))-INDIRECT(ADDRESS(1667,12))</f>
        <v>0</v>
      </c>
      <c r="M1668">
        <f>INDIRECT(ADDRESS(1668,12))+INDIRECT(ADDRESS(1666,13))-INDIRECT(ADDRESS(1667,13))</f>
        <v>0</v>
      </c>
      <c r="N1668">
        <f>INDIRECT(ADDRESS(1668,13))+INDIRECT(ADDRESS(1666,14))-INDIRECT(ADDRESS(1667,14))</f>
        <v>0</v>
      </c>
      <c r="O1668">
        <f>INDIRECT(ADDRESS(1668,14))+INDIRECT(ADDRESS(1666,15))-INDIRECT(ADDRESS(1667,15))</f>
        <v>0</v>
      </c>
      <c r="P1668">
        <f>INDIRECT(ADDRESS(1668,15))+INDIRECT(ADDRESS(1666,16))-INDIRECT(ADDRESS(1667,16))</f>
        <v>0</v>
      </c>
      <c r="Q1668">
        <f>INDIRECT(ADDRESS(1668,16))+INDIRECT(ADDRESS(1666,17))-INDIRECT(ADDRESS(1667,17))</f>
        <v>0</v>
      </c>
      <c r="R1668">
        <f>INDIRECT(ADDRESS(1668,17))+INDIRECT(ADDRESS(1666,18))-INDIRECT(ADDRESS(1667,18))</f>
        <v>0</v>
      </c>
      <c r="S1668">
        <f>INDIRECT(ADDRESS(1668,18))+INDIRECT(ADDRESS(1666,19))-INDIRECT(ADDRESS(1667,19))</f>
        <v>0</v>
      </c>
      <c r="T1668">
        <f>INDIRECT(ADDRESS(1668,19))+INDIRECT(ADDRESS(1666,20))-INDIRECT(ADDRESS(1667,20))</f>
        <v>0</v>
      </c>
      <c r="U1668">
        <f>INDIRECT(ADDRESS(1668,20))+INDIRECT(ADDRESS(1666,21))-INDIRECT(ADDRESS(1667,21))</f>
        <v>0</v>
      </c>
      <c r="V1668">
        <f>INDIRECT(ADDRESS(1668,21))+INDIRECT(ADDRESS(1666,22))-INDIRECT(ADDRESS(1667,22))</f>
        <v>0</v>
      </c>
      <c r="W1668">
        <f>INDIRECT(ADDRESS(1668,22))+INDIRECT(ADDRESS(1666,23))-INDIRECT(ADDRESS(1667,23))</f>
        <v>0</v>
      </c>
      <c r="X1668">
        <f>INDIRECT(ADDRESS(1668,23))+INDIRECT(ADDRESS(1666,24))-INDIRECT(ADDRESS(1667,24))</f>
        <v>0</v>
      </c>
      <c r="Y1668">
        <f>INDIRECT(ADDRESS(1668,24))+INDIRECT(ADDRESS(1666,25))-INDIRECT(ADDRESS(1667,25))</f>
        <v>0</v>
      </c>
      <c r="Z1668">
        <f>INDIRECT(ADDRESS(1668,25))+INDIRECT(ADDRESS(1666,26))-INDIRECT(ADDRESS(1667,26))</f>
        <v>0</v>
      </c>
      <c r="AA1668">
        <f>INDIRECT(ADDRESS(1668,26))+INDIRECT(ADDRESS(1666,27))-INDIRECT(ADDRESS(1667,27))</f>
        <v>0</v>
      </c>
      <c r="AB1668">
        <f>INDIRECT(ADDRESS(1668,27))+INDIRECT(ADDRESS(1666,28))-INDIRECT(ADDRESS(1667,28))</f>
        <v>0</v>
      </c>
      <c r="AC1668">
        <f>INDIRECT(ADDRESS(1668,28))+INDIRECT(ADDRESS(1666,29))-INDIRECT(ADDRESS(1667,29))</f>
        <v>0</v>
      </c>
      <c r="AD1668">
        <f>INDIRECT(ADDRESS(1668,29))+INDIRECT(ADDRESS(1666,30))-INDIRECT(ADDRESS(1667,30))</f>
        <v>0</v>
      </c>
      <c r="AE1668">
        <f>INDIRECT(ADDRESS(1668,30))+INDIRECT(ADDRESS(1666,31))-INDIRECT(ADDRESS(1667,31))</f>
        <v>0</v>
      </c>
      <c r="AF1668">
        <f>INDIRECT(ADDRESS(1668,31))+INDIRECT(ADDRESS(1666,32))-INDIRECT(ADDRESS(1667,32))</f>
        <v>0</v>
      </c>
      <c r="AG1668">
        <f>INDIRECT(ADDRESS(1668,32))+INDIRECT(ADDRESS(1666,33))-INDIRECT(ADDRESS(1667,33))</f>
        <v>0</v>
      </c>
      <c r="AH1668">
        <f>INDIRECT(ADDRESS(1668,33))+INDIRECT(ADDRESS(1666,34))-INDIRECT(ADDRESS(1667,34))</f>
        <v>0</v>
      </c>
      <c r="AI1668">
        <f>INDIRECT(ADDRESS(1668,34))+INDIRECT(ADDRESS(1666,35))-INDIRECT(ADDRESS(1667,35))</f>
        <v>0</v>
      </c>
      <c r="AJ1668">
        <f>INDIRECT(ADDRESS(1668,35))+INDIRECT(ADDRESS(1666,36))-INDIRECT(ADDRESS(1667,36))</f>
        <v>0</v>
      </c>
      <c r="AK1668">
        <f>INDIRECT(ADDRESS(1668,36))+INDIRECT(ADDRESS(1666,37))-INDIRECT(ADDRESS(1667,37))</f>
        <v>0</v>
      </c>
      <c r="AL1668">
        <f>INDIRECT(ADDRESS(1668,37))+INDIRECT(ADDRESS(1666,38))-INDIRECT(ADDRESS(1667,38))</f>
        <v>0</v>
      </c>
      <c r="AM1668">
        <f>INDIRECT(ADDRESS(1668,38))+INDIRECT(ADDRESS(1666,39))-INDIRECT(ADDRESS(1667,39))</f>
        <v>0</v>
      </c>
      <c r="AN1668">
        <f>INDIRECT(ADDRESS(1668,39))+INDIRECT(ADDRESS(1666,40))-INDIRECT(ADDRESS(1667,40))</f>
        <v>0</v>
      </c>
      <c r="AO1668">
        <f>SUM(INDIRECT(ADDRESS(1667,8)):INDIRECT(ADDRESS(1667,39)))</f>
        <v>0</v>
      </c>
    </row>
    <row r="1669" spans="1:41">
      <c r="A1669" t="s">
        <v>185</v>
      </c>
      <c r="B1669" t="s">
        <v>784</v>
      </c>
      <c r="C1669" t="s">
        <v>785</v>
      </c>
      <c r="E1669">
        <v>1</v>
      </c>
      <c r="I1669" t="s">
        <v>177</v>
      </c>
    </row>
    <row r="1670" spans="1:41">
      <c r="I1670" t="s">
        <v>178</v>
      </c>
      <c r="J1670">
        <f>IFERROR(VLOOKUP("906-496000-110",B:AB,1+8,0),0)</f>
        <v>0</v>
      </c>
      <c r="K1670">
        <f>IFERROR(VLOOKUP("906-496000-110",B:AB,2+8,0),0)</f>
        <v>0</v>
      </c>
      <c r="L1670">
        <f>IFERROR(VLOOKUP("906-496000-110",B:AB,3+8,0),0)</f>
        <v>0</v>
      </c>
      <c r="M1670">
        <f>IFERROR(VLOOKUP("906-496000-110",B:AB,4+8,0),0)</f>
        <v>0</v>
      </c>
      <c r="N1670">
        <f>IFERROR(VLOOKUP("906-496000-110",B:AB,5+8,0),0)</f>
        <v>0</v>
      </c>
      <c r="O1670">
        <f>IFERROR(VLOOKUP("906-496000-110",B:AB,6+8,0),0)</f>
        <v>0</v>
      </c>
      <c r="P1670">
        <f>IFERROR(VLOOKUP("906-496000-110",B:AB,7+8,0),0)</f>
        <v>0</v>
      </c>
      <c r="Q1670">
        <f>IFERROR(VLOOKUP("906-496000-110",B:AB,8+8,0),0)</f>
        <v>0</v>
      </c>
      <c r="R1670">
        <f>IFERROR(VLOOKUP("906-496000-110",B:AB,9+8,0),0)</f>
        <v>0</v>
      </c>
      <c r="S1670">
        <f>IFERROR(VLOOKUP("906-496000-110",B:AB,10+8,0),0)</f>
        <v>0</v>
      </c>
      <c r="T1670">
        <f>IFERROR(VLOOKUP("906-496000-110",B:AB,11+8,0),0)</f>
        <v>0</v>
      </c>
      <c r="U1670">
        <f>IFERROR(VLOOKUP("906-496000-110",B:AB,12+8,0),0)</f>
        <v>0</v>
      </c>
      <c r="V1670">
        <f>IFERROR(VLOOKUP("906-496000-110",B:AB,13+8,0),0)</f>
        <v>0</v>
      </c>
      <c r="W1670">
        <f>IFERROR(VLOOKUP("906-496000-110",B:AB,14+8,0),0)</f>
        <v>0</v>
      </c>
      <c r="X1670">
        <f>IFERROR(VLOOKUP("906-496000-110",B:AB,15+8,0),0)</f>
        <v>0</v>
      </c>
      <c r="Y1670">
        <f>IFERROR(VLOOKUP("906-496000-110",B:AB,16+8,0),0)</f>
        <v>0</v>
      </c>
      <c r="Z1670">
        <f>IFERROR(VLOOKUP("906-496000-110",B:AB,17+8,0),0)</f>
        <v>0</v>
      </c>
      <c r="AA1670">
        <f>IFERROR(VLOOKUP("906-496000-110",B:AB,18+8,0),0)</f>
        <v>0</v>
      </c>
      <c r="AB1670">
        <f>IFERROR(VLOOKUP("906-496000-110",B:AB,19+8,0),0)</f>
        <v>0</v>
      </c>
      <c r="AC1670">
        <f>IFERROR(VLOOKUP("906-496000-110",B:AB,20+8,0),0)</f>
        <v>0</v>
      </c>
      <c r="AD1670">
        <f>IFERROR(VLOOKUP("906-496000-110",B:AB,21+8,0),0)</f>
        <v>0</v>
      </c>
      <c r="AE1670">
        <f>IFERROR(VLOOKUP("906-496000-110",B:AB,22+8,0),0)</f>
        <v>0</v>
      </c>
      <c r="AF1670">
        <f>IFERROR(VLOOKUP("906-496000-110",B:AB,23+8,0),0)</f>
        <v>0</v>
      </c>
      <c r="AG1670">
        <f>IFERROR(VLOOKUP("906-496000-110",B:AB,24+8,0),0)</f>
        <v>0</v>
      </c>
      <c r="AH1670">
        <f>IFERROR(VLOOKUP("906-496000-110",B:AB,25+8,0),0)</f>
        <v>0</v>
      </c>
      <c r="AI1670">
        <f>IFERROR(VLOOKUP("906-496000-110",B:AB,26+8,0),0)</f>
        <v>0</v>
      </c>
      <c r="AJ1670">
        <f>IFERROR(VLOOKUP("906-496000-110",B:AB,27+8,0),0)</f>
        <v>0</v>
      </c>
      <c r="AK1670">
        <f>IFERROR(VLOOKUP("906-496000-110",B:AB,28+8,0),0)</f>
        <v>0</v>
      </c>
      <c r="AL1670">
        <f>IFERROR(VLOOKUP("906-496000-110",B:AB,29+8,0),0)</f>
        <v>0</v>
      </c>
      <c r="AM1670">
        <f>IFERROR(VLOOKUP("906-496000-110",B:AB,30+8,0),0)</f>
        <v>0</v>
      </c>
      <c r="AN1670">
        <f>IFERROR(VLOOKUP("906-496000-110",B:AB,31+8,0),0)</f>
        <v>0</v>
      </c>
      <c r="AO1670">
        <f>SUN(INDIRECT(ADDRESS(1669,8)):INDIRECT(ADDRESS(1669,39)))</f>
        <v>0</v>
      </c>
    </row>
    <row r="1671" spans="1:41">
      <c r="H1671" t="s">
        <v>179</v>
      </c>
      <c r="J1671">
        <f>INDIRECT(ADDRESS(1671,9))+INDIRECT(ADDRESS(1669,10))-INDIRECT(ADDRESS(1670,10))</f>
        <v>0</v>
      </c>
      <c r="K1671">
        <f>INDIRECT(ADDRESS(1671,10))+INDIRECT(ADDRESS(1669,11))-INDIRECT(ADDRESS(1670,11))</f>
        <v>0</v>
      </c>
      <c r="L1671">
        <f>INDIRECT(ADDRESS(1671,11))+INDIRECT(ADDRESS(1669,12))-INDIRECT(ADDRESS(1670,12))</f>
        <v>0</v>
      </c>
      <c r="M1671">
        <f>INDIRECT(ADDRESS(1671,12))+INDIRECT(ADDRESS(1669,13))-INDIRECT(ADDRESS(1670,13))</f>
        <v>0</v>
      </c>
      <c r="N1671">
        <f>INDIRECT(ADDRESS(1671,13))+INDIRECT(ADDRESS(1669,14))-INDIRECT(ADDRESS(1670,14))</f>
        <v>0</v>
      </c>
      <c r="O1671">
        <f>INDIRECT(ADDRESS(1671,14))+INDIRECT(ADDRESS(1669,15))-INDIRECT(ADDRESS(1670,15))</f>
        <v>0</v>
      </c>
      <c r="P1671">
        <f>INDIRECT(ADDRESS(1671,15))+INDIRECT(ADDRESS(1669,16))-INDIRECT(ADDRESS(1670,16))</f>
        <v>0</v>
      </c>
      <c r="Q1671">
        <f>INDIRECT(ADDRESS(1671,16))+INDIRECT(ADDRESS(1669,17))-INDIRECT(ADDRESS(1670,17))</f>
        <v>0</v>
      </c>
      <c r="R1671">
        <f>INDIRECT(ADDRESS(1671,17))+INDIRECT(ADDRESS(1669,18))-INDIRECT(ADDRESS(1670,18))</f>
        <v>0</v>
      </c>
      <c r="S1671">
        <f>INDIRECT(ADDRESS(1671,18))+INDIRECT(ADDRESS(1669,19))-INDIRECT(ADDRESS(1670,19))</f>
        <v>0</v>
      </c>
      <c r="T1671">
        <f>INDIRECT(ADDRESS(1671,19))+INDIRECT(ADDRESS(1669,20))-INDIRECT(ADDRESS(1670,20))</f>
        <v>0</v>
      </c>
      <c r="U1671">
        <f>INDIRECT(ADDRESS(1671,20))+INDIRECT(ADDRESS(1669,21))-INDIRECT(ADDRESS(1670,21))</f>
        <v>0</v>
      </c>
      <c r="V1671">
        <f>INDIRECT(ADDRESS(1671,21))+INDIRECT(ADDRESS(1669,22))-INDIRECT(ADDRESS(1670,22))</f>
        <v>0</v>
      </c>
      <c r="W1671">
        <f>INDIRECT(ADDRESS(1671,22))+INDIRECT(ADDRESS(1669,23))-INDIRECT(ADDRESS(1670,23))</f>
        <v>0</v>
      </c>
      <c r="X1671">
        <f>INDIRECT(ADDRESS(1671,23))+INDIRECT(ADDRESS(1669,24))-INDIRECT(ADDRESS(1670,24))</f>
        <v>0</v>
      </c>
      <c r="Y1671">
        <f>INDIRECT(ADDRESS(1671,24))+INDIRECT(ADDRESS(1669,25))-INDIRECT(ADDRESS(1670,25))</f>
        <v>0</v>
      </c>
      <c r="Z1671">
        <f>INDIRECT(ADDRESS(1671,25))+INDIRECT(ADDRESS(1669,26))-INDIRECT(ADDRESS(1670,26))</f>
        <v>0</v>
      </c>
      <c r="AA1671">
        <f>INDIRECT(ADDRESS(1671,26))+INDIRECT(ADDRESS(1669,27))-INDIRECT(ADDRESS(1670,27))</f>
        <v>0</v>
      </c>
      <c r="AB1671">
        <f>INDIRECT(ADDRESS(1671,27))+INDIRECT(ADDRESS(1669,28))-INDIRECT(ADDRESS(1670,28))</f>
        <v>0</v>
      </c>
      <c r="AC1671">
        <f>INDIRECT(ADDRESS(1671,28))+INDIRECT(ADDRESS(1669,29))-INDIRECT(ADDRESS(1670,29))</f>
        <v>0</v>
      </c>
      <c r="AD1671">
        <f>INDIRECT(ADDRESS(1671,29))+INDIRECT(ADDRESS(1669,30))-INDIRECT(ADDRESS(1670,30))</f>
        <v>0</v>
      </c>
      <c r="AE1671">
        <f>INDIRECT(ADDRESS(1671,30))+INDIRECT(ADDRESS(1669,31))-INDIRECT(ADDRESS(1670,31))</f>
        <v>0</v>
      </c>
      <c r="AF1671">
        <f>INDIRECT(ADDRESS(1671,31))+INDIRECT(ADDRESS(1669,32))-INDIRECT(ADDRESS(1670,32))</f>
        <v>0</v>
      </c>
      <c r="AG1671">
        <f>INDIRECT(ADDRESS(1671,32))+INDIRECT(ADDRESS(1669,33))-INDIRECT(ADDRESS(1670,33))</f>
        <v>0</v>
      </c>
      <c r="AH1671">
        <f>INDIRECT(ADDRESS(1671,33))+INDIRECT(ADDRESS(1669,34))-INDIRECT(ADDRESS(1670,34))</f>
        <v>0</v>
      </c>
      <c r="AI1671">
        <f>INDIRECT(ADDRESS(1671,34))+INDIRECT(ADDRESS(1669,35))-INDIRECT(ADDRESS(1670,35))</f>
        <v>0</v>
      </c>
      <c r="AJ1671">
        <f>INDIRECT(ADDRESS(1671,35))+INDIRECT(ADDRESS(1669,36))-INDIRECT(ADDRESS(1670,36))</f>
        <v>0</v>
      </c>
      <c r="AK1671">
        <f>INDIRECT(ADDRESS(1671,36))+INDIRECT(ADDRESS(1669,37))-INDIRECT(ADDRESS(1670,37))</f>
        <v>0</v>
      </c>
      <c r="AL1671">
        <f>INDIRECT(ADDRESS(1671,37))+INDIRECT(ADDRESS(1669,38))-INDIRECT(ADDRESS(1670,38))</f>
        <v>0</v>
      </c>
      <c r="AM1671">
        <f>INDIRECT(ADDRESS(1671,38))+INDIRECT(ADDRESS(1669,39))-INDIRECT(ADDRESS(1670,39))</f>
        <v>0</v>
      </c>
      <c r="AN1671">
        <f>INDIRECT(ADDRESS(1671,39))+INDIRECT(ADDRESS(1669,40))-INDIRECT(ADDRESS(1670,40))</f>
        <v>0</v>
      </c>
      <c r="AO1671">
        <f>SUM(INDIRECT(ADDRESS(1670,8)):INDIRECT(ADDRESS(1670,39)))</f>
        <v>0</v>
      </c>
    </row>
    <row r="1672" spans="1:41">
      <c r="A1672" t="s">
        <v>185</v>
      </c>
      <c r="B1672" t="s">
        <v>786</v>
      </c>
      <c r="C1672" t="s">
        <v>787</v>
      </c>
      <c r="E1672">
        <v>1</v>
      </c>
      <c r="I1672" t="s">
        <v>177</v>
      </c>
    </row>
    <row r="1673" spans="1:41">
      <c r="I1673" t="s">
        <v>178</v>
      </c>
      <c r="J1673">
        <f>IFERROR(VLOOKUP("906-496000-110",B:AB,1+8,0),0)</f>
        <v>0</v>
      </c>
      <c r="K1673">
        <f>IFERROR(VLOOKUP("906-496000-110",B:AB,2+8,0),0)</f>
        <v>0</v>
      </c>
      <c r="L1673">
        <f>IFERROR(VLOOKUP("906-496000-110",B:AB,3+8,0),0)</f>
        <v>0</v>
      </c>
      <c r="M1673">
        <f>IFERROR(VLOOKUP("906-496000-110",B:AB,4+8,0),0)</f>
        <v>0</v>
      </c>
      <c r="N1673">
        <f>IFERROR(VLOOKUP("906-496000-110",B:AB,5+8,0),0)</f>
        <v>0</v>
      </c>
      <c r="O1673">
        <f>IFERROR(VLOOKUP("906-496000-110",B:AB,6+8,0),0)</f>
        <v>0</v>
      </c>
      <c r="P1673">
        <f>IFERROR(VLOOKUP("906-496000-110",B:AB,7+8,0),0)</f>
        <v>0</v>
      </c>
      <c r="Q1673">
        <f>IFERROR(VLOOKUP("906-496000-110",B:AB,8+8,0),0)</f>
        <v>0</v>
      </c>
      <c r="R1673">
        <f>IFERROR(VLOOKUP("906-496000-110",B:AB,9+8,0),0)</f>
        <v>0</v>
      </c>
      <c r="S1673">
        <f>IFERROR(VLOOKUP("906-496000-110",B:AB,10+8,0),0)</f>
        <v>0</v>
      </c>
      <c r="T1673">
        <f>IFERROR(VLOOKUP("906-496000-110",B:AB,11+8,0),0)</f>
        <v>0</v>
      </c>
      <c r="U1673">
        <f>IFERROR(VLOOKUP("906-496000-110",B:AB,12+8,0),0)</f>
        <v>0</v>
      </c>
      <c r="V1673">
        <f>IFERROR(VLOOKUP("906-496000-110",B:AB,13+8,0),0)</f>
        <v>0</v>
      </c>
      <c r="W1673">
        <f>IFERROR(VLOOKUP("906-496000-110",B:AB,14+8,0),0)</f>
        <v>0</v>
      </c>
      <c r="X1673">
        <f>IFERROR(VLOOKUP("906-496000-110",B:AB,15+8,0),0)</f>
        <v>0</v>
      </c>
      <c r="Y1673">
        <f>IFERROR(VLOOKUP("906-496000-110",B:AB,16+8,0),0)</f>
        <v>0</v>
      </c>
      <c r="Z1673">
        <f>IFERROR(VLOOKUP("906-496000-110",B:AB,17+8,0),0)</f>
        <v>0</v>
      </c>
      <c r="AA1673">
        <f>IFERROR(VLOOKUP("906-496000-110",B:AB,18+8,0),0)</f>
        <v>0</v>
      </c>
      <c r="AB1673">
        <f>IFERROR(VLOOKUP("906-496000-110",B:AB,19+8,0),0)</f>
        <v>0</v>
      </c>
      <c r="AC1673">
        <f>IFERROR(VLOOKUP("906-496000-110",B:AB,20+8,0),0)</f>
        <v>0</v>
      </c>
      <c r="AD1673">
        <f>IFERROR(VLOOKUP("906-496000-110",B:AB,21+8,0),0)</f>
        <v>0</v>
      </c>
      <c r="AE1673">
        <f>IFERROR(VLOOKUP("906-496000-110",B:AB,22+8,0),0)</f>
        <v>0</v>
      </c>
      <c r="AF1673">
        <f>IFERROR(VLOOKUP("906-496000-110",B:AB,23+8,0),0)</f>
        <v>0</v>
      </c>
      <c r="AG1673">
        <f>IFERROR(VLOOKUP("906-496000-110",B:AB,24+8,0),0)</f>
        <v>0</v>
      </c>
      <c r="AH1673">
        <f>IFERROR(VLOOKUP("906-496000-110",B:AB,25+8,0),0)</f>
        <v>0</v>
      </c>
      <c r="AI1673">
        <f>IFERROR(VLOOKUP("906-496000-110",B:AB,26+8,0),0)</f>
        <v>0</v>
      </c>
      <c r="AJ1673">
        <f>IFERROR(VLOOKUP("906-496000-110",B:AB,27+8,0),0)</f>
        <v>0</v>
      </c>
      <c r="AK1673">
        <f>IFERROR(VLOOKUP("906-496000-110",B:AB,28+8,0),0)</f>
        <v>0</v>
      </c>
      <c r="AL1673">
        <f>IFERROR(VLOOKUP("906-496000-110",B:AB,29+8,0),0)</f>
        <v>0</v>
      </c>
      <c r="AM1673">
        <f>IFERROR(VLOOKUP("906-496000-110",B:AB,30+8,0),0)</f>
        <v>0</v>
      </c>
      <c r="AN1673">
        <f>IFERROR(VLOOKUP("906-496000-110",B:AB,31+8,0),0)</f>
        <v>0</v>
      </c>
      <c r="AO1673">
        <f>SUN(INDIRECT(ADDRESS(1672,8)):INDIRECT(ADDRESS(1672,39)))</f>
        <v>0</v>
      </c>
    </row>
    <row r="1674" spans="1:41">
      <c r="H1674" t="s">
        <v>179</v>
      </c>
      <c r="J1674">
        <f>INDIRECT(ADDRESS(1674,9))+INDIRECT(ADDRESS(1672,10))-INDIRECT(ADDRESS(1673,10))</f>
        <v>0</v>
      </c>
      <c r="K1674">
        <f>INDIRECT(ADDRESS(1674,10))+INDIRECT(ADDRESS(1672,11))-INDIRECT(ADDRESS(1673,11))</f>
        <v>0</v>
      </c>
      <c r="L1674">
        <f>INDIRECT(ADDRESS(1674,11))+INDIRECT(ADDRESS(1672,12))-INDIRECT(ADDRESS(1673,12))</f>
        <v>0</v>
      </c>
      <c r="M1674">
        <f>INDIRECT(ADDRESS(1674,12))+INDIRECT(ADDRESS(1672,13))-INDIRECT(ADDRESS(1673,13))</f>
        <v>0</v>
      </c>
      <c r="N1674">
        <f>INDIRECT(ADDRESS(1674,13))+INDIRECT(ADDRESS(1672,14))-INDIRECT(ADDRESS(1673,14))</f>
        <v>0</v>
      </c>
      <c r="O1674">
        <f>INDIRECT(ADDRESS(1674,14))+INDIRECT(ADDRESS(1672,15))-INDIRECT(ADDRESS(1673,15))</f>
        <v>0</v>
      </c>
      <c r="P1674">
        <f>INDIRECT(ADDRESS(1674,15))+INDIRECT(ADDRESS(1672,16))-INDIRECT(ADDRESS(1673,16))</f>
        <v>0</v>
      </c>
      <c r="Q1674">
        <f>INDIRECT(ADDRESS(1674,16))+INDIRECT(ADDRESS(1672,17))-INDIRECT(ADDRESS(1673,17))</f>
        <v>0</v>
      </c>
      <c r="R1674">
        <f>INDIRECT(ADDRESS(1674,17))+INDIRECT(ADDRESS(1672,18))-INDIRECT(ADDRESS(1673,18))</f>
        <v>0</v>
      </c>
      <c r="S1674">
        <f>INDIRECT(ADDRESS(1674,18))+INDIRECT(ADDRESS(1672,19))-INDIRECT(ADDRESS(1673,19))</f>
        <v>0</v>
      </c>
      <c r="T1674">
        <f>INDIRECT(ADDRESS(1674,19))+INDIRECT(ADDRESS(1672,20))-INDIRECT(ADDRESS(1673,20))</f>
        <v>0</v>
      </c>
      <c r="U1674">
        <f>INDIRECT(ADDRESS(1674,20))+INDIRECT(ADDRESS(1672,21))-INDIRECT(ADDRESS(1673,21))</f>
        <v>0</v>
      </c>
      <c r="V1674">
        <f>INDIRECT(ADDRESS(1674,21))+INDIRECT(ADDRESS(1672,22))-INDIRECT(ADDRESS(1673,22))</f>
        <v>0</v>
      </c>
      <c r="W1674">
        <f>INDIRECT(ADDRESS(1674,22))+INDIRECT(ADDRESS(1672,23))-INDIRECT(ADDRESS(1673,23))</f>
        <v>0</v>
      </c>
      <c r="X1674">
        <f>INDIRECT(ADDRESS(1674,23))+INDIRECT(ADDRESS(1672,24))-INDIRECT(ADDRESS(1673,24))</f>
        <v>0</v>
      </c>
      <c r="Y1674">
        <f>INDIRECT(ADDRESS(1674,24))+INDIRECT(ADDRESS(1672,25))-INDIRECT(ADDRESS(1673,25))</f>
        <v>0</v>
      </c>
      <c r="Z1674">
        <f>INDIRECT(ADDRESS(1674,25))+INDIRECT(ADDRESS(1672,26))-INDIRECT(ADDRESS(1673,26))</f>
        <v>0</v>
      </c>
      <c r="AA1674">
        <f>INDIRECT(ADDRESS(1674,26))+INDIRECT(ADDRESS(1672,27))-INDIRECT(ADDRESS(1673,27))</f>
        <v>0</v>
      </c>
      <c r="AB1674">
        <f>INDIRECT(ADDRESS(1674,27))+INDIRECT(ADDRESS(1672,28))-INDIRECT(ADDRESS(1673,28))</f>
        <v>0</v>
      </c>
      <c r="AC1674">
        <f>INDIRECT(ADDRESS(1674,28))+INDIRECT(ADDRESS(1672,29))-INDIRECT(ADDRESS(1673,29))</f>
        <v>0</v>
      </c>
      <c r="AD1674">
        <f>INDIRECT(ADDRESS(1674,29))+INDIRECT(ADDRESS(1672,30))-INDIRECT(ADDRESS(1673,30))</f>
        <v>0</v>
      </c>
      <c r="AE1674">
        <f>INDIRECT(ADDRESS(1674,30))+INDIRECT(ADDRESS(1672,31))-INDIRECT(ADDRESS(1673,31))</f>
        <v>0</v>
      </c>
      <c r="AF1674">
        <f>INDIRECT(ADDRESS(1674,31))+INDIRECT(ADDRESS(1672,32))-INDIRECT(ADDRESS(1673,32))</f>
        <v>0</v>
      </c>
      <c r="AG1674">
        <f>INDIRECT(ADDRESS(1674,32))+INDIRECT(ADDRESS(1672,33))-INDIRECT(ADDRESS(1673,33))</f>
        <v>0</v>
      </c>
      <c r="AH1674">
        <f>INDIRECT(ADDRESS(1674,33))+INDIRECT(ADDRESS(1672,34))-INDIRECT(ADDRESS(1673,34))</f>
        <v>0</v>
      </c>
      <c r="AI1674">
        <f>INDIRECT(ADDRESS(1674,34))+INDIRECT(ADDRESS(1672,35))-INDIRECT(ADDRESS(1673,35))</f>
        <v>0</v>
      </c>
      <c r="AJ1674">
        <f>INDIRECT(ADDRESS(1674,35))+INDIRECT(ADDRESS(1672,36))-INDIRECT(ADDRESS(1673,36))</f>
        <v>0</v>
      </c>
      <c r="AK1674">
        <f>INDIRECT(ADDRESS(1674,36))+INDIRECT(ADDRESS(1672,37))-INDIRECT(ADDRESS(1673,37))</f>
        <v>0</v>
      </c>
      <c r="AL1674">
        <f>INDIRECT(ADDRESS(1674,37))+INDIRECT(ADDRESS(1672,38))-INDIRECT(ADDRESS(1673,38))</f>
        <v>0</v>
      </c>
      <c r="AM1674">
        <f>INDIRECT(ADDRESS(1674,38))+INDIRECT(ADDRESS(1672,39))-INDIRECT(ADDRESS(1673,39))</f>
        <v>0</v>
      </c>
      <c r="AN1674">
        <f>INDIRECT(ADDRESS(1674,39))+INDIRECT(ADDRESS(1672,40))-INDIRECT(ADDRESS(1673,40))</f>
        <v>0</v>
      </c>
      <c r="AO1674">
        <f>SUM(INDIRECT(ADDRESS(1673,8)):INDIRECT(ADDRESS(1673,39)))</f>
        <v>0</v>
      </c>
    </row>
    <row r="1675" spans="1:41">
      <c r="A1675" t="s">
        <v>185</v>
      </c>
      <c r="B1675" t="s">
        <v>788</v>
      </c>
      <c r="C1675" t="s">
        <v>789</v>
      </c>
      <c r="E1675">
        <v>1</v>
      </c>
      <c r="I1675" t="s">
        <v>177</v>
      </c>
    </row>
    <row r="1676" spans="1:41">
      <c r="I1676" t="s">
        <v>178</v>
      </c>
      <c r="J1676">
        <f>IFERROR(VLOOKUP("906-496000-110",B:AB,1+8,0),0)</f>
        <v>0</v>
      </c>
      <c r="K1676">
        <f>IFERROR(VLOOKUP("906-496000-110",B:AB,2+8,0),0)</f>
        <v>0</v>
      </c>
      <c r="L1676">
        <f>IFERROR(VLOOKUP("906-496000-110",B:AB,3+8,0),0)</f>
        <v>0</v>
      </c>
      <c r="M1676">
        <f>IFERROR(VLOOKUP("906-496000-110",B:AB,4+8,0),0)</f>
        <v>0</v>
      </c>
      <c r="N1676">
        <f>IFERROR(VLOOKUP("906-496000-110",B:AB,5+8,0),0)</f>
        <v>0</v>
      </c>
      <c r="O1676">
        <f>IFERROR(VLOOKUP("906-496000-110",B:AB,6+8,0),0)</f>
        <v>0</v>
      </c>
      <c r="P1676">
        <f>IFERROR(VLOOKUP("906-496000-110",B:AB,7+8,0),0)</f>
        <v>0</v>
      </c>
      <c r="Q1676">
        <f>IFERROR(VLOOKUP("906-496000-110",B:AB,8+8,0),0)</f>
        <v>0</v>
      </c>
      <c r="R1676">
        <f>IFERROR(VLOOKUP("906-496000-110",B:AB,9+8,0),0)</f>
        <v>0</v>
      </c>
      <c r="S1676">
        <f>IFERROR(VLOOKUP("906-496000-110",B:AB,10+8,0),0)</f>
        <v>0</v>
      </c>
      <c r="T1676">
        <f>IFERROR(VLOOKUP("906-496000-110",B:AB,11+8,0),0)</f>
        <v>0</v>
      </c>
      <c r="U1676">
        <f>IFERROR(VLOOKUP("906-496000-110",B:AB,12+8,0),0)</f>
        <v>0</v>
      </c>
      <c r="V1676">
        <f>IFERROR(VLOOKUP("906-496000-110",B:AB,13+8,0),0)</f>
        <v>0</v>
      </c>
      <c r="W1676">
        <f>IFERROR(VLOOKUP("906-496000-110",B:AB,14+8,0),0)</f>
        <v>0</v>
      </c>
      <c r="X1676">
        <f>IFERROR(VLOOKUP("906-496000-110",B:AB,15+8,0),0)</f>
        <v>0</v>
      </c>
      <c r="Y1676">
        <f>IFERROR(VLOOKUP("906-496000-110",B:AB,16+8,0),0)</f>
        <v>0</v>
      </c>
      <c r="Z1676">
        <f>IFERROR(VLOOKUP("906-496000-110",B:AB,17+8,0),0)</f>
        <v>0</v>
      </c>
      <c r="AA1676">
        <f>IFERROR(VLOOKUP("906-496000-110",B:AB,18+8,0),0)</f>
        <v>0</v>
      </c>
      <c r="AB1676">
        <f>IFERROR(VLOOKUP("906-496000-110",B:AB,19+8,0),0)</f>
        <v>0</v>
      </c>
      <c r="AC1676">
        <f>IFERROR(VLOOKUP("906-496000-110",B:AB,20+8,0),0)</f>
        <v>0</v>
      </c>
      <c r="AD1676">
        <f>IFERROR(VLOOKUP("906-496000-110",B:AB,21+8,0),0)</f>
        <v>0</v>
      </c>
      <c r="AE1676">
        <f>IFERROR(VLOOKUP("906-496000-110",B:AB,22+8,0),0)</f>
        <v>0</v>
      </c>
      <c r="AF1676">
        <f>IFERROR(VLOOKUP("906-496000-110",B:AB,23+8,0),0)</f>
        <v>0</v>
      </c>
      <c r="AG1676">
        <f>IFERROR(VLOOKUP("906-496000-110",B:AB,24+8,0),0)</f>
        <v>0</v>
      </c>
      <c r="AH1676">
        <f>IFERROR(VLOOKUP("906-496000-110",B:AB,25+8,0),0)</f>
        <v>0</v>
      </c>
      <c r="AI1676">
        <f>IFERROR(VLOOKUP("906-496000-110",B:AB,26+8,0),0)</f>
        <v>0</v>
      </c>
      <c r="AJ1676">
        <f>IFERROR(VLOOKUP("906-496000-110",B:AB,27+8,0),0)</f>
        <v>0</v>
      </c>
      <c r="AK1676">
        <f>IFERROR(VLOOKUP("906-496000-110",B:AB,28+8,0),0)</f>
        <v>0</v>
      </c>
      <c r="AL1676">
        <f>IFERROR(VLOOKUP("906-496000-110",B:AB,29+8,0),0)</f>
        <v>0</v>
      </c>
      <c r="AM1676">
        <f>IFERROR(VLOOKUP("906-496000-110",B:AB,30+8,0),0)</f>
        <v>0</v>
      </c>
      <c r="AN1676">
        <f>IFERROR(VLOOKUP("906-496000-110",B:AB,31+8,0),0)</f>
        <v>0</v>
      </c>
      <c r="AO1676">
        <f>SUN(INDIRECT(ADDRESS(1675,8)):INDIRECT(ADDRESS(1675,39)))</f>
        <v>0</v>
      </c>
    </row>
    <row r="1677" spans="1:41">
      <c r="H1677" t="s">
        <v>179</v>
      </c>
      <c r="J1677">
        <f>INDIRECT(ADDRESS(1677,9))+INDIRECT(ADDRESS(1675,10))-INDIRECT(ADDRESS(1676,10))</f>
        <v>0</v>
      </c>
      <c r="K1677">
        <f>INDIRECT(ADDRESS(1677,10))+INDIRECT(ADDRESS(1675,11))-INDIRECT(ADDRESS(1676,11))</f>
        <v>0</v>
      </c>
      <c r="L1677">
        <f>INDIRECT(ADDRESS(1677,11))+INDIRECT(ADDRESS(1675,12))-INDIRECT(ADDRESS(1676,12))</f>
        <v>0</v>
      </c>
      <c r="M1677">
        <f>INDIRECT(ADDRESS(1677,12))+INDIRECT(ADDRESS(1675,13))-INDIRECT(ADDRESS(1676,13))</f>
        <v>0</v>
      </c>
      <c r="N1677">
        <f>INDIRECT(ADDRESS(1677,13))+INDIRECT(ADDRESS(1675,14))-INDIRECT(ADDRESS(1676,14))</f>
        <v>0</v>
      </c>
      <c r="O1677">
        <f>INDIRECT(ADDRESS(1677,14))+INDIRECT(ADDRESS(1675,15))-INDIRECT(ADDRESS(1676,15))</f>
        <v>0</v>
      </c>
      <c r="P1677">
        <f>INDIRECT(ADDRESS(1677,15))+INDIRECT(ADDRESS(1675,16))-INDIRECT(ADDRESS(1676,16))</f>
        <v>0</v>
      </c>
      <c r="Q1677">
        <f>INDIRECT(ADDRESS(1677,16))+INDIRECT(ADDRESS(1675,17))-INDIRECT(ADDRESS(1676,17))</f>
        <v>0</v>
      </c>
      <c r="R1677">
        <f>INDIRECT(ADDRESS(1677,17))+INDIRECT(ADDRESS(1675,18))-INDIRECT(ADDRESS(1676,18))</f>
        <v>0</v>
      </c>
      <c r="S1677">
        <f>INDIRECT(ADDRESS(1677,18))+INDIRECT(ADDRESS(1675,19))-INDIRECT(ADDRESS(1676,19))</f>
        <v>0</v>
      </c>
      <c r="T1677">
        <f>INDIRECT(ADDRESS(1677,19))+INDIRECT(ADDRESS(1675,20))-INDIRECT(ADDRESS(1676,20))</f>
        <v>0</v>
      </c>
      <c r="U1677">
        <f>INDIRECT(ADDRESS(1677,20))+INDIRECT(ADDRESS(1675,21))-INDIRECT(ADDRESS(1676,21))</f>
        <v>0</v>
      </c>
      <c r="V1677">
        <f>INDIRECT(ADDRESS(1677,21))+INDIRECT(ADDRESS(1675,22))-INDIRECT(ADDRESS(1676,22))</f>
        <v>0</v>
      </c>
      <c r="W1677">
        <f>INDIRECT(ADDRESS(1677,22))+INDIRECT(ADDRESS(1675,23))-INDIRECT(ADDRESS(1676,23))</f>
        <v>0</v>
      </c>
      <c r="X1677">
        <f>INDIRECT(ADDRESS(1677,23))+INDIRECT(ADDRESS(1675,24))-INDIRECT(ADDRESS(1676,24))</f>
        <v>0</v>
      </c>
      <c r="Y1677">
        <f>INDIRECT(ADDRESS(1677,24))+INDIRECT(ADDRESS(1675,25))-INDIRECT(ADDRESS(1676,25))</f>
        <v>0</v>
      </c>
      <c r="Z1677">
        <f>INDIRECT(ADDRESS(1677,25))+INDIRECT(ADDRESS(1675,26))-INDIRECT(ADDRESS(1676,26))</f>
        <v>0</v>
      </c>
      <c r="AA1677">
        <f>INDIRECT(ADDRESS(1677,26))+INDIRECT(ADDRESS(1675,27))-INDIRECT(ADDRESS(1676,27))</f>
        <v>0</v>
      </c>
      <c r="AB1677">
        <f>INDIRECT(ADDRESS(1677,27))+INDIRECT(ADDRESS(1675,28))-INDIRECT(ADDRESS(1676,28))</f>
        <v>0</v>
      </c>
      <c r="AC1677">
        <f>INDIRECT(ADDRESS(1677,28))+INDIRECT(ADDRESS(1675,29))-INDIRECT(ADDRESS(1676,29))</f>
        <v>0</v>
      </c>
      <c r="AD1677">
        <f>INDIRECT(ADDRESS(1677,29))+INDIRECT(ADDRESS(1675,30))-INDIRECT(ADDRESS(1676,30))</f>
        <v>0</v>
      </c>
      <c r="AE1677">
        <f>INDIRECT(ADDRESS(1677,30))+INDIRECT(ADDRESS(1675,31))-INDIRECT(ADDRESS(1676,31))</f>
        <v>0</v>
      </c>
      <c r="AF1677">
        <f>INDIRECT(ADDRESS(1677,31))+INDIRECT(ADDRESS(1675,32))-INDIRECT(ADDRESS(1676,32))</f>
        <v>0</v>
      </c>
      <c r="AG1677">
        <f>INDIRECT(ADDRESS(1677,32))+INDIRECT(ADDRESS(1675,33))-INDIRECT(ADDRESS(1676,33))</f>
        <v>0</v>
      </c>
      <c r="AH1677">
        <f>INDIRECT(ADDRESS(1677,33))+INDIRECT(ADDRESS(1675,34))-INDIRECT(ADDRESS(1676,34))</f>
        <v>0</v>
      </c>
      <c r="AI1677">
        <f>INDIRECT(ADDRESS(1677,34))+INDIRECT(ADDRESS(1675,35))-INDIRECT(ADDRESS(1676,35))</f>
        <v>0</v>
      </c>
      <c r="AJ1677">
        <f>INDIRECT(ADDRESS(1677,35))+INDIRECT(ADDRESS(1675,36))-INDIRECT(ADDRESS(1676,36))</f>
        <v>0</v>
      </c>
      <c r="AK1677">
        <f>INDIRECT(ADDRESS(1677,36))+INDIRECT(ADDRESS(1675,37))-INDIRECT(ADDRESS(1676,37))</f>
        <v>0</v>
      </c>
      <c r="AL1677">
        <f>INDIRECT(ADDRESS(1677,37))+INDIRECT(ADDRESS(1675,38))-INDIRECT(ADDRESS(1676,38))</f>
        <v>0</v>
      </c>
      <c r="AM1677">
        <f>INDIRECT(ADDRESS(1677,38))+INDIRECT(ADDRESS(1675,39))-INDIRECT(ADDRESS(1676,39))</f>
        <v>0</v>
      </c>
      <c r="AN1677">
        <f>INDIRECT(ADDRESS(1677,39))+INDIRECT(ADDRESS(1675,40))-INDIRECT(ADDRESS(1676,40))</f>
        <v>0</v>
      </c>
      <c r="AO1677">
        <f>SUM(INDIRECT(ADDRESS(1676,8)):INDIRECT(ADDRESS(1676,39)))</f>
        <v>0</v>
      </c>
    </row>
    <row r="1678" spans="1:41">
      <c r="A1678" t="s">
        <v>8</v>
      </c>
      <c r="B1678" t="s">
        <v>134</v>
      </c>
      <c r="C1678" t="s">
        <v>135</v>
      </c>
      <c r="E1678">
        <v>1</v>
      </c>
      <c r="I1678" t="s">
        <v>177</v>
      </c>
    </row>
    <row r="1679" spans="1:41">
      <c r="I1679" t="s">
        <v>178</v>
      </c>
      <c r="J1679">
        <f>IFERROR(VLOOKUP("906-958000-100",Out!B:AB,1+8,0),0)</f>
        <v>0</v>
      </c>
      <c r="K1679">
        <f>IFERROR(VLOOKUP("906-958000-100",Out!B:AB,2+8,0),0)</f>
        <v>0</v>
      </c>
      <c r="L1679">
        <f>IFERROR(VLOOKUP("906-958000-100",Out!B:AB,3+8,0),0)</f>
        <v>0</v>
      </c>
      <c r="M1679">
        <f>IFERROR(VLOOKUP("906-958000-100",Out!B:AB,4+8,0),0)</f>
        <v>0</v>
      </c>
      <c r="N1679">
        <f>IFERROR(VLOOKUP("906-958000-100",Out!B:AB,5+8,0),0)</f>
        <v>0</v>
      </c>
      <c r="O1679">
        <f>IFERROR(VLOOKUP("906-958000-100",Out!B:AB,6+8,0),0)</f>
        <v>0</v>
      </c>
      <c r="P1679">
        <f>IFERROR(VLOOKUP("906-958000-100",Out!B:AB,7+8,0),0)</f>
        <v>0</v>
      </c>
      <c r="Q1679">
        <f>IFERROR(VLOOKUP("906-958000-100",Out!B:AB,8+8,0),0)</f>
        <v>0</v>
      </c>
      <c r="R1679">
        <f>IFERROR(VLOOKUP("906-958000-100",Out!B:AB,9+8,0),0)</f>
        <v>0</v>
      </c>
      <c r="S1679">
        <f>IFERROR(VLOOKUP("906-958000-100",Out!B:AB,10+8,0),0)</f>
        <v>0</v>
      </c>
      <c r="T1679">
        <f>IFERROR(VLOOKUP("906-958000-100",Out!B:AB,11+8,0),0)</f>
        <v>0</v>
      </c>
      <c r="U1679">
        <f>IFERROR(VLOOKUP("906-958000-100",Out!B:AB,12+8,0),0)</f>
        <v>0</v>
      </c>
      <c r="V1679">
        <f>IFERROR(VLOOKUP("906-958000-100",Out!B:AB,13+8,0),0)</f>
        <v>0</v>
      </c>
      <c r="W1679">
        <f>IFERROR(VLOOKUP("906-958000-100",Out!B:AB,14+8,0),0)</f>
        <v>0</v>
      </c>
      <c r="X1679">
        <f>IFERROR(VLOOKUP("906-958000-100",Out!B:AB,15+8,0),0)</f>
        <v>0</v>
      </c>
      <c r="Y1679">
        <f>IFERROR(VLOOKUP("906-958000-100",Out!B:AB,16+8,0),0)</f>
        <v>0</v>
      </c>
      <c r="Z1679">
        <f>IFERROR(VLOOKUP("906-958000-100",Out!B:AB,17+8,0),0)</f>
        <v>0</v>
      </c>
      <c r="AA1679">
        <f>IFERROR(VLOOKUP("906-958000-100",Out!B:AB,18+8,0),0)</f>
        <v>0</v>
      </c>
      <c r="AB1679">
        <f>IFERROR(VLOOKUP("906-958000-100",Out!B:AB,19+8,0),0)</f>
        <v>0</v>
      </c>
      <c r="AC1679">
        <f>IFERROR(VLOOKUP("906-958000-100",Out!B:AB,20+8,0),0)</f>
        <v>0</v>
      </c>
      <c r="AD1679">
        <f>IFERROR(VLOOKUP("906-958000-100",Out!B:AB,21+8,0),0)</f>
        <v>0</v>
      </c>
      <c r="AE1679">
        <f>IFERROR(VLOOKUP("906-958000-100",Out!B:AB,22+8,0),0)</f>
        <v>0</v>
      </c>
      <c r="AF1679">
        <f>IFERROR(VLOOKUP("906-958000-100",Out!B:AB,23+8,0),0)</f>
        <v>0</v>
      </c>
      <c r="AG1679">
        <f>IFERROR(VLOOKUP("906-958000-100",Out!B:AB,24+8,0),0)</f>
        <v>0</v>
      </c>
      <c r="AH1679">
        <f>IFERROR(VLOOKUP("906-958000-100",Out!B:AB,25+8,0),0)</f>
        <v>0</v>
      </c>
      <c r="AI1679">
        <f>IFERROR(VLOOKUP("906-958000-100",Out!B:AB,26+8,0),0)</f>
        <v>0</v>
      </c>
      <c r="AJ1679">
        <f>IFERROR(VLOOKUP("906-958000-100",Out!B:AB,27+8,0),0)</f>
        <v>0</v>
      </c>
      <c r="AK1679">
        <f>IFERROR(VLOOKUP("906-958000-100",Out!B:AB,28+8,0),0)</f>
        <v>0</v>
      </c>
      <c r="AL1679">
        <f>IFERROR(VLOOKUP("906-958000-100",Out!B:AB,29+8,0),0)</f>
        <v>0</v>
      </c>
      <c r="AM1679">
        <f>IFERROR(VLOOKUP("906-958000-100",Out!B:AB,30+8,0),0)</f>
        <v>0</v>
      </c>
      <c r="AN1679">
        <f>IFERROR(VLOOKUP("906-958000-100",Out!B:AB,31+8,0),0)</f>
        <v>0</v>
      </c>
      <c r="AO1679">
        <f>SUN(INDIRECT(ADDRESS(1678,8)):INDIRECT(ADDRESS(1678,39)))</f>
        <v>0</v>
      </c>
    </row>
    <row r="1680" spans="1:41">
      <c r="H1680" t="s">
        <v>179</v>
      </c>
      <c r="J1680">
        <f>INDIRECT(ADDRESS(1680,9))+INDIRECT(ADDRESS(1678,10))-INDIRECT(ADDRESS(1679,10))</f>
        <v>0</v>
      </c>
      <c r="K1680">
        <f>INDIRECT(ADDRESS(1680,10))+INDIRECT(ADDRESS(1678,11))-INDIRECT(ADDRESS(1679,11))</f>
        <v>0</v>
      </c>
      <c r="L1680">
        <f>INDIRECT(ADDRESS(1680,11))+INDIRECT(ADDRESS(1678,12))-INDIRECT(ADDRESS(1679,12))</f>
        <v>0</v>
      </c>
      <c r="M1680">
        <f>INDIRECT(ADDRESS(1680,12))+INDIRECT(ADDRESS(1678,13))-INDIRECT(ADDRESS(1679,13))</f>
        <v>0</v>
      </c>
      <c r="N1680">
        <f>INDIRECT(ADDRESS(1680,13))+INDIRECT(ADDRESS(1678,14))-INDIRECT(ADDRESS(1679,14))</f>
        <v>0</v>
      </c>
      <c r="O1680">
        <f>INDIRECT(ADDRESS(1680,14))+INDIRECT(ADDRESS(1678,15))-INDIRECT(ADDRESS(1679,15))</f>
        <v>0</v>
      </c>
      <c r="P1680">
        <f>INDIRECT(ADDRESS(1680,15))+INDIRECT(ADDRESS(1678,16))-INDIRECT(ADDRESS(1679,16))</f>
        <v>0</v>
      </c>
      <c r="Q1680">
        <f>INDIRECT(ADDRESS(1680,16))+INDIRECT(ADDRESS(1678,17))-INDIRECT(ADDRESS(1679,17))</f>
        <v>0</v>
      </c>
      <c r="R1680">
        <f>INDIRECT(ADDRESS(1680,17))+INDIRECT(ADDRESS(1678,18))-INDIRECT(ADDRESS(1679,18))</f>
        <v>0</v>
      </c>
      <c r="S1680">
        <f>INDIRECT(ADDRESS(1680,18))+INDIRECT(ADDRESS(1678,19))-INDIRECT(ADDRESS(1679,19))</f>
        <v>0</v>
      </c>
      <c r="T1680">
        <f>INDIRECT(ADDRESS(1680,19))+INDIRECT(ADDRESS(1678,20))-INDIRECT(ADDRESS(1679,20))</f>
        <v>0</v>
      </c>
      <c r="U1680">
        <f>INDIRECT(ADDRESS(1680,20))+INDIRECT(ADDRESS(1678,21))-INDIRECT(ADDRESS(1679,21))</f>
        <v>0</v>
      </c>
      <c r="V1680">
        <f>INDIRECT(ADDRESS(1680,21))+INDIRECT(ADDRESS(1678,22))-INDIRECT(ADDRESS(1679,22))</f>
        <v>0</v>
      </c>
      <c r="W1680">
        <f>INDIRECT(ADDRESS(1680,22))+INDIRECT(ADDRESS(1678,23))-INDIRECT(ADDRESS(1679,23))</f>
        <v>0</v>
      </c>
      <c r="X1680">
        <f>INDIRECT(ADDRESS(1680,23))+INDIRECT(ADDRESS(1678,24))-INDIRECT(ADDRESS(1679,24))</f>
        <v>0</v>
      </c>
      <c r="Y1680">
        <f>INDIRECT(ADDRESS(1680,24))+INDIRECT(ADDRESS(1678,25))-INDIRECT(ADDRESS(1679,25))</f>
        <v>0</v>
      </c>
      <c r="Z1680">
        <f>INDIRECT(ADDRESS(1680,25))+INDIRECT(ADDRESS(1678,26))-INDIRECT(ADDRESS(1679,26))</f>
        <v>0</v>
      </c>
      <c r="AA1680">
        <f>INDIRECT(ADDRESS(1680,26))+INDIRECT(ADDRESS(1678,27))-INDIRECT(ADDRESS(1679,27))</f>
        <v>0</v>
      </c>
      <c r="AB1680">
        <f>INDIRECT(ADDRESS(1680,27))+INDIRECT(ADDRESS(1678,28))-INDIRECT(ADDRESS(1679,28))</f>
        <v>0</v>
      </c>
      <c r="AC1680">
        <f>INDIRECT(ADDRESS(1680,28))+INDIRECT(ADDRESS(1678,29))-INDIRECT(ADDRESS(1679,29))</f>
        <v>0</v>
      </c>
      <c r="AD1680">
        <f>INDIRECT(ADDRESS(1680,29))+INDIRECT(ADDRESS(1678,30))-INDIRECT(ADDRESS(1679,30))</f>
        <v>0</v>
      </c>
      <c r="AE1680">
        <f>INDIRECT(ADDRESS(1680,30))+INDIRECT(ADDRESS(1678,31))-INDIRECT(ADDRESS(1679,31))</f>
        <v>0</v>
      </c>
      <c r="AF1680">
        <f>INDIRECT(ADDRESS(1680,31))+INDIRECT(ADDRESS(1678,32))-INDIRECT(ADDRESS(1679,32))</f>
        <v>0</v>
      </c>
      <c r="AG1680">
        <f>INDIRECT(ADDRESS(1680,32))+INDIRECT(ADDRESS(1678,33))-INDIRECT(ADDRESS(1679,33))</f>
        <v>0</v>
      </c>
      <c r="AH1680">
        <f>INDIRECT(ADDRESS(1680,33))+INDIRECT(ADDRESS(1678,34))-INDIRECT(ADDRESS(1679,34))</f>
        <v>0</v>
      </c>
      <c r="AI1680">
        <f>INDIRECT(ADDRESS(1680,34))+INDIRECT(ADDRESS(1678,35))-INDIRECT(ADDRESS(1679,35))</f>
        <v>0</v>
      </c>
      <c r="AJ1680">
        <f>INDIRECT(ADDRESS(1680,35))+INDIRECT(ADDRESS(1678,36))-INDIRECT(ADDRESS(1679,36))</f>
        <v>0</v>
      </c>
      <c r="AK1680">
        <f>INDIRECT(ADDRESS(1680,36))+INDIRECT(ADDRESS(1678,37))-INDIRECT(ADDRESS(1679,37))</f>
        <v>0</v>
      </c>
      <c r="AL1680">
        <f>INDIRECT(ADDRESS(1680,37))+INDIRECT(ADDRESS(1678,38))-INDIRECT(ADDRESS(1679,38))</f>
        <v>0</v>
      </c>
      <c r="AM1680">
        <f>INDIRECT(ADDRESS(1680,38))+INDIRECT(ADDRESS(1678,39))-INDIRECT(ADDRESS(1679,39))</f>
        <v>0</v>
      </c>
      <c r="AN1680">
        <f>INDIRECT(ADDRESS(1680,39))+INDIRECT(ADDRESS(1678,40))-INDIRECT(ADDRESS(1679,40))</f>
        <v>0</v>
      </c>
      <c r="AO1680">
        <f>SUM(INDIRECT(ADDRESS(1679,8)):INDIRECT(ADDRESS(1679,39)))</f>
        <v>0</v>
      </c>
    </row>
    <row r="1681" spans="1:41">
      <c r="A1681" t="s">
        <v>180</v>
      </c>
      <c r="B1681" t="s">
        <v>790</v>
      </c>
      <c r="C1681" t="s">
        <v>791</v>
      </c>
      <c r="E1681">
        <v>1</v>
      </c>
      <c r="I1681" t="s">
        <v>177</v>
      </c>
    </row>
    <row r="1682" spans="1:41">
      <c r="I1682" t="s">
        <v>178</v>
      </c>
      <c r="J1682">
        <f>IFERROR(VLOOKUP("906-958000-100",B:AB,1+8,0),0)</f>
        <v>0</v>
      </c>
      <c r="K1682">
        <f>IFERROR(VLOOKUP("906-958000-100",B:AB,2+8,0),0)</f>
        <v>0</v>
      </c>
      <c r="L1682">
        <f>IFERROR(VLOOKUP("906-958000-100",B:AB,3+8,0),0)</f>
        <v>0</v>
      </c>
      <c r="M1682">
        <f>IFERROR(VLOOKUP("906-958000-100",B:AB,4+8,0),0)</f>
        <v>0</v>
      </c>
      <c r="N1682">
        <f>IFERROR(VLOOKUP("906-958000-100",B:AB,5+8,0),0)</f>
        <v>0</v>
      </c>
      <c r="O1682">
        <f>IFERROR(VLOOKUP("906-958000-100",B:AB,6+8,0),0)</f>
        <v>0</v>
      </c>
      <c r="P1682">
        <f>IFERROR(VLOOKUP("906-958000-100",B:AB,7+8,0),0)</f>
        <v>0</v>
      </c>
      <c r="Q1682">
        <f>IFERROR(VLOOKUP("906-958000-100",B:AB,8+8,0),0)</f>
        <v>0</v>
      </c>
      <c r="R1682">
        <f>IFERROR(VLOOKUP("906-958000-100",B:AB,9+8,0),0)</f>
        <v>0</v>
      </c>
      <c r="S1682">
        <f>IFERROR(VLOOKUP("906-958000-100",B:AB,10+8,0),0)</f>
        <v>0</v>
      </c>
      <c r="T1682">
        <f>IFERROR(VLOOKUP("906-958000-100",B:AB,11+8,0),0)</f>
        <v>0</v>
      </c>
      <c r="U1682">
        <f>IFERROR(VLOOKUP("906-958000-100",B:AB,12+8,0),0)</f>
        <v>0</v>
      </c>
      <c r="V1682">
        <f>IFERROR(VLOOKUP("906-958000-100",B:AB,13+8,0),0)</f>
        <v>0</v>
      </c>
      <c r="W1682">
        <f>IFERROR(VLOOKUP("906-958000-100",B:AB,14+8,0),0)</f>
        <v>0</v>
      </c>
      <c r="X1682">
        <f>IFERROR(VLOOKUP("906-958000-100",B:AB,15+8,0),0)</f>
        <v>0</v>
      </c>
      <c r="Y1682">
        <f>IFERROR(VLOOKUP("906-958000-100",B:AB,16+8,0),0)</f>
        <v>0</v>
      </c>
      <c r="Z1682">
        <f>IFERROR(VLOOKUP("906-958000-100",B:AB,17+8,0),0)</f>
        <v>0</v>
      </c>
      <c r="AA1682">
        <f>IFERROR(VLOOKUP("906-958000-100",B:AB,18+8,0),0)</f>
        <v>0</v>
      </c>
      <c r="AB1682">
        <f>IFERROR(VLOOKUP("906-958000-100",B:AB,19+8,0),0)</f>
        <v>0</v>
      </c>
      <c r="AC1682">
        <f>IFERROR(VLOOKUP("906-958000-100",B:AB,20+8,0),0)</f>
        <v>0</v>
      </c>
      <c r="AD1682">
        <f>IFERROR(VLOOKUP("906-958000-100",B:AB,21+8,0),0)</f>
        <v>0</v>
      </c>
      <c r="AE1682">
        <f>IFERROR(VLOOKUP("906-958000-100",B:AB,22+8,0),0)</f>
        <v>0</v>
      </c>
      <c r="AF1682">
        <f>IFERROR(VLOOKUP("906-958000-100",B:AB,23+8,0),0)</f>
        <v>0</v>
      </c>
      <c r="AG1682">
        <f>IFERROR(VLOOKUP("906-958000-100",B:AB,24+8,0),0)</f>
        <v>0</v>
      </c>
      <c r="AH1682">
        <f>IFERROR(VLOOKUP("906-958000-100",B:AB,25+8,0),0)</f>
        <v>0</v>
      </c>
      <c r="AI1682">
        <f>IFERROR(VLOOKUP("906-958000-100",B:AB,26+8,0),0)</f>
        <v>0</v>
      </c>
      <c r="AJ1682">
        <f>IFERROR(VLOOKUP("906-958000-100",B:AB,27+8,0),0)</f>
        <v>0</v>
      </c>
      <c r="AK1682">
        <f>IFERROR(VLOOKUP("906-958000-100",B:AB,28+8,0),0)</f>
        <v>0</v>
      </c>
      <c r="AL1682">
        <f>IFERROR(VLOOKUP("906-958000-100",B:AB,29+8,0),0)</f>
        <v>0</v>
      </c>
      <c r="AM1682">
        <f>IFERROR(VLOOKUP("906-958000-100",B:AB,30+8,0),0)</f>
        <v>0</v>
      </c>
      <c r="AN1682">
        <f>IFERROR(VLOOKUP("906-958000-100",B:AB,31+8,0),0)</f>
        <v>0</v>
      </c>
      <c r="AO1682">
        <f>SUN(INDIRECT(ADDRESS(1681,8)):INDIRECT(ADDRESS(1681,39)))</f>
        <v>0</v>
      </c>
    </row>
    <row r="1683" spans="1:41">
      <c r="H1683" t="s">
        <v>179</v>
      </c>
      <c r="J1683">
        <f>INDIRECT(ADDRESS(1683,9))+INDIRECT(ADDRESS(1681,10))-INDIRECT(ADDRESS(1682,10))</f>
        <v>0</v>
      </c>
      <c r="K1683">
        <f>INDIRECT(ADDRESS(1683,10))+INDIRECT(ADDRESS(1681,11))-INDIRECT(ADDRESS(1682,11))</f>
        <v>0</v>
      </c>
      <c r="L1683">
        <f>INDIRECT(ADDRESS(1683,11))+INDIRECT(ADDRESS(1681,12))-INDIRECT(ADDRESS(1682,12))</f>
        <v>0</v>
      </c>
      <c r="M1683">
        <f>INDIRECT(ADDRESS(1683,12))+INDIRECT(ADDRESS(1681,13))-INDIRECT(ADDRESS(1682,13))</f>
        <v>0</v>
      </c>
      <c r="N1683">
        <f>INDIRECT(ADDRESS(1683,13))+INDIRECT(ADDRESS(1681,14))-INDIRECT(ADDRESS(1682,14))</f>
        <v>0</v>
      </c>
      <c r="O1683">
        <f>INDIRECT(ADDRESS(1683,14))+INDIRECT(ADDRESS(1681,15))-INDIRECT(ADDRESS(1682,15))</f>
        <v>0</v>
      </c>
      <c r="P1683">
        <f>INDIRECT(ADDRESS(1683,15))+INDIRECT(ADDRESS(1681,16))-INDIRECT(ADDRESS(1682,16))</f>
        <v>0</v>
      </c>
      <c r="Q1683">
        <f>INDIRECT(ADDRESS(1683,16))+INDIRECT(ADDRESS(1681,17))-INDIRECT(ADDRESS(1682,17))</f>
        <v>0</v>
      </c>
      <c r="R1683">
        <f>INDIRECT(ADDRESS(1683,17))+INDIRECT(ADDRESS(1681,18))-INDIRECT(ADDRESS(1682,18))</f>
        <v>0</v>
      </c>
      <c r="S1683">
        <f>INDIRECT(ADDRESS(1683,18))+INDIRECT(ADDRESS(1681,19))-INDIRECT(ADDRESS(1682,19))</f>
        <v>0</v>
      </c>
      <c r="T1683">
        <f>INDIRECT(ADDRESS(1683,19))+INDIRECT(ADDRESS(1681,20))-INDIRECT(ADDRESS(1682,20))</f>
        <v>0</v>
      </c>
      <c r="U1683">
        <f>INDIRECT(ADDRESS(1683,20))+INDIRECT(ADDRESS(1681,21))-INDIRECT(ADDRESS(1682,21))</f>
        <v>0</v>
      </c>
      <c r="V1683">
        <f>INDIRECT(ADDRESS(1683,21))+INDIRECT(ADDRESS(1681,22))-INDIRECT(ADDRESS(1682,22))</f>
        <v>0</v>
      </c>
      <c r="W1683">
        <f>INDIRECT(ADDRESS(1683,22))+INDIRECT(ADDRESS(1681,23))-INDIRECT(ADDRESS(1682,23))</f>
        <v>0</v>
      </c>
      <c r="X1683">
        <f>INDIRECT(ADDRESS(1683,23))+INDIRECT(ADDRESS(1681,24))-INDIRECT(ADDRESS(1682,24))</f>
        <v>0</v>
      </c>
      <c r="Y1683">
        <f>INDIRECT(ADDRESS(1683,24))+INDIRECT(ADDRESS(1681,25))-INDIRECT(ADDRESS(1682,25))</f>
        <v>0</v>
      </c>
      <c r="Z1683">
        <f>INDIRECT(ADDRESS(1683,25))+INDIRECT(ADDRESS(1681,26))-INDIRECT(ADDRESS(1682,26))</f>
        <v>0</v>
      </c>
      <c r="AA1683">
        <f>INDIRECT(ADDRESS(1683,26))+INDIRECT(ADDRESS(1681,27))-INDIRECT(ADDRESS(1682,27))</f>
        <v>0</v>
      </c>
      <c r="AB1683">
        <f>INDIRECT(ADDRESS(1683,27))+INDIRECT(ADDRESS(1681,28))-INDIRECT(ADDRESS(1682,28))</f>
        <v>0</v>
      </c>
      <c r="AC1683">
        <f>INDIRECT(ADDRESS(1683,28))+INDIRECT(ADDRESS(1681,29))-INDIRECT(ADDRESS(1682,29))</f>
        <v>0</v>
      </c>
      <c r="AD1683">
        <f>INDIRECT(ADDRESS(1683,29))+INDIRECT(ADDRESS(1681,30))-INDIRECT(ADDRESS(1682,30))</f>
        <v>0</v>
      </c>
      <c r="AE1683">
        <f>INDIRECT(ADDRESS(1683,30))+INDIRECT(ADDRESS(1681,31))-INDIRECT(ADDRESS(1682,31))</f>
        <v>0</v>
      </c>
      <c r="AF1683">
        <f>INDIRECT(ADDRESS(1683,31))+INDIRECT(ADDRESS(1681,32))-INDIRECT(ADDRESS(1682,32))</f>
        <v>0</v>
      </c>
      <c r="AG1683">
        <f>INDIRECT(ADDRESS(1683,32))+INDIRECT(ADDRESS(1681,33))-INDIRECT(ADDRESS(1682,33))</f>
        <v>0</v>
      </c>
      <c r="AH1683">
        <f>INDIRECT(ADDRESS(1683,33))+INDIRECT(ADDRESS(1681,34))-INDIRECT(ADDRESS(1682,34))</f>
        <v>0</v>
      </c>
      <c r="AI1683">
        <f>INDIRECT(ADDRESS(1683,34))+INDIRECT(ADDRESS(1681,35))-INDIRECT(ADDRESS(1682,35))</f>
        <v>0</v>
      </c>
      <c r="AJ1683">
        <f>INDIRECT(ADDRESS(1683,35))+INDIRECT(ADDRESS(1681,36))-INDIRECT(ADDRESS(1682,36))</f>
        <v>0</v>
      </c>
      <c r="AK1683">
        <f>INDIRECT(ADDRESS(1683,36))+INDIRECT(ADDRESS(1681,37))-INDIRECT(ADDRESS(1682,37))</f>
        <v>0</v>
      </c>
      <c r="AL1683">
        <f>INDIRECT(ADDRESS(1683,37))+INDIRECT(ADDRESS(1681,38))-INDIRECT(ADDRESS(1682,38))</f>
        <v>0</v>
      </c>
      <c r="AM1683">
        <f>INDIRECT(ADDRESS(1683,38))+INDIRECT(ADDRESS(1681,39))-INDIRECT(ADDRESS(1682,39))</f>
        <v>0</v>
      </c>
      <c r="AN1683">
        <f>INDIRECT(ADDRESS(1683,39))+INDIRECT(ADDRESS(1681,40))-INDIRECT(ADDRESS(1682,40))</f>
        <v>0</v>
      </c>
      <c r="AO1683">
        <f>SUM(INDIRECT(ADDRESS(1682,8)):INDIRECT(ADDRESS(1682,39)))</f>
        <v>0</v>
      </c>
    </row>
    <row r="1684" spans="1:41">
      <c r="A1684" t="s">
        <v>185</v>
      </c>
      <c r="B1684" t="s">
        <v>792</v>
      </c>
      <c r="C1684" t="s">
        <v>793</v>
      </c>
      <c r="E1684">
        <v>1</v>
      </c>
      <c r="I1684" t="s">
        <v>177</v>
      </c>
    </row>
    <row r="1685" spans="1:41">
      <c r="I1685" t="s">
        <v>178</v>
      </c>
      <c r="J1685">
        <f>IFERROR(VLOOKUP("906-958000-100",B:AB,1+8,0),0)</f>
        <v>0</v>
      </c>
      <c r="K1685">
        <f>IFERROR(VLOOKUP("906-958000-100",B:AB,2+8,0),0)</f>
        <v>0</v>
      </c>
      <c r="L1685">
        <f>IFERROR(VLOOKUP("906-958000-100",B:AB,3+8,0),0)</f>
        <v>0</v>
      </c>
      <c r="M1685">
        <f>IFERROR(VLOOKUP("906-958000-100",B:AB,4+8,0),0)</f>
        <v>0</v>
      </c>
      <c r="N1685">
        <f>IFERROR(VLOOKUP("906-958000-100",B:AB,5+8,0),0)</f>
        <v>0</v>
      </c>
      <c r="O1685">
        <f>IFERROR(VLOOKUP("906-958000-100",B:AB,6+8,0),0)</f>
        <v>0</v>
      </c>
      <c r="P1685">
        <f>IFERROR(VLOOKUP("906-958000-100",B:AB,7+8,0),0)</f>
        <v>0</v>
      </c>
      <c r="Q1685">
        <f>IFERROR(VLOOKUP("906-958000-100",B:AB,8+8,0),0)</f>
        <v>0</v>
      </c>
      <c r="R1685">
        <f>IFERROR(VLOOKUP("906-958000-100",B:AB,9+8,0),0)</f>
        <v>0</v>
      </c>
      <c r="S1685">
        <f>IFERROR(VLOOKUP("906-958000-100",B:AB,10+8,0),0)</f>
        <v>0</v>
      </c>
      <c r="T1685">
        <f>IFERROR(VLOOKUP("906-958000-100",B:AB,11+8,0),0)</f>
        <v>0</v>
      </c>
      <c r="U1685">
        <f>IFERROR(VLOOKUP("906-958000-100",B:AB,12+8,0),0)</f>
        <v>0</v>
      </c>
      <c r="V1685">
        <f>IFERROR(VLOOKUP("906-958000-100",B:AB,13+8,0),0)</f>
        <v>0</v>
      </c>
      <c r="W1685">
        <f>IFERROR(VLOOKUP("906-958000-100",B:AB,14+8,0),0)</f>
        <v>0</v>
      </c>
      <c r="X1685">
        <f>IFERROR(VLOOKUP("906-958000-100",B:AB,15+8,0),0)</f>
        <v>0</v>
      </c>
      <c r="Y1685">
        <f>IFERROR(VLOOKUP("906-958000-100",B:AB,16+8,0),0)</f>
        <v>0</v>
      </c>
      <c r="Z1685">
        <f>IFERROR(VLOOKUP("906-958000-100",B:AB,17+8,0),0)</f>
        <v>0</v>
      </c>
      <c r="AA1685">
        <f>IFERROR(VLOOKUP("906-958000-100",B:AB,18+8,0),0)</f>
        <v>0</v>
      </c>
      <c r="AB1685">
        <f>IFERROR(VLOOKUP("906-958000-100",B:AB,19+8,0),0)</f>
        <v>0</v>
      </c>
      <c r="AC1685">
        <f>IFERROR(VLOOKUP("906-958000-100",B:AB,20+8,0),0)</f>
        <v>0</v>
      </c>
      <c r="AD1685">
        <f>IFERROR(VLOOKUP("906-958000-100",B:AB,21+8,0),0)</f>
        <v>0</v>
      </c>
      <c r="AE1685">
        <f>IFERROR(VLOOKUP("906-958000-100",B:AB,22+8,0),0)</f>
        <v>0</v>
      </c>
      <c r="AF1685">
        <f>IFERROR(VLOOKUP("906-958000-100",B:AB,23+8,0),0)</f>
        <v>0</v>
      </c>
      <c r="AG1685">
        <f>IFERROR(VLOOKUP("906-958000-100",B:AB,24+8,0),0)</f>
        <v>0</v>
      </c>
      <c r="AH1685">
        <f>IFERROR(VLOOKUP("906-958000-100",B:AB,25+8,0),0)</f>
        <v>0</v>
      </c>
      <c r="AI1685">
        <f>IFERROR(VLOOKUP("906-958000-100",B:AB,26+8,0),0)</f>
        <v>0</v>
      </c>
      <c r="AJ1685">
        <f>IFERROR(VLOOKUP("906-958000-100",B:AB,27+8,0),0)</f>
        <v>0</v>
      </c>
      <c r="AK1685">
        <f>IFERROR(VLOOKUP("906-958000-100",B:AB,28+8,0),0)</f>
        <v>0</v>
      </c>
      <c r="AL1685">
        <f>IFERROR(VLOOKUP("906-958000-100",B:AB,29+8,0),0)</f>
        <v>0</v>
      </c>
      <c r="AM1685">
        <f>IFERROR(VLOOKUP("906-958000-100",B:AB,30+8,0),0)</f>
        <v>0</v>
      </c>
      <c r="AN1685">
        <f>IFERROR(VLOOKUP("906-958000-100",B:AB,31+8,0),0)</f>
        <v>0</v>
      </c>
      <c r="AO1685">
        <f>SUN(INDIRECT(ADDRESS(1684,8)):INDIRECT(ADDRESS(1684,39)))</f>
        <v>0</v>
      </c>
    </row>
    <row r="1686" spans="1:41">
      <c r="H1686" t="s">
        <v>179</v>
      </c>
      <c r="J1686">
        <f>INDIRECT(ADDRESS(1686,9))+INDIRECT(ADDRESS(1684,10))-INDIRECT(ADDRESS(1685,10))</f>
        <v>0</v>
      </c>
      <c r="K1686">
        <f>INDIRECT(ADDRESS(1686,10))+INDIRECT(ADDRESS(1684,11))-INDIRECT(ADDRESS(1685,11))</f>
        <v>0</v>
      </c>
      <c r="L1686">
        <f>INDIRECT(ADDRESS(1686,11))+INDIRECT(ADDRESS(1684,12))-INDIRECT(ADDRESS(1685,12))</f>
        <v>0</v>
      </c>
      <c r="M1686">
        <f>INDIRECT(ADDRESS(1686,12))+INDIRECT(ADDRESS(1684,13))-INDIRECT(ADDRESS(1685,13))</f>
        <v>0</v>
      </c>
      <c r="N1686">
        <f>INDIRECT(ADDRESS(1686,13))+INDIRECT(ADDRESS(1684,14))-INDIRECT(ADDRESS(1685,14))</f>
        <v>0</v>
      </c>
      <c r="O1686">
        <f>INDIRECT(ADDRESS(1686,14))+INDIRECT(ADDRESS(1684,15))-INDIRECT(ADDRESS(1685,15))</f>
        <v>0</v>
      </c>
      <c r="P1686">
        <f>INDIRECT(ADDRESS(1686,15))+INDIRECT(ADDRESS(1684,16))-INDIRECT(ADDRESS(1685,16))</f>
        <v>0</v>
      </c>
      <c r="Q1686">
        <f>INDIRECT(ADDRESS(1686,16))+INDIRECT(ADDRESS(1684,17))-INDIRECT(ADDRESS(1685,17))</f>
        <v>0</v>
      </c>
      <c r="R1686">
        <f>INDIRECT(ADDRESS(1686,17))+INDIRECT(ADDRESS(1684,18))-INDIRECT(ADDRESS(1685,18))</f>
        <v>0</v>
      </c>
      <c r="S1686">
        <f>INDIRECT(ADDRESS(1686,18))+INDIRECT(ADDRESS(1684,19))-INDIRECT(ADDRESS(1685,19))</f>
        <v>0</v>
      </c>
      <c r="T1686">
        <f>INDIRECT(ADDRESS(1686,19))+INDIRECT(ADDRESS(1684,20))-INDIRECT(ADDRESS(1685,20))</f>
        <v>0</v>
      </c>
      <c r="U1686">
        <f>INDIRECT(ADDRESS(1686,20))+INDIRECT(ADDRESS(1684,21))-INDIRECT(ADDRESS(1685,21))</f>
        <v>0</v>
      </c>
      <c r="V1686">
        <f>INDIRECT(ADDRESS(1686,21))+INDIRECT(ADDRESS(1684,22))-INDIRECT(ADDRESS(1685,22))</f>
        <v>0</v>
      </c>
      <c r="W1686">
        <f>INDIRECT(ADDRESS(1686,22))+INDIRECT(ADDRESS(1684,23))-INDIRECT(ADDRESS(1685,23))</f>
        <v>0</v>
      </c>
      <c r="X1686">
        <f>INDIRECT(ADDRESS(1686,23))+INDIRECT(ADDRESS(1684,24))-INDIRECT(ADDRESS(1685,24))</f>
        <v>0</v>
      </c>
      <c r="Y1686">
        <f>INDIRECT(ADDRESS(1686,24))+INDIRECT(ADDRESS(1684,25))-INDIRECT(ADDRESS(1685,25))</f>
        <v>0</v>
      </c>
      <c r="Z1686">
        <f>INDIRECT(ADDRESS(1686,25))+INDIRECT(ADDRESS(1684,26))-INDIRECT(ADDRESS(1685,26))</f>
        <v>0</v>
      </c>
      <c r="AA1686">
        <f>INDIRECT(ADDRESS(1686,26))+INDIRECT(ADDRESS(1684,27))-INDIRECT(ADDRESS(1685,27))</f>
        <v>0</v>
      </c>
      <c r="AB1686">
        <f>INDIRECT(ADDRESS(1686,27))+INDIRECT(ADDRESS(1684,28))-INDIRECT(ADDRESS(1685,28))</f>
        <v>0</v>
      </c>
      <c r="AC1686">
        <f>INDIRECT(ADDRESS(1686,28))+INDIRECT(ADDRESS(1684,29))-INDIRECT(ADDRESS(1685,29))</f>
        <v>0</v>
      </c>
      <c r="AD1686">
        <f>INDIRECT(ADDRESS(1686,29))+INDIRECT(ADDRESS(1684,30))-INDIRECT(ADDRESS(1685,30))</f>
        <v>0</v>
      </c>
      <c r="AE1686">
        <f>INDIRECT(ADDRESS(1686,30))+INDIRECT(ADDRESS(1684,31))-INDIRECT(ADDRESS(1685,31))</f>
        <v>0</v>
      </c>
      <c r="AF1686">
        <f>INDIRECT(ADDRESS(1686,31))+INDIRECT(ADDRESS(1684,32))-INDIRECT(ADDRESS(1685,32))</f>
        <v>0</v>
      </c>
      <c r="AG1686">
        <f>INDIRECT(ADDRESS(1686,32))+INDIRECT(ADDRESS(1684,33))-INDIRECT(ADDRESS(1685,33))</f>
        <v>0</v>
      </c>
      <c r="AH1686">
        <f>INDIRECT(ADDRESS(1686,33))+INDIRECT(ADDRESS(1684,34))-INDIRECT(ADDRESS(1685,34))</f>
        <v>0</v>
      </c>
      <c r="AI1686">
        <f>INDIRECT(ADDRESS(1686,34))+INDIRECT(ADDRESS(1684,35))-INDIRECT(ADDRESS(1685,35))</f>
        <v>0</v>
      </c>
      <c r="AJ1686">
        <f>INDIRECT(ADDRESS(1686,35))+INDIRECT(ADDRESS(1684,36))-INDIRECT(ADDRESS(1685,36))</f>
        <v>0</v>
      </c>
      <c r="AK1686">
        <f>INDIRECT(ADDRESS(1686,36))+INDIRECT(ADDRESS(1684,37))-INDIRECT(ADDRESS(1685,37))</f>
        <v>0</v>
      </c>
      <c r="AL1686">
        <f>INDIRECT(ADDRESS(1686,37))+INDIRECT(ADDRESS(1684,38))-INDIRECT(ADDRESS(1685,38))</f>
        <v>0</v>
      </c>
      <c r="AM1686">
        <f>INDIRECT(ADDRESS(1686,38))+INDIRECT(ADDRESS(1684,39))-INDIRECT(ADDRESS(1685,39))</f>
        <v>0</v>
      </c>
      <c r="AN1686">
        <f>INDIRECT(ADDRESS(1686,39))+INDIRECT(ADDRESS(1684,40))-INDIRECT(ADDRESS(1685,40))</f>
        <v>0</v>
      </c>
      <c r="AO1686">
        <f>SUM(INDIRECT(ADDRESS(1685,8)):INDIRECT(ADDRESS(1685,39)))</f>
        <v>0</v>
      </c>
    </row>
    <row r="1687" spans="1:41">
      <c r="A1687" t="s">
        <v>185</v>
      </c>
      <c r="B1687" t="s">
        <v>794</v>
      </c>
      <c r="C1687" t="s">
        <v>795</v>
      </c>
      <c r="E1687">
        <v>1</v>
      </c>
      <c r="I1687" t="s">
        <v>177</v>
      </c>
    </row>
    <row r="1688" spans="1:41">
      <c r="I1688" t="s">
        <v>178</v>
      </c>
      <c r="J1688">
        <f>IFERROR(VLOOKUP("906-958000-100",B:AB,1+8,0),0)</f>
        <v>0</v>
      </c>
      <c r="K1688">
        <f>IFERROR(VLOOKUP("906-958000-100",B:AB,2+8,0),0)</f>
        <v>0</v>
      </c>
      <c r="L1688">
        <f>IFERROR(VLOOKUP("906-958000-100",B:AB,3+8,0),0)</f>
        <v>0</v>
      </c>
      <c r="M1688">
        <f>IFERROR(VLOOKUP("906-958000-100",B:AB,4+8,0),0)</f>
        <v>0</v>
      </c>
      <c r="N1688">
        <f>IFERROR(VLOOKUP("906-958000-100",B:AB,5+8,0),0)</f>
        <v>0</v>
      </c>
      <c r="O1688">
        <f>IFERROR(VLOOKUP("906-958000-100",B:AB,6+8,0),0)</f>
        <v>0</v>
      </c>
      <c r="P1688">
        <f>IFERROR(VLOOKUP("906-958000-100",B:AB,7+8,0),0)</f>
        <v>0</v>
      </c>
      <c r="Q1688">
        <f>IFERROR(VLOOKUP("906-958000-100",B:AB,8+8,0),0)</f>
        <v>0</v>
      </c>
      <c r="R1688">
        <f>IFERROR(VLOOKUP("906-958000-100",B:AB,9+8,0),0)</f>
        <v>0</v>
      </c>
      <c r="S1688">
        <f>IFERROR(VLOOKUP("906-958000-100",B:AB,10+8,0),0)</f>
        <v>0</v>
      </c>
      <c r="T1688">
        <f>IFERROR(VLOOKUP("906-958000-100",B:AB,11+8,0),0)</f>
        <v>0</v>
      </c>
      <c r="U1688">
        <f>IFERROR(VLOOKUP("906-958000-100",B:AB,12+8,0),0)</f>
        <v>0</v>
      </c>
      <c r="V1688">
        <f>IFERROR(VLOOKUP("906-958000-100",B:AB,13+8,0),0)</f>
        <v>0</v>
      </c>
      <c r="W1688">
        <f>IFERROR(VLOOKUP("906-958000-100",B:AB,14+8,0),0)</f>
        <v>0</v>
      </c>
      <c r="X1688">
        <f>IFERROR(VLOOKUP("906-958000-100",B:AB,15+8,0),0)</f>
        <v>0</v>
      </c>
      <c r="Y1688">
        <f>IFERROR(VLOOKUP("906-958000-100",B:AB,16+8,0),0)</f>
        <v>0</v>
      </c>
      <c r="Z1688">
        <f>IFERROR(VLOOKUP("906-958000-100",B:AB,17+8,0),0)</f>
        <v>0</v>
      </c>
      <c r="AA1688">
        <f>IFERROR(VLOOKUP("906-958000-100",B:AB,18+8,0),0)</f>
        <v>0</v>
      </c>
      <c r="AB1688">
        <f>IFERROR(VLOOKUP("906-958000-100",B:AB,19+8,0),0)</f>
        <v>0</v>
      </c>
      <c r="AC1688">
        <f>IFERROR(VLOOKUP("906-958000-100",B:AB,20+8,0),0)</f>
        <v>0</v>
      </c>
      <c r="AD1688">
        <f>IFERROR(VLOOKUP("906-958000-100",B:AB,21+8,0),0)</f>
        <v>0</v>
      </c>
      <c r="AE1688">
        <f>IFERROR(VLOOKUP("906-958000-100",B:AB,22+8,0),0)</f>
        <v>0</v>
      </c>
      <c r="AF1688">
        <f>IFERROR(VLOOKUP("906-958000-100",B:AB,23+8,0),0)</f>
        <v>0</v>
      </c>
      <c r="AG1688">
        <f>IFERROR(VLOOKUP("906-958000-100",B:AB,24+8,0),0)</f>
        <v>0</v>
      </c>
      <c r="AH1688">
        <f>IFERROR(VLOOKUP("906-958000-100",B:AB,25+8,0),0)</f>
        <v>0</v>
      </c>
      <c r="AI1688">
        <f>IFERROR(VLOOKUP("906-958000-100",B:AB,26+8,0),0)</f>
        <v>0</v>
      </c>
      <c r="AJ1688">
        <f>IFERROR(VLOOKUP("906-958000-100",B:AB,27+8,0),0)</f>
        <v>0</v>
      </c>
      <c r="AK1688">
        <f>IFERROR(VLOOKUP("906-958000-100",B:AB,28+8,0),0)</f>
        <v>0</v>
      </c>
      <c r="AL1688">
        <f>IFERROR(VLOOKUP("906-958000-100",B:AB,29+8,0),0)</f>
        <v>0</v>
      </c>
      <c r="AM1688">
        <f>IFERROR(VLOOKUP("906-958000-100",B:AB,30+8,0),0)</f>
        <v>0</v>
      </c>
      <c r="AN1688">
        <f>IFERROR(VLOOKUP("906-958000-100",B:AB,31+8,0),0)</f>
        <v>0</v>
      </c>
      <c r="AO1688">
        <f>SUN(INDIRECT(ADDRESS(1687,8)):INDIRECT(ADDRESS(1687,39)))</f>
        <v>0</v>
      </c>
    </row>
    <row r="1689" spans="1:41">
      <c r="H1689" t="s">
        <v>179</v>
      </c>
      <c r="J1689">
        <f>INDIRECT(ADDRESS(1689,9))+INDIRECT(ADDRESS(1687,10))-INDIRECT(ADDRESS(1688,10))</f>
        <v>0</v>
      </c>
      <c r="K1689">
        <f>INDIRECT(ADDRESS(1689,10))+INDIRECT(ADDRESS(1687,11))-INDIRECT(ADDRESS(1688,11))</f>
        <v>0</v>
      </c>
      <c r="L1689">
        <f>INDIRECT(ADDRESS(1689,11))+INDIRECT(ADDRESS(1687,12))-INDIRECT(ADDRESS(1688,12))</f>
        <v>0</v>
      </c>
      <c r="M1689">
        <f>INDIRECT(ADDRESS(1689,12))+INDIRECT(ADDRESS(1687,13))-INDIRECT(ADDRESS(1688,13))</f>
        <v>0</v>
      </c>
      <c r="N1689">
        <f>INDIRECT(ADDRESS(1689,13))+INDIRECT(ADDRESS(1687,14))-INDIRECT(ADDRESS(1688,14))</f>
        <v>0</v>
      </c>
      <c r="O1689">
        <f>INDIRECT(ADDRESS(1689,14))+INDIRECT(ADDRESS(1687,15))-INDIRECT(ADDRESS(1688,15))</f>
        <v>0</v>
      </c>
      <c r="P1689">
        <f>INDIRECT(ADDRESS(1689,15))+INDIRECT(ADDRESS(1687,16))-INDIRECT(ADDRESS(1688,16))</f>
        <v>0</v>
      </c>
      <c r="Q1689">
        <f>INDIRECT(ADDRESS(1689,16))+INDIRECT(ADDRESS(1687,17))-INDIRECT(ADDRESS(1688,17))</f>
        <v>0</v>
      </c>
      <c r="R1689">
        <f>INDIRECT(ADDRESS(1689,17))+INDIRECT(ADDRESS(1687,18))-INDIRECT(ADDRESS(1688,18))</f>
        <v>0</v>
      </c>
      <c r="S1689">
        <f>INDIRECT(ADDRESS(1689,18))+INDIRECT(ADDRESS(1687,19))-INDIRECT(ADDRESS(1688,19))</f>
        <v>0</v>
      </c>
      <c r="T1689">
        <f>INDIRECT(ADDRESS(1689,19))+INDIRECT(ADDRESS(1687,20))-INDIRECT(ADDRESS(1688,20))</f>
        <v>0</v>
      </c>
      <c r="U1689">
        <f>INDIRECT(ADDRESS(1689,20))+INDIRECT(ADDRESS(1687,21))-INDIRECT(ADDRESS(1688,21))</f>
        <v>0</v>
      </c>
      <c r="V1689">
        <f>INDIRECT(ADDRESS(1689,21))+INDIRECT(ADDRESS(1687,22))-INDIRECT(ADDRESS(1688,22))</f>
        <v>0</v>
      </c>
      <c r="W1689">
        <f>INDIRECT(ADDRESS(1689,22))+INDIRECT(ADDRESS(1687,23))-INDIRECT(ADDRESS(1688,23))</f>
        <v>0</v>
      </c>
      <c r="X1689">
        <f>INDIRECT(ADDRESS(1689,23))+INDIRECT(ADDRESS(1687,24))-INDIRECT(ADDRESS(1688,24))</f>
        <v>0</v>
      </c>
      <c r="Y1689">
        <f>INDIRECT(ADDRESS(1689,24))+INDIRECT(ADDRESS(1687,25))-INDIRECT(ADDRESS(1688,25))</f>
        <v>0</v>
      </c>
      <c r="Z1689">
        <f>INDIRECT(ADDRESS(1689,25))+INDIRECT(ADDRESS(1687,26))-INDIRECT(ADDRESS(1688,26))</f>
        <v>0</v>
      </c>
      <c r="AA1689">
        <f>INDIRECT(ADDRESS(1689,26))+INDIRECT(ADDRESS(1687,27))-INDIRECT(ADDRESS(1688,27))</f>
        <v>0</v>
      </c>
      <c r="AB1689">
        <f>INDIRECT(ADDRESS(1689,27))+INDIRECT(ADDRESS(1687,28))-INDIRECT(ADDRESS(1688,28))</f>
        <v>0</v>
      </c>
      <c r="AC1689">
        <f>INDIRECT(ADDRESS(1689,28))+INDIRECT(ADDRESS(1687,29))-INDIRECT(ADDRESS(1688,29))</f>
        <v>0</v>
      </c>
      <c r="AD1689">
        <f>INDIRECT(ADDRESS(1689,29))+INDIRECT(ADDRESS(1687,30))-INDIRECT(ADDRESS(1688,30))</f>
        <v>0</v>
      </c>
      <c r="AE1689">
        <f>INDIRECT(ADDRESS(1689,30))+INDIRECT(ADDRESS(1687,31))-INDIRECT(ADDRESS(1688,31))</f>
        <v>0</v>
      </c>
      <c r="AF1689">
        <f>INDIRECT(ADDRESS(1689,31))+INDIRECT(ADDRESS(1687,32))-INDIRECT(ADDRESS(1688,32))</f>
        <v>0</v>
      </c>
      <c r="AG1689">
        <f>INDIRECT(ADDRESS(1689,32))+INDIRECT(ADDRESS(1687,33))-INDIRECT(ADDRESS(1688,33))</f>
        <v>0</v>
      </c>
      <c r="AH1689">
        <f>INDIRECT(ADDRESS(1689,33))+INDIRECT(ADDRESS(1687,34))-INDIRECT(ADDRESS(1688,34))</f>
        <v>0</v>
      </c>
      <c r="AI1689">
        <f>INDIRECT(ADDRESS(1689,34))+INDIRECT(ADDRESS(1687,35))-INDIRECT(ADDRESS(1688,35))</f>
        <v>0</v>
      </c>
      <c r="AJ1689">
        <f>INDIRECT(ADDRESS(1689,35))+INDIRECT(ADDRESS(1687,36))-INDIRECT(ADDRESS(1688,36))</f>
        <v>0</v>
      </c>
      <c r="AK1689">
        <f>INDIRECT(ADDRESS(1689,36))+INDIRECT(ADDRESS(1687,37))-INDIRECT(ADDRESS(1688,37))</f>
        <v>0</v>
      </c>
      <c r="AL1689">
        <f>INDIRECT(ADDRESS(1689,37))+INDIRECT(ADDRESS(1687,38))-INDIRECT(ADDRESS(1688,38))</f>
        <v>0</v>
      </c>
      <c r="AM1689">
        <f>INDIRECT(ADDRESS(1689,38))+INDIRECT(ADDRESS(1687,39))-INDIRECT(ADDRESS(1688,39))</f>
        <v>0</v>
      </c>
      <c r="AN1689">
        <f>INDIRECT(ADDRESS(1689,39))+INDIRECT(ADDRESS(1687,40))-INDIRECT(ADDRESS(1688,40))</f>
        <v>0</v>
      </c>
      <c r="AO1689">
        <f>SUM(INDIRECT(ADDRESS(1688,8)):INDIRECT(ADDRESS(1688,39)))</f>
        <v>0</v>
      </c>
    </row>
    <row r="1690" spans="1:41">
      <c r="A1690" t="s">
        <v>185</v>
      </c>
      <c r="B1690" t="s">
        <v>766</v>
      </c>
      <c r="C1690" t="s">
        <v>796</v>
      </c>
      <c r="E1690">
        <v>2</v>
      </c>
      <c r="I1690" t="s">
        <v>177</v>
      </c>
    </row>
    <row r="1691" spans="1:41">
      <c r="I1691" t="s">
        <v>178</v>
      </c>
      <c r="J1691">
        <f>IFERROR(VLOOKUP("906-958000-100",B:AB,1+8,0),0)</f>
        <v>0</v>
      </c>
      <c r="K1691">
        <f>IFERROR(VLOOKUP("906-958000-100",B:AB,2+8,0),0)</f>
        <v>0</v>
      </c>
      <c r="L1691">
        <f>IFERROR(VLOOKUP("906-958000-100",B:AB,3+8,0),0)</f>
        <v>0</v>
      </c>
      <c r="M1691">
        <f>IFERROR(VLOOKUP("906-958000-100",B:AB,4+8,0),0)</f>
        <v>0</v>
      </c>
      <c r="N1691">
        <f>IFERROR(VLOOKUP("906-958000-100",B:AB,5+8,0),0)</f>
        <v>0</v>
      </c>
      <c r="O1691">
        <f>IFERROR(VLOOKUP("906-958000-100",B:AB,6+8,0),0)</f>
        <v>0</v>
      </c>
      <c r="P1691">
        <f>IFERROR(VLOOKUP("906-958000-100",B:AB,7+8,0),0)</f>
        <v>0</v>
      </c>
      <c r="Q1691">
        <f>IFERROR(VLOOKUP("906-958000-100",B:AB,8+8,0),0)</f>
        <v>0</v>
      </c>
      <c r="R1691">
        <f>IFERROR(VLOOKUP("906-958000-100",B:AB,9+8,0),0)</f>
        <v>0</v>
      </c>
      <c r="S1691">
        <f>IFERROR(VLOOKUP("906-958000-100",B:AB,10+8,0),0)</f>
        <v>0</v>
      </c>
      <c r="T1691">
        <f>IFERROR(VLOOKUP("906-958000-100",B:AB,11+8,0),0)</f>
        <v>0</v>
      </c>
      <c r="U1691">
        <f>IFERROR(VLOOKUP("906-958000-100",B:AB,12+8,0),0)</f>
        <v>0</v>
      </c>
      <c r="V1691">
        <f>IFERROR(VLOOKUP("906-958000-100",B:AB,13+8,0),0)</f>
        <v>0</v>
      </c>
      <c r="W1691">
        <f>IFERROR(VLOOKUP("906-958000-100",B:AB,14+8,0),0)</f>
        <v>0</v>
      </c>
      <c r="X1691">
        <f>IFERROR(VLOOKUP("906-958000-100",B:AB,15+8,0),0)</f>
        <v>0</v>
      </c>
      <c r="Y1691">
        <f>IFERROR(VLOOKUP("906-958000-100",B:AB,16+8,0),0)</f>
        <v>0</v>
      </c>
      <c r="Z1691">
        <f>IFERROR(VLOOKUP("906-958000-100",B:AB,17+8,0),0)</f>
        <v>0</v>
      </c>
      <c r="AA1691">
        <f>IFERROR(VLOOKUP("906-958000-100",B:AB,18+8,0),0)</f>
        <v>0</v>
      </c>
      <c r="AB1691">
        <f>IFERROR(VLOOKUP("906-958000-100",B:AB,19+8,0),0)</f>
        <v>0</v>
      </c>
      <c r="AC1691">
        <f>IFERROR(VLOOKUP("906-958000-100",B:AB,20+8,0),0)</f>
        <v>0</v>
      </c>
      <c r="AD1691">
        <f>IFERROR(VLOOKUP("906-958000-100",B:AB,21+8,0),0)</f>
        <v>0</v>
      </c>
      <c r="AE1691">
        <f>IFERROR(VLOOKUP("906-958000-100",B:AB,22+8,0),0)</f>
        <v>0</v>
      </c>
      <c r="AF1691">
        <f>IFERROR(VLOOKUP("906-958000-100",B:AB,23+8,0),0)</f>
        <v>0</v>
      </c>
      <c r="AG1691">
        <f>IFERROR(VLOOKUP("906-958000-100",B:AB,24+8,0),0)</f>
        <v>0</v>
      </c>
      <c r="AH1691">
        <f>IFERROR(VLOOKUP("906-958000-100",B:AB,25+8,0),0)</f>
        <v>0</v>
      </c>
      <c r="AI1691">
        <f>IFERROR(VLOOKUP("906-958000-100",B:AB,26+8,0),0)</f>
        <v>0</v>
      </c>
      <c r="AJ1691">
        <f>IFERROR(VLOOKUP("906-958000-100",B:AB,27+8,0),0)</f>
        <v>0</v>
      </c>
      <c r="AK1691">
        <f>IFERROR(VLOOKUP("906-958000-100",B:AB,28+8,0),0)</f>
        <v>0</v>
      </c>
      <c r="AL1691">
        <f>IFERROR(VLOOKUP("906-958000-100",B:AB,29+8,0),0)</f>
        <v>0</v>
      </c>
      <c r="AM1691">
        <f>IFERROR(VLOOKUP("906-958000-100",B:AB,30+8,0),0)</f>
        <v>0</v>
      </c>
      <c r="AN1691">
        <f>IFERROR(VLOOKUP("906-958000-100",B:AB,31+8,0),0)</f>
        <v>0</v>
      </c>
      <c r="AO1691">
        <f>SUN(INDIRECT(ADDRESS(1690,8)):INDIRECT(ADDRESS(1690,39)))</f>
        <v>0</v>
      </c>
    </row>
    <row r="1692" spans="1:41">
      <c r="H1692" t="s">
        <v>179</v>
      </c>
      <c r="J1692">
        <f>INDIRECT(ADDRESS(1692,9))+INDIRECT(ADDRESS(1690,10))-INDIRECT(ADDRESS(1691,10))</f>
        <v>0</v>
      </c>
      <c r="K1692">
        <f>INDIRECT(ADDRESS(1692,10))+INDIRECT(ADDRESS(1690,11))-INDIRECT(ADDRESS(1691,11))</f>
        <v>0</v>
      </c>
      <c r="L1692">
        <f>INDIRECT(ADDRESS(1692,11))+INDIRECT(ADDRESS(1690,12))-INDIRECT(ADDRESS(1691,12))</f>
        <v>0</v>
      </c>
      <c r="M1692">
        <f>INDIRECT(ADDRESS(1692,12))+INDIRECT(ADDRESS(1690,13))-INDIRECT(ADDRESS(1691,13))</f>
        <v>0</v>
      </c>
      <c r="N1692">
        <f>INDIRECT(ADDRESS(1692,13))+INDIRECT(ADDRESS(1690,14))-INDIRECT(ADDRESS(1691,14))</f>
        <v>0</v>
      </c>
      <c r="O1692">
        <f>INDIRECT(ADDRESS(1692,14))+INDIRECT(ADDRESS(1690,15))-INDIRECT(ADDRESS(1691,15))</f>
        <v>0</v>
      </c>
      <c r="P1692">
        <f>INDIRECT(ADDRESS(1692,15))+INDIRECT(ADDRESS(1690,16))-INDIRECT(ADDRESS(1691,16))</f>
        <v>0</v>
      </c>
      <c r="Q1692">
        <f>INDIRECT(ADDRESS(1692,16))+INDIRECT(ADDRESS(1690,17))-INDIRECT(ADDRESS(1691,17))</f>
        <v>0</v>
      </c>
      <c r="R1692">
        <f>INDIRECT(ADDRESS(1692,17))+INDIRECT(ADDRESS(1690,18))-INDIRECT(ADDRESS(1691,18))</f>
        <v>0</v>
      </c>
      <c r="S1692">
        <f>INDIRECT(ADDRESS(1692,18))+INDIRECT(ADDRESS(1690,19))-INDIRECT(ADDRESS(1691,19))</f>
        <v>0</v>
      </c>
      <c r="T1692">
        <f>INDIRECT(ADDRESS(1692,19))+INDIRECT(ADDRESS(1690,20))-INDIRECT(ADDRESS(1691,20))</f>
        <v>0</v>
      </c>
      <c r="U1692">
        <f>INDIRECT(ADDRESS(1692,20))+INDIRECT(ADDRESS(1690,21))-INDIRECT(ADDRESS(1691,21))</f>
        <v>0</v>
      </c>
      <c r="V1692">
        <f>INDIRECT(ADDRESS(1692,21))+INDIRECT(ADDRESS(1690,22))-INDIRECT(ADDRESS(1691,22))</f>
        <v>0</v>
      </c>
      <c r="W1692">
        <f>INDIRECT(ADDRESS(1692,22))+INDIRECT(ADDRESS(1690,23))-INDIRECT(ADDRESS(1691,23))</f>
        <v>0</v>
      </c>
      <c r="X1692">
        <f>INDIRECT(ADDRESS(1692,23))+INDIRECT(ADDRESS(1690,24))-INDIRECT(ADDRESS(1691,24))</f>
        <v>0</v>
      </c>
      <c r="Y1692">
        <f>INDIRECT(ADDRESS(1692,24))+INDIRECT(ADDRESS(1690,25))-INDIRECT(ADDRESS(1691,25))</f>
        <v>0</v>
      </c>
      <c r="Z1692">
        <f>INDIRECT(ADDRESS(1692,25))+INDIRECT(ADDRESS(1690,26))-INDIRECT(ADDRESS(1691,26))</f>
        <v>0</v>
      </c>
      <c r="AA1692">
        <f>INDIRECT(ADDRESS(1692,26))+INDIRECT(ADDRESS(1690,27))-INDIRECT(ADDRESS(1691,27))</f>
        <v>0</v>
      </c>
      <c r="AB1692">
        <f>INDIRECT(ADDRESS(1692,27))+INDIRECT(ADDRESS(1690,28))-INDIRECT(ADDRESS(1691,28))</f>
        <v>0</v>
      </c>
      <c r="AC1692">
        <f>INDIRECT(ADDRESS(1692,28))+INDIRECT(ADDRESS(1690,29))-INDIRECT(ADDRESS(1691,29))</f>
        <v>0</v>
      </c>
      <c r="AD1692">
        <f>INDIRECT(ADDRESS(1692,29))+INDIRECT(ADDRESS(1690,30))-INDIRECT(ADDRESS(1691,30))</f>
        <v>0</v>
      </c>
      <c r="AE1692">
        <f>INDIRECT(ADDRESS(1692,30))+INDIRECT(ADDRESS(1690,31))-INDIRECT(ADDRESS(1691,31))</f>
        <v>0</v>
      </c>
      <c r="AF1692">
        <f>INDIRECT(ADDRESS(1692,31))+INDIRECT(ADDRESS(1690,32))-INDIRECT(ADDRESS(1691,32))</f>
        <v>0</v>
      </c>
      <c r="AG1692">
        <f>INDIRECT(ADDRESS(1692,32))+INDIRECT(ADDRESS(1690,33))-INDIRECT(ADDRESS(1691,33))</f>
        <v>0</v>
      </c>
      <c r="AH1692">
        <f>INDIRECT(ADDRESS(1692,33))+INDIRECT(ADDRESS(1690,34))-INDIRECT(ADDRESS(1691,34))</f>
        <v>0</v>
      </c>
      <c r="AI1692">
        <f>INDIRECT(ADDRESS(1692,34))+INDIRECT(ADDRESS(1690,35))-INDIRECT(ADDRESS(1691,35))</f>
        <v>0</v>
      </c>
      <c r="AJ1692">
        <f>INDIRECT(ADDRESS(1692,35))+INDIRECT(ADDRESS(1690,36))-INDIRECT(ADDRESS(1691,36))</f>
        <v>0</v>
      </c>
      <c r="AK1692">
        <f>INDIRECT(ADDRESS(1692,36))+INDIRECT(ADDRESS(1690,37))-INDIRECT(ADDRESS(1691,37))</f>
        <v>0</v>
      </c>
      <c r="AL1692">
        <f>INDIRECT(ADDRESS(1692,37))+INDIRECT(ADDRESS(1690,38))-INDIRECT(ADDRESS(1691,38))</f>
        <v>0</v>
      </c>
      <c r="AM1692">
        <f>INDIRECT(ADDRESS(1692,38))+INDIRECT(ADDRESS(1690,39))-INDIRECT(ADDRESS(1691,39))</f>
        <v>0</v>
      </c>
      <c r="AN1692">
        <f>INDIRECT(ADDRESS(1692,39))+INDIRECT(ADDRESS(1690,40))-INDIRECT(ADDRESS(1691,40))</f>
        <v>0</v>
      </c>
      <c r="AO1692">
        <f>SUM(INDIRECT(ADDRESS(1691,8)):INDIRECT(ADDRESS(1691,39)))</f>
        <v>0</v>
      </c>
    </row>
    <row r="1693" spans="1:41">
      <c r="A1693" t="s">
        <v>185</v>
      </c>
      <c r="B1693" t="s">
        <v>797</v>
      </c>
      <c r="C1693" t="s">
        <v>798</v>
      </c>
      <c r="E1693">
        <v>1</v>
      </c>
      <c r="I1693" t="s">
        <v>177</v>
      </c>
    </row>
    <row r="1694" spans="1:41">
      <c r="I1694" t="s">
        <v>178</v>
      </c>
      <c r="J1694">
        <f>IFERROR(VLOOKUP("906-958000-100",B:AB,1+8,0),0)</f>
        <v>0</v>
      </c>
      <c r="K1694">
        <f>IFERROR(VLOOKUP("906-958000-100",B:AB,2+8,0),0)</f>
        <v>0</v>
      </c>
      <c r="L1694">
        <f>IFERROR(VLOOKUP("906-958000-100",B:AB,3+8,0),0)</f>
        <v>0</v>
      </c>
      <c r="M1694">
        <f>IFERROR(VLOOKUP("906-958000-100",B:AB,4+8,0),0)</f>
        <v>0</v>
      </c>
      <c r="N1694">
        <f>IFERROR(VLOOKUP("906-958000-100",B:AB,5+8,0),0)</f>
        <v>0</v>
      </c>
      <c r="O1694">
        <f>IFERROR(VLOOKUP("906-958000-100",B:AB,6+8,0),0)</f>
        <v>0</v>
      </c>
      <c r="P1694">
        <f>IFERROR(VLOOKUP("906-958000-100",B:AB,7+8,0),0)</f>
        <v>0</v>
      </c>
      <c r="Q1694">
        <f>IFERROR(VLOOKUP("906-958000-100",B:AB,8+8,0),0)</f>
        <v>0</v>
      </c>
      <c r="R1694">
        <f>IFERROR(VLOOKUP("906-958000-100",B:AB,9+8,0),0)</f>
        <v>0</v>
      </c>
      <c r="S1694">
        <f>IFERROR(VLOOKUP("906-958000-100",B:AB,10+8,0),0)</f>
        <v>0</v>
      </c>
      <c r="T1694">
        <f>IFERROR(VLOOKUP("906-958000-100",B:AB,11+8,0),0)</f>
        <v>0</v>
      </c>
      <c r="U1694">
        <f>IFERROR(VLOOKUP("906-958000-100",B:AB,12+8,0),0)</f>
        <v>0</v>
      </c>
      <c r="V1694">
        <f>IFERROR(VLOOKUP("906-958000-100",B:AB,13+8,0),0)</f>
        <v>0</v>
      </c>
      <c r="W1694">
        <f>IFERROR(VLOOKUP("906-958000-100",B:AB,14+8,0),0)</f>
        <v>0</v>
      </c>
      <c r="X1694">
        <f>IFERROR(VLOOKUP("906-958000-100",B:AB,15+8,0),0)</f>
        <v>0</v>
      </c>
      <c r="Y1694">
        <f>IFERROR(VLOOKUP("906-958000-100",B:AB,16+8,0),0)</f>
        <v>0</v>
      </c>
      <c r="Z1694">
        <f>IFERROR(VLOOKUP("906-958000-100",B:AB,17+8,0),0)</f>
        <v>0</v>
      </c>
      <c r="AA1694">
        <f>IFERROR(VLOOKUP("906-958000-100",B:AB,18+8,0),0)</f>
        <v>0</v>
      </c>
      <c r="AB1694">
        <f>IFERROR(VLOOKUP("906-958000-100",B:AB,19+8,0),0)</f>
        <v>0</v>
      </c>
      <c r="AC1694">
        <f>IFERROR(VLOOKUP("906-958000-100",B:AB,20+8,0),0)</f>
        <v>0</v>
      </c>
      <c r="AD1694">
        <f>IFERROR(VLOOKUP("906-958000-100",B:AB,21+8,0),0)</f>
        <v>0</v>
      </c>
      <c r="AE1694">
        <f>IFERROR(VLOOKUP("906-958000-100",B:AB,22+8,0),0)</f>
        <v>0</v>
      </c>
      <c r="AF1694">
        <f>IFERROR(VLOOKUP("906-958000-100",B:AB,23+8,0),0)</f>
        <v>0</v>
      </c>
      <c r="AG1694">
        <f>IFERROR(VLOOKUP("906-958000-100",B:AB,24+8,0),0)</f>
        <v>0</v>
      </c>
      <c r="AH1694">
        <f>IFERROR(VLOOKUP("906-958000-100",B:AB,25+8,0),0)</f>
        <v>0</v>
      </c>
      <c r="AI1694">
        <f>IFERROR(VLOOKUP("906-958000-100",B:AB,26+8,0),0)</f>
        <v>0</v>
      </c>
      <c r="AJ1694">
        <f>IFERROR(VLOOKUP("906-958000-100",B:AB,27+8,0),0)</f>
        <v>0</v>
      </c>
      <c r="AK1694">
        <f>IFERROR(VLOOKUP("906-958000-100",B:AB,28+8,0),0)</f>
        <v>0</v>
      </c>
      <c r="AL1694">
        <f>IFERROR(VLOOKUP("906-958000-100",B:AB,29+8,0),0)</f>
        <v>0</v>
      </c>
      <c r="AM1694">
        <f>IFERROR(VLOOKUP("906-958000-100",B:AB,30+8,0),0)</f>
        <v>0</v>
      </c>
      <c r="AN1694">
        <f>IFERROR(VLOOKUP("906-958000-100",B:AB,31+8,0),0)</f>
        <v>0</v>
      </c>
      <c r="AO1694">
        <f>SUN(INDIRECT(ADDRESS(1693,8)):INDIRECT(ADDRESS(1693,39)))</f>
        <v>0</v>
      </c>
    </row>
    <row r="1695" spans="1:41">
      <c r="H1695" t="s">
        <v>179</v>
      </c>
      <c r="J1695">
        <f>INDIRECT(ADDRESS(1695,9))+INDIRECT(ADDRESS(1693,10))-INDIRECT(ADDRESS(1694,10))</f>
        <v>0</v>
      </c>
      <c r="K1695">
        <f>INDIRECT(ADDRESS(1695,10))+INDIRECT(ADDRESS(1693,11))-INDIRECT(ADDRESS(1694,11))</f>
        <v>0</v>
      </c>
      <c r="L1695">
        <f>INDIRECT(ADDRESS(1695,11))+INDIRECT(ADDRESS(1693,12))-INDIRECT(ADDRESS(1694,12))</f>
        <v>0</v>
      </c>
      <c r="M1695">
        <f>INDIRECT(ADDRESS(1695,12))+INDIRECT(ADDRESS(1693,13))-INDIRECT(ADDRESS(1694,13))</f>
        <v>0</v>
      </c>
      <c r="N1695">
        <f>INDIRECT(ADDRESS(1695,13))+INDIRECT(ADDRESS(1693,14))-INDIRECT(ADDRESS(1694,14))</f>
        <v>0</v>
      </c>
      <c r="O1695">
        <f>INDIRECT(ADDRESS(1695,14))+INDIRECT(ADDRESS(1693,15))-INDIRECT(ADDRESS(1694,15))</f>
        <v>0</v>
      </c>
      <c r="P1695">
        <f>INDIRECT(ADDRESS(1695,15))+INDIRECT(ADDRESS(1693,16))-INDIRECT(ADDRESS(1694,16))</f>
        <v>0</v>
      </c>
      <c r="Q1695">
        <f>INDIRECT(ADDRESS(1695,16))+INDIRECT(ADDRESS(1693,17))-INDIRECT(ADDRESS(1694,17))</f>
        <v>0</v>
      </c>
      <c r="R1695">
        <f>INDIRECT(ADDRESS(1695,17))+INDIRECT(ADDRESS(1693,18))-INDIRECT(ADDRESS(1694,18))</f>
        <v>0</v>
      </c>
      <c r="S1695">
        <f>INDIRECT(ADDRESS(1695,18))+INDIRECT(ADDRESS(1693,19))-INDIRECT(ADDRESS(1694,19))</f>
        <v>0</v>
      </c>
      <c r="T1695">
        <f>INDIRECT(ADDRESS(1695,19))+INDIRECT(ADDRESS(1693,20))-INDIRECT(ADDRESS(1694,20))</f>
        <v>0</v>
      </c>
      <c r="U1695">
        <f>INDIRECT(ADDRESS(1695,20))+INDIRECT(ADDRESS(1693,21))-INDIRECT(ADDRESS(1694,21))</f>
        <v>0</v>
      </c>
      <c r="V1695">
        <f>INDIRECT(ADDRESS(1695,21))+INDIRECT(ADDRESS(1693,22))-INDIRECT(ADDRESS(1694,22))</f>
        <v>0</v>
      </c>
      <c r="W1695">
        <f>INDIRECT(ADDRESS(1695,22))+INDIRECT(ADDRESS(1693,23))-INDIRECT(ADDRESS(1694,23))</f>
        <v>0</v>
      </c>
      <c r="X1695">
        <f>INDIRECT(ADDRESS(1695,23))+INDIRECT(ADDRESS(1693,24))-INDIRECT(ADDRESS(1694,24))</f>
        <v>0</v>
      </c>
      <c r="Y1695">
        <f>INDIRECT(ADDRESS(1695,24))+INDIRECT(ADDRESS(1693,25))-INDIRECT(ADDRESS(1694,25))</f>
        <v>0</v>
      </c>
      <c r="Z1695">
        <f>INDIRECT(ADDRESS(1695,25))+INDIRECT(ADDRESS(1693,26))-INDIRECT(ADDRESS(1694,26))</f>
        <v>0</v>
      </c>
      <c r="AA1695">
        <f>INDIRECT(ADDRESS(1695,26))+INDIRECT(ADDRESS(1693,27))-INDIRECT(ADDRESS(1694,27))</f>
        <v>0</v>
      </c>
      <c r="AB1695">
        <f>INDIRECT(ADDRESS(1695,27))+INDIRECT(ADDRESS(1693,28))-INDIRECT(ADDRESS(1694,28))</f>
        <v>0</v>
      </c>
      <c r="AC1695">
        <f>INDIRECT(ADDRESS(1695,28))+INDIRECT(ADDRESS(1693,29))-INDIRECT(ADDRESS(1694,29))</f>
        <v>0</v>
      </c>
      <c r="AD1695">
        <f>INDIRECT(ADDRESS(1695,29))+INDIRECT(ADDRESS(1693,30))-INDIRECT(ADDRESS(1694,30))</f>
        <v>0</v>
      </c>
      <c r="AE1695">
        <f>INDIRECT(ADDRESS(1695,30))+INDIRECT(ADDRESS(1693,31))-INDIRECT(ADDRESS(1694,31))</f>
        <v>0</v>
      </c>
      <c r="AF1695">
        <f>INDIRECT(ADDRESS(1695,31))+INDIRECT(ADDRESS(1693,32))-INDIRECT(ADDRESS(1694,32))</f>
        <v>0</v>
      </c>
      <c r="AG1695">
        <f>INDIRECT(ADDRESS(1695,32))+INDIRECT(ADDRESS(1693,33))-INDIRECT(ADDRESS(1694,33))</f>
        <v>0</v>
      </c>
      <c r="AH1695">
        <f>INDIRECT(ADDRESS(1695,33))+INDIRECT(ADDRESS(1693,34))-INDIRECT(ADDRESS(1694,34))</f>
        <v>0</v>
      </c>
      <c r="AI1695">
        <f>INDIRECT(ADDRESS(1695,34))+INDIRECT(ADDRESS(1693,35))-INDIRECT(ADDRESS(1694,35))</f>
        <v>0</v>
      </c>
      <c r="AJ1695">
        <f>INDIRECT(ADDRESS(1695,35))+INDIRECT(ADDRESS(1693,36))-INDIRECT(ADDRESS(1694,36))</f>
        <v>0</v>
      </c>
      <c r="AK1695">
        <f>INDIRECT(ADDRESS(1695,36))+INDIRECT(ADDRESS(1693,37))-INDIRECT(ADDRESS(1694,37))</f>
        <v>0</v>
      </c>
      <c r="AL1695">
        <f>INDIRECT(ADDRESS(1695,37))+INDIRECT(ADDRESS(1693,38))-INDIRECT(ADDRESS(1694,38))</f>
        <v>0</v>
      </c>
      <c r="AM1695">
        <f>INDIRECT(ADDRESS(1695,38))+INDIRECT(ADDRESS(1693,39))-INDIRECT(ADDRESS(1694,39))</f>
        <v>0</v>
      </c>
      <c r="AN1695">
        <f>INDIRECT(ADDRESS(1695,39))+INDIRECT(ADDRESS(1693,40))-INDIRECT(ADDRESS(1694,40))</f>
        <v>0</v>
      </c>
      <c r="AO1695">
        <f>SUM(INDIRECT(ADDRESS(1694,8)):INDIRECT(ADDRESS(1694,39)))</f>
        <v>0</v>
      </c>
    </row>
    <row r="1696" spans="1:41">
      <c r="A1696" t="s">
        <v>185</v>
      </c>
      <c r="B1696" t="s">
        <v>799</v>
      </c>
      <c r="C1696" t="s">
        <v>800</v>
      </c>
      <c r="E1696">
        <v>2</v>
      </c>
      <c r="I1696" t="s">
        <v>177</v>
      </c>
    </row>
    <row r="1697" spans="1:41">
      <c r="I1697" t="s">
        <v>178</v>
      </c>
      <c r="J1697">
        <f>IFERROR(VLOOKUP("906-958000-100",B:AB,1+8,0),0)</f>
        <v>0</v>
      </c>
      <c r="K1697">
        <f>IFERROR(VLOOKUP("906-958000-100",B:AB,2+8,0),0)</f>
        <v>0</v>
      </c>
      <c r="L1697">
        <f>IFERROR(VLOOKUP("906-958000-100",B:AB,3+8,0),0)</f>
        <v>0</v>
      </c>
      <c r="M1697">
        <f>IFERROR(VLOOKUP("906-958000-100",B:AB,4+8,0),0)</f>
        <v>0</v>
      </c>
      <c r="N1697">
        <f>IFERROR(VLOOKUP("906-958000-100",B:AB,5+8,0),0)</f>
        <v>0</v>
      </c>
      <c r="O1697">
        <f>IFERROR(VLOOKUP("906-958000-100",B:AB,6+8,0),0)</f>
        <v>0</v>
      </c>
      <c r="P1697">
        <f>IFERROR(VLOOKUP("906-958000-100",B:AB,7+8,0),0)</f>
        <v>0</v>
      </c>
      <c r="Q1697">
        <f>IFERROR(VLOOKUP("906-958000-100",B:AB,8+8,0),0)</f>
        <v>0</v>
      </c>
      <c r="R1697">
        <f>IFERROR(VLOOKUP("906-958000-100",B:AB,9+8,0),0)</f>
        <v>0</v>
      </c>
      <c r="S1697">
        <f>IFERROR(VLOOKUP("906-958000-100",B:AB,10+8,0),0)</f>
        <v>0</v>
      </c>
      <c r="T1697">
        <f>IFERROR(VLOOKUP("906-958000-100",B:AB,11+8,0),0)</f>
        <v>0</v>
      </c>
      <c r="U1697">
        <f>IFERROR(VLOOKUP("906-958000-100",B:AB,12+8,0),0)</f>
        <v>0</v>
      </c>
      <c r="V1697">
        <f>IFERROR(VLOOKUP("906-958000-100",B:AB,13+8,0),0)</f>
        <v>0</v>
      </c>
      <c r="W1697">
        <f>IFERROR(VLOOKUP("906-958000-100",B:AB,14+8,0),0)</f>
        <v>0</v>
      </c>
      <c r="X1697">
        <f>IFERROR(VLOOKUP("906-958000-100",B:AB,15+8,0),0)</f>
        <v>0</v>
      </c>
      <c r="Y1697">
        <f>IFERROR(VLOOKUP("906-958000-100",B:AB,16+8,0),0)</f>
        <v>0</v>
      </c>
      <c r="Z1697">
        <f>IFERROR(VLOOKUP("906-958000-100",B:AB,17+8,0),0)</f>
        <v>0</v>
      </c>
      <c r="AA1697">
        <f>IFERROR(VLOOKUP("906-958000-100",B:AB,18+8,0),0)</f>
        <v>0</v>
      </c>
      <c r="AB1697">
        <f>IFERROR(VLOOKUP("906-958000-100",B:AB,19+8,0),0)</f>
        <v>0</v>
      </c>
      <c r="AC1697">
        <f>IFERROR(VLOOKUP("906-958000-100",B:AB,20+8,0),0)</f>
        <v>0</v>
      </c>
      <c r="AD1697">
        <f>IFERROR(VLOOKUP("906-958000-100",B:AB,21+8,0),0)</f>
        <v>0</v>
      </c>
      <c r="AE1697">
        <f>IFERROR(VLOOKUP("906-958000-100",B:AB,22+8,0),0)</f>
        <v>0</v>
      </c>
      <c r="AF1697">
        <f>IFERROR(VLOOKUP("906-958000-100",B:AB,23+8,0),0)</f>
        <v>0</v>
      </c>
      <c r="AG1697">
        <f>IFERROR(VLOOKUP("906-958000-100",B:AB,24+8,0),0)</f>
        <v>0</v>
      </c>
      <c r="AH1697">
        <f>IFERROR(VLOOKUP("906-958000-100",B:AB,25+8,0),0)</f>
        <v>0</v>
      </c>
      <c r="AI1697">
        <f>IFERROR(VLOOKUP("906-958000-100",B:AB,26+8,0),0)</f>
        <v>0</v>
      </c>
      <c r="AJ1697">
        <f>IFERROR(VLOOKUP("906-958000-100",B:AB,27+8,0),0)</f>
        <v>0</v>
      </c>
      <c r="AK1697">
        <f>IFERROR(VLOOKUP("906-958000-100",B:AB,28+8,0),0)</f>
        <v>0</v>
      </c>
      <c r="AL1697">
        <f>IFERROR(VLOOKUP("906-958000-100",B:AB,29+8,0),0)</f>
        <v>0</v>
      </c>
      <c r="AM1697">
        <f>IFERROR(VLOOKUP("906-958000-100",B:AB,30+8,0),0)</f>
        <v>0</v>
      </c>
      <c r="AN1697">
        <f>IFERROR(VLOOKUP("906-958000-100",B:AB,31+8,0),0)</f>
        <v>0</v>
      </c>
      <c r="AO1697">
        <f>SUN(INDIRECT(ADDRESS(1696,8)):INDIRECT(ADDRESS(1696,39)))</f>
        <v>0</v>
      </c>
    </row>
    <row r="1698" spans="1:41">
      <c r="H1698" t="s">
        <v>179</v>
      </c>
      <c r="J1698">
        <f>INDIRECT(ADDRESS(1698,9))+INDIRECT(ADDRESS(1696,10))-INDIRECT(ADDRESS(1697,10))</f>
        <v>0</v>
      </c>
      <c r="K1698">
        <f>INDIRECT(ADDRESS(1698,10))+INDIRECT(ADDRESS(1696,11))-INDIRECT(ADDRESS(1697,11))</f>
        <v>0</v>
      </c>
      <c r="L1698">
        <f>INDIRECT(ADDRESS(1698,11))+INDIRECT(ADDRESS(1696,12))-INDIRECT(ADDRESS(1697,12))</f>
        <v>0</v>
      </c>
      <c r="M1698">
        <f>INDIRECT(ADDRESS(1698,12))+INDIRECT(ADDRESS(1696,13))-INDIRECT(ADDRESS(1697,13))</f>
        <v>0</v>
      </c>
      <c r="N1698">
        <f>INDIRECT(ADDRESS(1698,13))+INDIRECT(ADDRESS(1696,14))-INDIRECT(ADDRESS(1697,14))</f>
        <v>0</v>
      </c>
      <c r="O1698">
        <f>INDIRECT(ADDRESS(1698,14))+INDIRECT(ADDRESS(1696,15))-INDIRECT(ADDRESS(1697,15))</f>
        <v>0</v>
      </c>
      <c r="P1698">
        <f>INDIRECT(ADDRESS(1698,15))+INDIRECT(ADDRESS(1696,16))-INDIRECT(ADDRESS(1697,16))</f>
        <v>0</v>
      </c>
      <c r="Q1698">
        <f>INDIRECT(ADDRESS(1698,16))+INDIRECT(ADDRESS(1696,17))-INDIRECT(ADDRESS(1697,17))</f>
        <v>0</v>
      </c>
      <c r="R1698">
        <f>INDIRECT(ADDRESS(1698,17))+INDIRECT(ADDRESS(1696,18))-INDIRECT(ADDRESS(1697,18))</f>
        <v>0</v>
      </c>
      <c r="S1698">
        <f>INDIRECT(ADDRESS(1698,18))+INDIRECT(ADDRESS(1696,19))-INDIRECT(ADDRESS(1697,19))</f>
        <v>0</v>
      </c>
      <c r="T1698">
        <f>INDIRECT(ADDRESS(1698,19))+INDIRECT(ADDRESS(1696,20))-INDIRECT(ADDRESS(1697,20))</f>
        <v>0</v>
      </c>
      <c r="U1698">
        <f>INDIRECT(ADDRESS(1698,20))+INDIRECT(ADDRESS(1696,21))-INDIRECT(ADDRESS(1697,21))</f>
        <v>0</v>
      </c>
      <c r="V1698">
        <f>INDIRECT(ADDRESS(1698,21))+INDIRECT(ADDRESS(1696,22))-INDIRECT(ADDRESS(1697,22))</f>
        <v>0</v>
      </c>
      <c r="W1698">
        <f>INDIRECT(ADDRESS(1698,22))+INDIRECT(ADDRESS(1696,23))-INDIRECT(ADDRESS(1697,23))</f>
        <v>0</v>
      </c>
      <c r="X1698">
        <f>INDIRECT(ADDRESS(1698,23))+INDIRECT(ADDRESS(1696,24))-INDIRECT(ADDRESS(1697,24))</f>
        <v>0</v>
      </c>
      <c r="Y1698">
        <f>INDIRECT(ADDRESS(1698,24))+INDIRECT(ADDRESS(1696,25))-INDIRECT(ADDRESS(1697,25))</f>
        <v>0</v>
      </c>
      <c r="Z1698">
        <f>INDIRECT(ADDRESS(1698,25))+INDIRECT(ADDRESS(1696,26))-INDIRECT(ADDRESS(1697,26))</f>
        <v>0</v>
      </c>
      <c r="AA1698">
        <f>INDIRECT(ADDRESS(1698,26))+INDIRECT(ADDRESS(1696,27))-INDIRECT(ADDRESS(1697,27))</f>
        <v>0</v>
      </c>
      <c r="AB1698">
        <f>INDIRECT(ADDRESS(1698,27))+INDIRECT(ADDRESS(1696,28))-INDIRECT(ADDRESS(1697,28))</f>
        <v>0</v>
      </c>
      <c r="AC1698">
        <f>INDIRECT(ADDRESS(1698,28))+INDIRECT(ADDRESS(1696,29))-INDIRECT(ADDRESS(1697,29))</f>
        <v>0</v>
      </c>
      <c r="AD1698">
        <f>INDIRECT(ADDRESS(1698,29))+INDIRECT(ADDRESS(1696,30))-INDIRECT(ADDRESS(1697,30))</f>
        <v>0</v>
      </c>
      <c r="AE1698">
        <f>INDIRECT(ADDRESS(1698,30))+INDIRECT(ADDRESS(1696,31))-INDIRECT(ADDRESS(1697,31))</f>
        <v>0</v>
      </c>
      <c r="AF1698">
        <f>INDIRECT(ADDRESS(1698,31))+INDIRECT(ADDRESS(1696,32))-INDIRECT(ADDRESS(1697,32))</f>
        <v>0</v>
      </c>
      <c r="AG1698">
        <f>INDIRECT(ADDRESS(1698,32))+INDIRECT(ADDRESS(1696,33))-INDIRECT(ADDRESS(1697,33))</f>
        <v>0</v>
      </c>
      <c r="AH1698">
        <f>INDIRECT(ADDRESS(1698,33))+INDIRECT(ADDRESS(1696,34))-INDIRECT(ADDRESS(1697,34))</f>
        <v>0</v>
      </c>
      <c r="AI1698">
        <f>INDIRECT(ADDRESS(1698,34))+INDIRECT(ADDRESS(1696,35))-INDIRECT(ADDRESS(1697,35))</f>
        <v>0</v>
      </c>
      <c r="AJ1698">
        <f>INDIRECT(ADDRESS(1698,35))+INDIRECT(ADDRESS(1696,36))-INDIRECT(ADDRESS(1697,36))</f>
        <v>0</v>
      </c>
      <c r="AK1698">
        <f>INDIRECT(ADDRESS(1698,36))+INDIRECT(ADDRESS(1696,37))-INDIRECT(ADDRESS(1697,37))</f>
        <v>0</v>
      </c>
      <c r="AL1698">
        <f>INDIRECT(ADDRESS(1698,37))+INDIRECT(ADDRESS(1696,38))-INDIRECT(ADDRESS(1697,38))</f>
        <v>0</v>
      </c>
      <c r="AM1698">
        <f>INDIRECT(ADDRESS(1698,38))+INDIRECT(ADDRESS(1696,39))-INDIRECT(ADDRESS(1697,39))</f>
        <v>0</v>
      </c>
      <c r="AN1698">
        <f>INDIRECT(ADDRESS(1698,39))+INDIRECT(ADDRESS(1696,40))-INDIRECT(ADDRESS(1697,40))</f>
        <v>0</v>
      </c>
      <c r="AO1698">
        <f>SUM(INDIRECT(ADDRESS(1697,8)):INDIRECT(ADDRESS(1697,39)))</f>
        <v>0</v>
      </c>
    </row>
    <row r="1699" spans="1:41">
      <c r="A1699" t="s">
        <v>185</v>
      </c>
      <c r="B1699" t="s">
        <v>801</v>
      </c>
      <c r="C1699" t="s">
        <v>802</v>
      </c>
      <c r="E1699">
        <v>1</v>
      </c>
      <c r="I1699" t="s">
        <v>177</v>
      </c>
    </row>
    <row r="1700" spans="1:41">
      <c r="I1700" t="s">
        <v>178</v>
      </c>
      <c r="J1700">
        <f>IFERROR(VLOOKUP("906-958000-100",B:AB,1+8,0),0)</f>
        <v>0</v>
      </c>
      <c r="K1700">
        <f>IFERROR(VLOOKUP("906-958000-100",B:AB,2+8,0),0)</f>
        <v>0</v>
      </c>
      <c r="L1700">
        <f>IFERROR(VLOOKUP("906-958000-100",B:AB,3+8,0),0)</f>
        <v>0</v>
      </c>
      <c r="M1700">
        <f>IFERROR(VLOOKUP("906-958000-100",B:AB,4+8,0),0)</f>
        <v>0</v>
      </c>
      <c r="N1700">
        <f>IFERROR(VLOOKUP("906-958000-100",B:AB,5+8,0),0)</f>
        <v>0</v>
      </c>
      <c r="O1700">
        <f>IFERROR(VLOOKUP("906-958000-100",B:AB,6+8,0),0)</f>
        <v>0</v>
      </c>
      <c r="P1700">
        <f>IFERROR(VLOOKUP("906-958000-100",B:AB,7+8,0),0)</f>
        <v>0</v>
      </c>
      <c r="Q1700">
        <f>IFERROR(VLOOKUP("906-958000-100",B:AB,8+8,0),0)</f>
        <v>0</v>
      </c>
      <c r="R1700">
        <f>IFERROR(VLOOKUP("906-958000-100",B:AB,9+8,0),0)</f>
        <v>0</v>
      </c>
      <c r="S1700">
        <f>IFERROR(VLOOKUP("906-958000-100",B:AB,10+8,0),0)</f>
        <v>0</v>
      </c>
      <c r="T1700">
        <f>IFERROR(VLOOKUP("906-958000-100",B:AB,11+8,0),0)</f>
        <v>0</v>
      </c>
      <c r="U1700">
        <f>IFERROR(VLOOKUP("906-958000-100",B:AB,12+8,0),0)</f>
        <v>0</v>
      </c>
      <c r="V1700">
        <f>IFERROR(VLOOKUP("906-958000-100",B:AB,13+8,0),0)</f>
        <v>0</v>
      </c>
      <c r="W1700">
        <f>IFERROR(VLOOKUP("906-958000-100",B:AB,14+8,0),0)</f>
        <v>0</v>
      </c>
      <c r="X1700">
        <f>IFERROR(VLOOKUP("906-958000-100",B:AB,15+8,0),0)</f>
        <v>0</v>
      </c>
      <c r="Y1700">
        <f>IFERROR(VLOOKUP("906-958000-100",B:AB,16+8,0),0)</f>
        <v>0</v>
      </c>
      <c r="Z1700">
        <f>IFERROR(VLOOKUP("906-958000-100",B:AB,17+8,0),0)</f>
        <v>0</v>
      </c>
      <c r="AA1700">
        <f>IFERROR(VLOOKUP("906-958000-100",B:AB,18+8,0),0)</f>
        <v>0</v>
      </c>
      <c r="AB1700">
        <f>IFERROR(VLOOKUP("906-958000-100",B:AB,19+8,0),0)</f>
        <v>0</v>
      </c>
      <c r="AC1700">
        <f>IFERROR(VLOOKUP("906-958000-100",B:AB,20+8,0),0)</f>
        <v>0</v>
      </c>
      <c r="AD1700">
        <f>IFERROR(VLOOKUP("906-958000-100",B:AB,21+8,0),0)</f>
        <v>0</v>
      </c>
      <c r="AE1700">
        <f>IFERROR(VLOOKUP("906-958000-100",B:AB,22+8,0),0)</f>
        <v>0</v>
      </c>
      <c r="AF1700">
        <f>IFERROR(VLOOKUP("906-958000-100",B:AB,23+8,0),0)</f>
        <v>0</v>
      </c>
      <c r="AG1700">
        <f>IFERROR(VLOOKUP("906-958000-100",B:AB,24+8,0),0)</f>
        <v>0</v>
      </c>
      <c r="AH1700">
        <f>IFERROR(VLOOKUP("906-958000-100",B:AB,25+8,0),0)</f>
        <v>0</v>
      </c>
      <c r="AI1700">
        <f>IFERROR(VLOOKUP("906-958000-100",B:AB,26+8,0),0)</f>
        <v>0</v>
      </c>
      <c r="AJ1700">
        <f>IFERROR(VLOOKUP("906-958000-100",B:AB,27+8,0),0)</f>
        <v>0</v>
      </c>
      <c r="AK1700">
        <f>IFERROR(VLOOKUP("906-958000-100",B:AB,28+8,0),0)</f>
        <v>0</v>
      </c>
      <c r="AL1700">
        <f>IFERROR(VLOOKUP("906-958000-100",B:AB,29+8,0),0)</f>
        <v>0</v>
      </c>
      <c r="AM1700">
        <f>IFERROR(VLOOKUP("906-958000-100",B:AB,30+8,0),0)</f>
        <v>0</v>
      </c>
      <c r="AN1700">
        <f>IFERROR(VLOOKUP("906-958000-100",B:AB,31+8,0),0)</f>
        <v>0</v>
      </c>
      <c r="AO1700">
        <f>SUN(INDIRECT(ADDRESS(1699,8)):INDIRECT(ADDRESS(1699,39)))</f>
        <v>0</v>
      </c>
    </row>
    <row r="1701" spans="1:41">
      <c r="H1701" t="s">
        <v>179</v>
      </c>
      <c r="J1701">
        <f>INDIRECT(ADDRESS(1701,9))+INDIRECT(ADDRESS(1699,10))-INDIRECT(ADDRESS(1700,10))</f>
        <v>0</v>
      </c>
      <c r="K1701">
        <f>INDIRECT(ADDRESS(1701,10))+INDIRECT(ADDRESS(1699,11))-INDIRECT(ADDRESS(1700,11))</f>
        <v>0</v>
      </c>
      <c r="L1701">
        <f>INDIRECT(ADDRESS(1701,11))+INDIRECT(ADDRESS(1699,12))-INDIRECT(ADDRESS(1700,12))</f>
        <v>0</v>
      </c>
      <c r="M1701">
        <f>INDIRECT(ADDRESS(1701,12))+INDIRECT(ADDRESS(1699,13))-INDIRECT(ADDRESS(1700,13))</f>
        <v>0</v>
      </c>
      <c r="N1701">
        <f>INDIRECT(ADDRESS(1701,13))+INDIRECT(ADDRESS(1699,14))-INDIRECT(ADDRESS(1700,14))</f>
        <v>0</v>
      </c>
      <c r="O1701">
        <f>INDIRECT(ADDRESS(1701,14))+INDIRECT(ADDRESS(1699,15))-INDIRECT(ADDRESS(1700,15))</f>
        <v>0</v>
      </c>
      <c r="P1701">
        <f>INDIRECT(ADDRESS(1701,15))+INDIRECT(ADDRESS(1699,16))-INDIRECT(ADDRESS(1700,16))</f>
        <v>0</v>
      </c>
      <c r="Q1701">
        <f>INDIRECT(ADDRESS(1701,16))+INDIRECT(ADDRESS(1699,17))-INDIRECT(ADDRESS(1700,17))</f>
        <v>0</v>
      </c>
      <c r="R1701">
        <f>INDIRECT(ADDRESS(1701,17))+INDIRECT(ADDRESS(1699,18))-INDIRECT(ADDRESS(1700,18))</f>
        <v>0</v>
      </c>
      <c r="S1701">
        <f>INDIRECT(ADDRESS(1701,18))+INDIRECT(ADDRESS(1699,19))-INDIRECT(ADDRESS(1700,19))</f>
        <v>0</v>
      </c>
      <c r="T1701">
        <f>INDIRECT(ADDRESS(1701,19))+INDIRECT(ADDRESS(1699,20))-INDIRECT(ADDRESS(1700,20))</f>
        <v>0</v>
      </c>
      <c r="U1701">
        <f>INDIRECT(ADDRESS(1701,20))+INDIRECT(ADDRESS(1699,21))-INDIRECT(ADDRESS(1700,21))</f>
        <v>0</v>
      </c>
      <c r="V1701">
        <f>INDIRECT(ADDRESS(1701,21))+INDIRECT(ADDRESS(1699,22))-INDIRECT(ADDRESS(1700,22))</f>
        <v>0</v>
      </c>
      <c r="W1701">
        <f>INDIRECT(ADDRESS(1701,22))+INDIRECT(ADDRESS(1699,23))-INDIRECT(ADDRESS(1700,23))</f>
        <v>0</v>
      </c>
      <c r="X1701">
        <f>INDIRECT(ADDRESS(1701,23))+INDIRECT(ADDRESS(1699,24))-INDIRECT(ADDRESS(1700,24))</f>
        <v>0</v>
      </c>
      <c r="Y1701">
        <f>INDIRECT(ADDRESS(1701,24))+INDIRECT(ADDRESS(1699,25))-INDIRECT(ADDRESS(1700,25))</f>
        <v>0</v>
      </c>
      <c r="Z1701">
        <f>INDIRECT(ADDRESS(1701,25))+INDIRECT(ADDRESS(1699,26))-INDIRECT(ADDRESS(1700,26))</f>
        <v>0</v>
      </c>
      <c r="AA1701">
        <f>INDIRECT(ADDRESS(1701,26))+INDIRECT(ADDRESS(1699,27))-INDIRECT(ADDRESS(1700,27))</f>
        <v>0</v>
      </c>
      <c r="AB1701">
        <f>INDIRECT(ADDRESS(1701,27))+INDIRECT(ADDRESS(1699,28))-INDIRECT(ADDRESS(1700,28))</f>
        <v>0</v>
      </c>
      <c r="AC1701">
        <f>INDIRECT(ADDRESS(1701,28))+INDIRECT(ADDRESS(1699,29))-INDIRECT(ADDRESS(1700,29))</f>
        <v>0</v>
      </c>
      <c r="AD1701">
        <f>INDIRECT(ADDRESS(1701,29))+INDIRECT(ADDRESS(1699,30))-INDIRECT(ADDRESS(1700,30))</f>
        <v>0</v>
      </c>
      <c r="AE1701">
        <f>INDIRECT(ADDRESS(1701,30))+INDIRECT(ADDRESS(1699,31))-INDIRECT(ADDRESS(1700,31))</f>
        <v>0</v>
      </c>
      <c r="AF1701">
        <f>INDIRECT(ADDRESS(1701,31))+INDIRECT(ADDRESS(1699,32))-INDIRECT(ADDRESS(1700,32))</f>
        <v>0</v>
      </c>
      <c r="AG1701">
        <f>INDIRECT(ADDRESS(1701,32))+INDIRECT(ADDRESS(1699,33))-INDIRECT(ADDRESS(1700,33))</f>
        <v>0</v>
      </c>
      <c r="AH1701">
        <f>INDIRECT(ADDRESS(1701,33))+INDIRECT(ADDRESS(1699,34))-INDIRECT(ADDRESS(1700,34))</f>
        <v>0</v>
      </c>
      <c r="AI1701">
        <f>INDIRECT(ADDRESS(1701,34))+INDIRECT(ADDRESS(1699,35))-INDIRECT(ADDRESS(1700,35))</f>
        <v>0</v>
      </c>
      <c r="AJ1701">
        <f>INDIRECT(ADDRESS(1701,35))+INDIRECT(ADDRESS(1699,36))-INDIRECT(ADDRESS(1700,36))</f>
        <v>0</v>
      </c>
      <c r="AK1701">
        <f>INDIRECT(ADDRESS(1701,36))+INDIRECT(ADDRESS(1699,37))-INDIRECT(ADDRESS(1700,37))</f>
        <v>0</v>
      </c>
      <c r="AL1701">
        <f>INDIRECT(ADDRESS(1701,37))+INDIRECT(ADDRESS(1699,38))-INDIRECT(ADDRESS(1700,38))</f>
        <v>0</v>
      </c>
      <c r="AM1701">
        <f>INDIRECT(ADDRESS(1701,38))+INDIRECT(ADDRESS(1699,39))-INDIRECT(ADDRESS(1700,39))</f>
        <v>0</v>
      </c>
      <c r="AN1701">
        <f>INDIRECT(ADDRESS(1701,39))+INDIRECT(ADDRESS(1699,40))-INDIRECT(ADDRESS(1700,40))</f>
        <v>0</v>
      </c>
      <c r="AO1701">
        <f>SUM(INDIRECT(ADDRESS(1700,8)):INDIRECT(ADDRESS(1700,39)))</f>
        <v>0</v>
      </c>
    </row>
    <row r="1702" spans="1:41">
      <c r="A1702" t="s">
        <v>8</v>
      </c>
      <c r="B1702" t="s">
        <v>99</v>
      </c>
      <c r="C1702" t="s">
        <v>136</v>
      </c>
      <c r="E1702">
        <v>1</v>
      </c>
      <c r="I1702" t="s">
        <v>177</v>
      </c>
    </row>
    <row r="1703" spans="1:41">
      <c r="I1703" t="s">
        <v>178</v>
      </c>
      <c r="J1703">
        <f>IFERROR(VLOOKUP("906-793000-100",Out!B:AB,1+8,0),0)</f>
        <v>0</v>
      </c>
      <c r="K1703">
        <f>IFERROR(VLOOKUP("906-793000-100",Out!B:AB,2+8,0),0)</f>
        <v>0</v>
      </c>
      <c r="L1703">
        <f>IFERROR(VLOOKUP("906-793000-100",Out!B:AB,3+8,0),0)</f>
        <v>0</v>
      </c>
      <c r="M1703">
        <f>IFERROR(VLOOKUP("906-793000-100",Out!B:AB,4+8,0),0)</f>
        <v>0</v>
      </c>
      <c r="N1703">
        <f>IFERROR(VLOOKUP("906-793000-100",Out!B:AB,5+8,0),0)</f>
        <v>0</v>
      </c>
      <c r="O1703">
        <f>IFERROR(VLOOKUP("906-793000-100",Out!B:AB,6+8,0),0)</f>
        <v>0</v>
      </c>
      <c r="P1703">
        <f>IFERROR(VLOOKUP("906-793000-100",Out!B:AB,7+8,0),0)</f>
        <v>0</v>
      </c>
      <c r="Q1703">
        <f>IFERROR(VLOOKUP("906-793000-100",Out!B:AB,8+8,0),0)</f>
        <v>0</v>
      </c>
      <c r="R1703">
        <f>IFERROR(VLOOKUP("906-793000-100",Out!B:AB,9+8,0),0)</f>
        <v>0</v>
      </c>
      <c r="S1703">
        <f>IFERROR(VLOOKUP("906-793000-100",Out!B:AB,10+8,0),0)</f>
        <v>0</v>
      </c>
      <c r="T1703">
        <f>IFERROR(VLOOKUP("906-793000-100",Out!B:AB,11+8,0),0)</f>
        <v>0</v>
      </c>
      <c r="U1703">
        <f>IFERROR(VLOOKUP("906-793000-100",Out!B:AB,12+8,0),0)</f>
        <v>0</v>
      </c>
      <c r="V1703">
        <f>IFERROR(VLOOKUP("906-793000-100",Out!B:AB,13+8,0),0)</f>
        <v>0</v>
      </c>
      <c r="W1703">
        <f>IFERROR(VLOOKUP("906-793000-100",Out!B:AB,14+8,0),0)</f>
        <v>0</v>
      </c>
      <c r="X1703">
        <f>IFERROR(VLOOKUP("906-793000-100",Out!B:AB,15+8,0),0)</f>
        <v>0</v>
      </c>
      <c r="Y1703">
        <f>IFERROR(VLOOKUP("906-793000-100",Out!B:AB,16+8,0),0)</f>
        <v>0</v>
      </c>
      <c r="Z1703">
        <f>IFERROR(VLOOKUP("906-793000-100",Out!B:AB,17+8,0),0)</f>
        <v>0</v>
      </c>
      <c r="AA1703">
        <f>IFERROR(VLOOKUP("906-793000-100",Out!B:AB,18+8,0),0)</f>
        <v>0</v>
      </c>
      <c r="AB1703">
        <f>IFERROR(VLOOKUP("906-793000-100",Out!B:AB,19+8,0),0)</f>
        <v>0</v>
      </c>
      <c r="AC1703">
        <f>IFERROR(VLOOKUP("906-793000-100",Out!B:AB,20+8,0),0)</f>
        <v>0</v>
      </c>
      <c r="AD1703">
        <f>IFERROR(VLOOKUP("906-793000-100",Out!B:AB,21+8,0),0)</f>
        <v>0</v>
      </c>
      <c r="AE1703">
        <f>IFERROR(VLOOKUP("906-793000-100",Out!B:AB,22+8,0),0)</f>
        <v>0</v>
      </c>
      <c r="AF1703">
        <f>IFERROR(VLOOKUP("906-793000-100",Out!B:AB,23+8,0),0)</f>
        <v>0</v>
      </c>
      <c r="AG1703">
        <f>IFERROR(VLOOKUP("906-793000-100",Out!B:AB,24+8,0),0)</f>
        <v>0</v>
      </c>
      <c r="AH1703">
        <f>IFERROR(VLOOKUP("906-793000-100",Out!B:AB,25+8,0),0)</f>
        <v>0</v>
      </c>
      <c r="AI1703">
        <f>IFERROR(VLOOKUP("906-793000-100",Out!B:AB,26+8,0),0)</f>
        <v>0</v>
      </c>
      <c r="AJ1703">
        <f>IFERROR(VLOOKUP("906-793000-100",Out!B:AB,27+8,0),0)</f>
        <v>0</v>
      </c>
      <c r="AK1703">
        <f>IFERROR(VLOOKUP("906-793000-100",Out!B:AB,28+8,0),0)</f>
        <v>0</v>
      </c>
      <c r="AL1703">
        <f>IFERROR(VLOOKUP("906-793000-100",Out!B:AB,29+8,0),0)</f>
        <v>0</v>
      </c>
      <c r="AM1703">
        <f>IFERROR(VLOOKUP("906-793000-100",Out!B:AB,30+8,0),0)</f>
        <v>0</v>
      </c>
      <c r="AN1703">
        <f>IFERROR(VLOOKUP("906-793000-100",Out!B:AB,31+8,0),0)</f>
        <v>0</v>
      </c>
      <c r="AO1703">
        <f>SUN(INDIRECT(ADDRESS(1702,8)):INDIRECT(ADDRESS(1702,39)))</f>
        <v>0</v>
      </c>
    </row>
    <row r="1704" spans="1:41">
      <c r="H1704" t="s">
        <v>179</v>
      </c>
      <c r="J1704">
        <f>INDIRECT(ADDRESS(1704,9))+INDIRECT(ADDRESS(1702,10))-INDIRECT(ADDRESS(1703,10))</f>
        <v>0</v>
      </c>
      <c r="K1704">
        <f>INDIRECT(ADDRESS(1704,10))+INDIRECT(ADDRESS(1702,11))-INDIRECT(ADDRESS(1703,11))</f>
        <v>0</v>
      </c>
      <c r="L1704">
        <f>INDIRECT(ADDRESS(1704,11))+INDIRECT(ADDRESS(1702,12))-INDIRECT(ADDRESS(1703,12))</f>
        <v>0</v>
      </c>
      <c r="M1704">
        <f>INDIRECT(ADDRESS(1704,12))+INDIRECT(ADDRESS(1702,13))-INDIRECT(ADDRESS(1703,13))</f>
        <v>0</v>
      </c>
      <c r="N1704">
        <f>INDIRECT(ADDRESS(1704,13))+INDIRECT(ADDRESS(1702,14))-INDIRECT(ADDRESS(1703,14))</f>
        <v>0</v>
      </c>
      <c r="O1704">
        <f>INDIRECT(ADDRESS(1704,14))+INDIRECT(ADDRESS(1702,15))-INDIRECT(ADDRESS(1703,15))</f>
        <v>0</v>
      </c>
      <c r="P1704">
        <f>INDIRECT(ADDRESS(1704,15))+INDIRECT(ADDRESS(1702,16))-INDIRECT(ADDRESS(1703,16))</f>
        <v>0</v>
      </c>
      <c r="Q1704">
        <f>INDIRECT(ADDRESS(1704,16))+INDIRECT(ADDRESS(1702,17))-INDIRECT(ADDRESS(1703,17))</f>
        <v>0</v>
      </c>
      <c r="R1704">
        <f>INDIRECT(ADDRESS(1704,17))+INDIRECT(ADDRESS(1702,18))-INDIRECT(ADDRESS(1703,18))</f>
        <v>0</v>
      </c>
      <c r="S1704">
        <f>INDIRECT(ADDRESS(1704,18))+INDIRECT(ADDRESS(1702,19))-INDIRECT(ADDRESS(1703,19))</f>
        <v>0</v>
      </c>
      <c r="T1704">
        <f>INDIRECT(ADDRESS(1704,19))+INDIRECT(ADDRESS(1702,20))-INDIRECT(ADDRESS(1703,20))</f>
        <v>0</v>
      </c>
      <c r="U1704">
        <f>INDIRECT(ADDRESS(1704,20))+INDIRECT(ADDRESS(1702,21))-INDIRECT(ADDRESS(1703,21))</f>
        <v>0</v>
      </c>
      <c r="V1704">
        <f>INDIRECT(ADDRESS(1704,21))+INDIRECT(ADDRESS(1702,22))-INDIRECT(ADDRESS(1703,22))</f>
        <v>0</v>
      </c>
      <c r="W1704">
        <f>INDIRECT(ADDRESS(1704,22))+INDIRECT(ADDRESS(1702,23))-INDIRECT(ADDRESS(1703,23))</f>
        <v>0</v>
      </c>
      <c r="X1704">
        <f>INDIRECT(ADDRESS(1704,23))+INDIRECT(ADDRESS(1702,24))-INDIRECT(ADDRESS(1703,24))</f>
        <v>0</v>
      </c>
      <c r="Y1704">
        <f>INDIRECT(ADDRESS(1704,24))+INDIRECT(ADDRESS(1702,25))-INDIRECT(ADDRESS(1703,25))</f>
        <v>0</v>
      </c>
      <c r="Z1704">
        <f>INDIRECT(ADDRESS(1704,25))+INDIRECT(ADDRESS(1702,26))-INDIRECT(ADDRESS(1703,26))</f>
        <v>0</v>
      </c>
      <c r="AA1704">
        <f>INDIRECT(ADDRESS(1704,26))+INDIRECT(ADDRESS(1702,27))-INDIRECT(ADDRESS(1703,27))</f>
        <v>0</v>
      </c>
      <c r="AB1704">
        <f>INDIRECT(ADDRESS(1704,27))+INDIRECT(ADDRESS(1702,28))-INDIRECT(ADDRESS(1703,28))</f>
        <v>0</v>
      </c>
      <c r="AC1704">
        <f>INDIRECT(ADDRESS(1704,28))+INDIRECT(ADDRESS(1702,29))-INDIRECT(ADDRESS(1703,29))</f>
        <v>0</v>
      </c>
      <c r="AD1704">
        <f>INDIRECT(ADDRESS(1704,29))+INDIRECT(ADDRESS(1702,30))-INDIRECT(ADDRESS(1703,30))</f>
        <v>0</v>
      </c>
      <c r="AE1704">
        <f>INDIRECT(ADDRESS(1704,30))+INDIRECT(ADDRESS(1702,31))-INDIRECT(ADDRESS(1703,31))</f>
        <v>0</v>
      </c>
      <c r="AF1704">
        <f>INDIRECT(ADDRESS(1704,31))+INDIRECT(ADDRESS(1702,32))-INDIRECT(ADDRESS(1703,32))</f>
        <v>0</v>
      </c>
      <c r="AG1704">
        <f>INDIRECT(ADDRESS(1704,32))+INDIRECT(ADDRESS(1702,33))-INDIRECT(ADDRESS(1703,33))</f>
        <v>0</v>
      </c>
      <c r="AH1704">
        <f>INDIRECT(ADDRESS(1704,33))+INDIRECT(ADDRESS(1702,34))-INDIRECT(ADDRESS(1703,34))</f>
        <v>0</v>
      </c>
      <c r="AI1704">
        <f>INDIRECT(ADDRESS(1704,34))+INDIRECT(ADDRESS(1702,35))-INDIRECT(ADDRESS(1703,35))</f>
        <v>0</v>
      </c>
      <c r="AJ1704">
        <f>INDIRECT(ADDRESS(1704,35))+INDIRECT(ADDRESS(1702,36))-INDIRECT(ADDRESS(1703,36))</f>
        <v>0</v>
      </c>
      <c r="AK1704">
        <f>INDIRECT(ADDRESS(1704,36))+INDIRECT(ADDRESS(1702,37))-INDIRECT(ADDRESS(1703,37))</f>
        <v>0</v>
      </c>
      <c r="AL1704">
        <f>INDIRECT(ADDRESS(1704,37))+INDIRECT(ADDRESS(1702,38))-INDIRECT(ADDRESS(1703,38))</f>
        <v>0</v>
      </c>
      <c r="AM1704">
        <f>INDIRECT(ADDRESS(1704,38))+INDIRECT(ADDRESS(1702,39))-INDIRECT(ADDRESS(1703,39))</f>
        <v>0</v>
      </c>
      <c r="AN1704">
        <f>INDIRECT(ADDRESS(1704,39))+INDIRECT(ADDRESS(1702,40))-INDIRECT(ADDRESS(1703,40))</f>
        <v>0</v>
      </c>
      <c r="AO1704">
        <f>SUM(INDIRECT(ADDRESS(1703,8)):INDIRECT(ADDRESS(1703,39)))</f>
        <v>0</v>
      </c>
    </row>
    <row r="1705" spans="1:41">
      <c r="A1705" t="s">
        <v>180</v>
      </c>
      <c r="B1705" t="s">
        <v>803</v>
      </c>
      <c r="C1705" t="s">
        <v>804</v>
      </c>
      <c r="E1705">
        <v>1</v>
      </c>
      <c r="I1705" t="s">
        <v>177</v>
      </c>
    </row>
    <row r="1706" spans="1:41">
      <c r="I1706" t="s">
        <v>178</v>
      </c>
      <c r="J1706">
        <f>IFERROR(VLOOKUP("906-793000-100",B:AB,1+8,0),0)</f>
        <v>0</v>
      </c>
      <c r="K1706">
        <f>IFERROR(VLOOKUP("906-793000-100",B:AB,2+8,0),0)</f>
        <v>0</v>
      </c>
      <c r="L1706">
        <f>IFERROR(VLOOKUP("906-793000-100",B:AB,3+8,0),0)</f>
        <v>0</v>
      </c>
      <c r="M1706">
        <f>IFERROR(VLOOKUP("906-793000-100",B:AB,4+8,0),0)</f>
        <v>0</v>
      </c>
      <c r="N1706">
        <f>IFERROR(VLOOKUP("906-793000-100",B:AB,5+8,0),0)</f>
        <v>0</v>
      </c>
      <c r="O1706">
        <f>IFERROR(VLOOKUP("906-793000-100",B:AB,6+8,0),0)</f>
        <v>0</v>
      </c>
      <c r="P1706">
        <f>IFERROR(VLOOKUP("906-793000-100",B:AB,7+8,0),0)</f>
        <v>0</v>
      </c>
      <c r="Q1706">
        <f>IFERROR(VLOOKUP("906-793000-100",B:AB,8+8,0),0)</f>
        <v>0</v>
      </c>
      <c r="R1706">
        <f>IFERROR(VLOOKUP("906-793000-100",B:AB,9+8,0),0)</f>
        <v>0</v>
      </c>
      <c r="S1706">
        <f>IFERROR(VLOOKUP("906-793000-100",B:AB,10+8,0),0)</f>
        <v>0</v>
      </c>
      <c r="T1706">
        <f>IFERROR(VLOOKUP("906-793000-100",B:AB,11+8,0),0)</f>
        <v>0</v>
      </c>
      <c r="U1706">
        <f>IFERROR(VLOOKUP("906-793000-100",B:AB,12+8,0),0)</f>
        <v>0</v>
      </c>
      <c r="V1706">
        <f>IFERROR(VLOOKUP("906-793000-100",B:AB,13+8,0),0)</f>
        <v>0</v>
      </c>
      <c r="W1706">
        <f>IFERROR(VLOOKUP("906-793000-100",B:AB,14+8,0),0)</f>
        <v>0</v>
      </c>
      <c r="X1706">
        <f>IFERROR(VLOOKUP("906-793000-100",B:AB,15+8,0),0)</f>
        <v>0</v>
      </c>
      <c r="Y1706">
        <f>IFERROR(VLOOKUP("906-793000-100",B:AB,16+8,0),0)</f>
        <v>0</v>
      </c>
      <c r="Z1706">
        <f>IFERROR(VLOOKUP("906-793000-100",B:AB,17+8,0),0)</f>
        <v>0</v>
      </c>
      <c r="AA1706">
        <f>IFERROR(VLOOKUP("906-793000-100",B:AB,18+8,0),0)</f>
        <v>0</v>
      </c>
      <c r="AB1706">
        <f>IFERROR(VLOOKUP("906-793000-100",B:AB,19+8,0),0)</f>
        <v>0</v>
      </c>
      <c r="AC1706">
        <f>IFERROR(VLOOKUP("906-793000-100",B:AB,20+8,0),0)</f>
        <v>0</v>
      </c>
      <c r="AD1706">
        <f>IFERROR(VLOOKUP("906-793000-100",B:AB,21+8,0),0)</f>
        <v>0</v>
      </c>
      <c r="AE1706">
        <f>IFERROR(VLOOKUP("906-793000-100",B:AB,22+8,0),0)</f>
        <v>0</v>
      </c>
      <c r="AF1706">
        <f>IFERROR(VLOOKUP("906-793000-100",B:AB,23+8,0),0)</f>
        <v>0</v>
      </c>
      <c r="AG1706">
        <f>IFERROR(VLOOKUP("906-793000-100",B:AB,24+8,0),0)</f>
        <v>0</v>
      </c>
      <c r="AH1706">
        <f>IFERROR(VLOOKUP("906-793000-100",B:AB,25+8,0),0)</f>
        <v>0</v>
      </c>
      <c r="AI1706">
        <f>IFERROR(VLOOKUP("906-793000-100",B:AB,26+8,0),0)</f>
        <v>0</v>
      </c>
      <c r="AJ1706">
        <f>IFERROR(VLOOKUP("906-793000-100",B:AB,27+8,0),0)</f>
        <v>0</v>
      </c>
      <c r="AK1706">
        <f>IFERROR(VLOOKUP("906-793000-100",B:AB,28+8,0),0)</f>
        <v>0</v>
      </c>
      <c r="AL1706">
        <f>IFERROR(VLOOKUP("906-793000-100",B:AB,29+8,0),0)</f>
        <v>0</v>
      </c>
      <c r="AM1706">
        <f>IFERROR(VLOOKUP("906-793000-100",B:AB,30+8,0),0)</f>
        <v>0</v>
      </c>
      <c r="AN1706">
        <f>IFERROR(VLOOKUP("906-793000-100",B:AB,31+8,0),0)</f>
        <v>0</v>
      </c>
      <c r="AO1706">
        <f>SUN(INDIRECT(ADDRESS(1705,8)):INDIRECT(ADDRESS(1705,39)))</f>
        <v>0</v>
      </c>
    </row>
    <row r="1707" spans="1:41">
      <c r="H1707" t="s">
        <v>179</v>
      </c>
      <c r="J1707">
        <f>INDIRECT(ADDRESS(1707,9))+INDIRECT(ADDRESS(1705,10))-INDIRECT(ADDRESS(1706,10))</f>
        <v>0</v>
      </c>
      <c r="K1707">
        <f>INDIRECT(ADDRESS(1707,10))+INDIRECT(ADDRESS(1705,11))-INDIRECT(ADDRESS(1706,11))</f>
        <v>0</v>
      </c>
      <c r="L1707">
        <f>INDIRECT(ADDRESS(1707,11))+INDIRECT(ADDRESS(1705,12))-INDIRECT(ADDRESS(1706,12))</f>
        <v>0</v>
      </c>
      <c r="M1707">
        <f>INDIRECT(ADDRESS(1707,12))+INDIRECT(ADDRESS(1705,13))-INDIRECT(ADDRESS(1706,13))</f>
        <v>0</v>
      </c>
      <c r="N1707">
        <f>INDIRECT(ADDRESS(1707,13))+INDIRECT(ADDRESS(1705,14))-INDIRECT(ADDRESS(1706,14))</f>
        <v>0</v>
      </c>
      <c r="O1707">
        <f>INDIRECT(ADDRESS(1707,14))+INDIRECT(ADDRESS(1705,15))-INDIRECT(ADDRESS(1706,15))</f>
        <v>0</v>
      </c>
      <c r="P1707">
        <f>INDIRECT(ADDRESS(1707,15))+INDIRECT(ADDRESS(1705,16))-INDIRECT(ADDRESS(1706,16))</f>
        <v>0</v>
      </c>
      <c r="Q1707">
        <f>INDIRECT(ADDRESS(1707,16))+INDIRECT(ADDRESS(1705,17))-INDIRECT(ADDRESS(1706,17))</f>
        <v>0</v>
      </c>
      <c r="R1707">
        <f>INDIRECT(ADDRESS(1707,17))+INDIRECT(ADDRESS(1705,18))-INDIRECT(ADDRESS(1706,18))</f>
        <v>0</v>
      </c>
      <c r="S1707">
        <f>INDIRECT(ADDRESS(1707,18))+INDIRECT(ADDRESS(1705,19))-INDIRECT(ADDRESS(1706,19))</f>
        <v>0</v>
      </c>
      <c r="T1707">
        <f>INDIRECT(ADDRESS(1707,19))+INDIRECT(ADDRESS(1705,20))-INDIRECT(ADDRESS(1706,20))</f>
        <v>0</v>
      </c>
      <c r="U1707">
        <f>INDIRECT(ADDRESS(1707,20))+INDIRECT(ADDRESS(1705,21))-INDIRECT(ADDRESS(1706,21))</f>
        <v>0</v>
      </c>
      <c r="V1707">
        <f>INDIRECT(ADDRESS(1707,21))+INDIRECT(ADDRESS(1705,22))-INDIRECT(ADDRESS(1706,22))</f>
        <v>0</v>
      </c>
      <c r="W1707">
        <f>INDIRECT(ADDRESS(1707,22))+INDIRECT(ADDRESS(1705,23))-INDIRECT(ADDRESS(1706,23))</f>
        <v>0</v>
      </c>
      <c r="X1707">
        <f>INDIRECT(ADDRESS(1707,23))+INDIRECT(ADDRESS(1705,24))-INDIRECT(ADDRESS(1706,24))</f>
        <v>0</v>
      </c>
      <c r="Y1707">
        <f>INDIRECT(ADDRESS(1707,24))+INDIRECT(ADDRESS(1705,25))-INDIRECT(ADDRESS(1706,25))</f>
        <v>0</v>
      </c>
      <c r="Z1707">
        <f>INDIRECT(ADDRESS(1707,25))+INDIRECT(ADDRESS(1705,26))-INDIRECT(ADDRESS(1706,26))</f>
        <v>0</v>
      </c>
      <c r="AA1707">
        <f>INDIRECT(ADDRESS(1707,26))+INDIRECT(ADDRESS(1705,27))-INDIRECT(ADDRESS(1706,27))</f>
        <v>0</v>
      </c>
      <c r="AB1707">
        <f>INDIRECT(ADDRESS(1707,27))+INDIRECT(ADDRESS(1705,28))-INDIRECT(ADDRESS(1706,28))</f>
        <v>0</v>
      </c>
      <c r="AC1707">
        <f>INDIRECT(ADDRESS(1707,28))+INDIRECT(ADDRESS(1705,29))-INDIRECT(ADDRESS(1706,29))</f>
        <v>0</v>
      </c>
      <c r="AD1707">
        <f>INDIRECT(ADDRESS(1707,29))+INDIRECT(ADDRESS(1705,30))-INDIRECT(ADDRESS(1706,30))</f>
        <v>0</v>
      </c>
      <c r="AE1707">
        <f>INDIRECT(ADDRESS(1707,30))+INDIRECT(ADDRESS(1705,31))-INDIRECT(ADDRESS(1706,31))</f>
        <v>0</v>
      </c>
      <c r="AF1707">
        <f>INDIRECT(ADDRESS(1707,31))+INDIRECT(ADDRESS(1705,32))-INDIRECT(ADDRESS(1706,32))</f>
        <v>0</v>
      </c>
      <c r="AG1707">
        <f>INDIRECT(ADDRESS(1707,32))+INDIRECT(ADDRESS(1705,33))-INDIRECT(ADDRESS(1706,33))</f>
        <v>0</v>
      </c>
      <c r="AH1707">
        <f>INDIRECT(ADDRESS(1707,33))+INDIRECT(ADDRESS(1705,34))-INDIRECT(ADDRESS(1706,34))</f>
        <v>0</v>
      </c>
      <c r="AI1707">
        <f>INDIRECT(ADDRESS(1707,34))+INDIRECT(ADDRESS(1705,35))-INDIRECT(ADDRESS(1706,35))</f>
        <v>0</v>
      </c>
      <c r="AJ1707">
        <f>INDIRECT(ADDRESS(1707,35))+INDIRECT(ADDRESS(1705,36))-INDIRECT(ADDRESS(1706,36))</f>
        <v>0</v>
      </c>
      <c r="AK1707">
        <f>INDIRECT(ADDRESS(1707,36))+INDIRECT(ADDRESS(1705,37))-INDIRECT(ADDRESS(1706,37))</f>
        <v>0</v>
      </c>
      <c r="AL1707">
        <f>INDIRECT(ADDRESS(1707,37))+INDIRECT(ADDRESS(1705,38))-INDIRECT(ADDRESS(1706,38))</f>
        <v>0</v>
      </c>
      <c r="AM1707">
        <f>INDIRECT(ADDRESS(1707,38))+INDIRECT(ADDRESS(1705,39))-INDIRECT(ADDRESS(1706,39))</f>
        <v>0</v>
      </c>
      <c r="AN1707">
        <f>INDIRECT(ADDRESS(1707,39))+INDIRECT(ADDRESS(1705,40))-INDIRECT(ADDRESS(1706,40))</f>
        <v>0</v>
      </c>
      <c r="AO1707">
        <f>SUM(INDIRECT(ADDRESS(1706,8)):INDIRECT(ADDRESS(1706,39)))</f>
        <v>0</v>
      </c>
    </row>
    <row r="1708" spans="1:41">
      <c r="A1708" t="s">
        <v>185</v>
      </c>
      <c r="B1708" t="s">
        <v>701</v>
      </c>
      <c r="C1708" t="s">
        <v>805</v>
      </c>
      <c r="E1708">
        <v>2</v>
      </c>
      <c r="I1708" t="s">
        <v>177</v>
      </c>
    </row>
    <row r="1709" spans="1:41">
      <c r="I1709" t="s">
        <v>178</v>
      </c>
      <c r="J1709">
        <f>IFERROR(VLOOKUP("906-793000-100",B:AB,1+8,0),0)</f>
        <v>0</v>
      </c>
      <c r="K1709">
        <f>IFERROR(VLOOKUP("906-793000-100",B:AB,2+8,0),0)</f>
        <v>0</v>
      </c>
      <c r="L1709">
        <f>IFERROR(VLOOKUP("906-793000-100",B:AB,3+8,0),0)</f>
        <v>0</v>
      </c>
      <c r="M1709">
        <f>IFERROR(VLOOKUP("906-793000-100",B:AB,4+8,0),0)</f>
        <v>0</v>
      </c>
      <c r="N1709">
        <f>IFERROR(VLOOKUP("906-793000-100",B:AB,5+8,0),0)</f>
        <v>0</v>
      </c>
      <c r="O1709">
        <f>IFERROR(VLOOKUP("906-793000-100",B:AB,6+8,0),0)</f>
        <v>0</v>
      </c>
      <c r="P1709">
        <f>IFERROR(VLOOKUP("906-793000-100",B:AB,7+8,0),0)</f>
        <v>0</v>
      </c>
      <c r="Q1709">
        <f>IFERROR(VLOOKUP("906-793000-100",B:AB,8+8,0),0)</f>
        <v>0</v>
      </c>
      <c r="R1709">
        <f>IFERROR(VLOOKUP("906-793000-100",B:AB,9+8,0),0)</f>
        <v>0</v>
      </c>
      <c r="S1709">
        <f>IFERROR(VLOOKUP("906-793000-100",B:AB,10+8,0),0)</f>
        <v>0</v>
      </c>
      <c r="T1709">
        <f>IFERROR(VLOOKUP("906-793000-100",B:AB,11+8,0),0)</f>
        <v>0</v>
      </c>
      <c r="U1709">
        <f>IFERROR(VLOOKUP("906-793000-100",B:AB,12+8,0),0)</f>
        <v>0</v>
      </c>
      <c r="V1709">
        <f>IFERROR(VLOOKUP("906-793000-100",B:AB,13+8,0),0)</f>
        <v>0</v>
      </c>
      <c r="W1709">
        <f>IFERROR(VLOOKUP("906-793000-100",B:AB,14+8,0),0)</f>
        <v>0</v>
      </c>
      <c r="X1709">
        <f>IFERROR(VLOOKUP("906-793000-100",B:AB,15+8,0),0)</f>
        <v>0</v>
      </c>
      <c r="Y1709">
        <f>IFERROR(VLOOKUP("906-793000-100",B:AB,16+8,0),0)</f>
        <v>0</v>
      </c>
      <c r="Z1709">
        <f>IFERROR(VLOOKUP("906-793000-100",B:AB,17+8,0),0)</f>
        <v>0</v>
      </c>
      <c r="AA1709">
        <f>IFERROR(VLOOKUP("906-793000-100",B:AB,18+8,0),0)</f>
        <v>0</v>
      </c>
      <c r="AB1709">
        <f>IFERROR(VLOOKUP("906-793000-100",B:AB,19+8,0),0)</f>
        <v>0</v>
      </c>
      <c r="AC1709">
        <f>IFERROR(VLOOKUP("906-793000-100",B:AB,20+8,0),0)</f>
        <v>0</v>
      </c>
      <c r="AD1709">
        <f>IFERROR(VLOOKUP("906-793000-100",B:AB,21+8,0),0)</f>
        <v>0</v>
      </c>
      <c r="AE1709">
        <f>IFERROR(VLOOKUP("906-793000-100",B:AB,22+8,0),0)</f>
        <v>0</v>
      </c>
      <c r="AF1709">
        <f>IFERROR(VLOOKUP("906-793000-100",B:AB,23+8,0),0)</f>
        <v>0</v>
      </c>
      <c r="AG1709">
        <f>IFERROR(VLOOKUP("906-793000-100",B:AB,24+8,0),0)</f>
        <v>0</v>
      </c>
      <c r="AH1709">
        <f>IFERROR(VLOOKUP("906-793000-100",B:AB,25+8,0),0)</f>
        <v>0</v>
      </c>
      <c r="AI1709">
        <f>IFERROR(VLOOKUP("906-793000-100",B:AB,26+8,0),0)</f>
        <v>0</v>
      </c>
      <c r="AJ1709">
        <f>IFERROR(VLOOKUP("906-793000-100",B:AB,27+8,0),0)</f>
        <v>0</v>
      </c>
      <c r="AK1709">
        <f>IFERROR(VLOOKUP("906-793000-100",B:AB,28+8,0),0)</f>
        <v>0</v>
      </c>
      <c r="AL1709">
        <f>IFERROR(VLOOKUP("906-793000-100",B:AB,29+8,0),0)</f>
        <v>0</v>
      </c>
      <c r="AM1709">
        <f>IFERROR(VLOOKUP("906-793000-100",B:AB,30+8,0),0)</f>
        <v>0</v>
      </c>
      <c r="AN1709">
        <f>IFERROR(VLOOKUP("906-793000-100",B:AB,31+8,0),0)</f>
        <v>0</v>
      </c>
      <c r="AO1709">
        <f>SUN(INDIRECT(ADDRESS(1708,8)):INDIRECT(ADDRESS(1708,39)))</f>
        <v>0</v>
      </c>
    </row>
    <row r="1710" spans="1:41">
      <c r="H1710" t="s">
        <v>179</v>
      </c>
      <c r="J1710">
        <f>INDIRECT(ADDRESS(1710,9))+INDIRECT(ADDRESS(1708,10))-INDIRECT(ADDRESS(1709,10))</f>
        <v>0</v>
      </c>
      <c r="K1710">
        <f>INDIRECT(ADDRESS(1710,10))+INDIRECT(ADDRESS(1708,11))-INDIRECT(ADDRESS(1709,11))</f>
        <v>0</v>
      </c>
      <c r="L1710">
        <f>INDIRECT(ADDRESS(1710,11))+INDIRECT(ADDRESS(1708,12))-INDIRECT(ADDRESS(1709,12))</f>
        <v>0</v>
      </c>
      <c r="M1710">
        <f>INDIRECT(ADDRESS(1710,12))+INDIRECT(ADDRESS(1708,13))-INDIRECT(ADDRESS(1709,13))</f>
        <v>0</v>
      </c>
      <c r="N1710">
        <f>INDIRECT(ADDRESS(1710,13))+INDIRECT(ADDRESS(1708,14))-INDIRECT(ADDRESS(1709,14))</f>
        <v>0</v>
      </c>
      <c r="O1710">
        <f>INDIRECT(ADDRESS(1710,14))+INDIRECT(ADDRESS(1708,15))-INDIRECT(ADDRESS(1709,15))</f>
        <v>0</v>
      </c>
      <c r="P1710">
        <f>INDIRECT(ADDRESS(1710,15))+INDIRECT(ADDRESS(1708,16))-INDIRECT(ADDRESS(1709,16))</f>
        <v>0</v>
      </c>
      <c r="Q1710">
        <f>INDIRECT(ADDRESS(1710,16))+INDIRECT(ADDRESS(1708,17))-INDIRECT(ADDRESS(1709,17))</f>
        <v>0</v>
      </c>
      <c r="R1710">
        <f>INDIRECT(ADDRESS(1710,17))+INDIRECT(ADDRESS(1708,18))-INDIRECT(ADDRESS(1709,18))</f>
        <v>0</v>
      </c>
      <c r="S1710">
        <f>INDIRECT(ADDRESS(1710,18))+INDIRECT(ADDRESS(1708,19))-INDIRECT(ADDRESS(1709,19))</f>
        <v>0</v>
      </c>
      <c r="T1710">
        <f>INDIRECT(ADDRESS(1710,19))+INDIRECT(ADDRESS(1708,20))-INDIRECT(ADDRESS(1709,20))</f>
        <v>0</v>
      </c>
      <c r="U1710">
        <f>INDIRECT(ADDRESS(1710,20))+INDIRECT(ADDRESS(1708,21))-INDIRECT(ADDRESS(1709,21))</f>
        <v>0</v>
      </c>
      <c r="V1710">
        <f>INDIRECT(ADDRESS(1710,21))+INDIRECT(ADDRESS(1708,22))-INDIRECT(ADDRESS(1709,22))</f>
        <v>0</v>
      </c>
      <c r="W1710">
        <f>INDIRECT(ADDRESS(1710,22))+INDIRECT(ADDRESS(1708,23))-INDIRECT(ADDRESS(1709,23))</f>
        <v>0</v>
      </c>
      <c r="X1710">
        <f>INDIRECT(ADDRESS(1710,23))+INDIRECT(ADDRESS(1708,24))-INDIRECT(ADDRESS(1709,24))</f>
        <v>0</v>
      </c>
      <c r="Y1710">
        <f>INDIRECT(ADDRESS(1710,24))+INDIRECT(ADDRESS(1708,25))-INDIRECT(ADDRESS(1709,25))</f>
        <v>0</v>
      </c>
      <c r="Z1710">
        <f>INDIRECT(ADDRESS(1710,25))+INDIRECT(ADDRESS(1708,26))-INDIRECT(ADDRESS(1709,26))</f>
        <v>0</v>
      </c>
      <c r="AA1710">
        <f>INDIRECT(ADDRESS(1710,26))+INDIRECT(ADDRESS(1708,27))-INDIRECT(ADDRESS(1709,27))</f>
        <v>0</v>
      </c>
      <c r="AB1710">
        <f>INDIRECT(ADDRESS(1710,27))+INDIRECT(ADDRESS(1708,28))-INDIRECT(ADDRESS(1709,28))</f>
        <v>0</v>
      </c>
      <c r="AC1710">
        <f>INDIRECT(ADDRESS(1710,28))+INDIRECT(ADDRESS(1708,29))-INDIRECT(ADDRESS(1709,29))</f>
        <v>0</v>
      </c>
      <c r="AD1710">
        <f>INDIRECT(ADDRESS(1710,29))+INDIRECT(ADDRESS(1708,30))-INDIRECT(ADDRESS(1709,30))</f>
        <v>0</v>
      </c>
      <c r="AE1710">
        <f>INDIRECT(ADDRESS(1710,30))+INDIRECT(ADDRESS(1708,31))-INDIRECT(ADDRESS(1709,31))</f>
        <v>0</v>
      </c>
      <c r="AF1710">
        <f>INDIRECT(ADDRESS(1710,31))+INDIRECT(ADDRESS(1708,32))-INDIRECT(ADDRESS(1709,32))</f>
        <v>0</v>
      </c>
      <c r="AG1710">
        <f>INDIRECT(ADDRESS(1710,32))+INDIRECT(ADDRESS(1708,33))-INDIRECT(ADDRESS(1709,33))</f>
        <v>0</v>
      </c>
      <c r="AH1710">
        <f>INDIRECT(ADDRESS(1710,33))+INDIRECT(ADDRESS(1708,34))-INDIRECT(ADDRESS(1709,34))</f>
        <v>0</v>
      </c>
      <c r="AI1710">
        <f>INDIRECT(ADDRESS(1710,34))+INDIRECT(ADDRESS(1708,35))-INDIRECT(ADDRESS(1709,35))</f>
        <v>0</v>
      </c>
      <c r="AJ1710">
        <f>INDIRECT(ADDRESS(1710,35))+INDIRECT(ADDRESS(1708,36))-INDIRECT(ADDRESS(1709,36))</f>
        <v>0</v>
      </c>
      <c r="AK1710">
        <f>INDIRECT(ADDRESS(1710,36))+INDIRECT(ADDRESS(1708,37))-INDIRECT(ADDRESS(1709,37))</f>
        <v>0</v>
      </c>
      <c r="AL1710">
        <f>INDIRECT(ADDRESS(1710,37))+INDIRECT(ADDRESS(1708,38))-INDIRECT(ADDRESS(1709,38))</f>
        <v>0</v>
      </c>
      <c r="AM1710">
        <f>INDIRECT(ADDRESS(1710,38))+INDIRECT(ADDRESS(1708,39))-INDIRECT(ADDRESS(1709,39))</f>
        <v>0</v>
      </c>
      <c r="AN1710">
        <f>INDIRECT(ADDRESS(1710,39))+INDIRECT(ADDRESS(1708,40))-INDIRECT(ADDRESS(1709,40))</f>
        <v>0</v>
      </c>
      <c r="AO1710">
        <f>SUM(INDIRECT(ADDRESS(1709,8)):INDIRECT(ADDRESS(1709,39)))</f>
        <v>0</v>
      </c>
    </row>
    <row r="1711" spans="1:41">
      <c r="A1711" t="s">
        <v>185</v>
      </c>
      <c r="B1711" t="s">
        <v>806</v>
      </c>
      <c r="C1711" t="s">
        <v>807</v>
      </c>
      <c r="E1711">
        <v>1</v>
      </c>
      <c r="I1711" t="s">
        <v>177</v>
      </c>
    </row>
    <row r="1712" spans="1:41">
      <c r="I1712" t="s">
        <v>178</v>
      </c>
      <c r="J1712">
        <f>IFERROR(VLOOKUP("906-793000-100",B:AB,1+8,0),0)</f>
        <v>0</v>
      </c>
      <c r="K1712">
        <f>IFERROR(VLOOKUP("906-793000-100",B:AB,2+8,0),0)</f>
        <v>0</v>
      </c>
      <c r="L1712">
        <f>IFERROR(VLOOKUP("906-793000-100",B:AB,3+8,0),0)</f>
        <v>0</v>
      </c>
      <c r="M1712">
        <f>IFERROR(VLOOKUP("906-793000-100",B:AB,4+8,0),0)</f>
        <v>0</v>
      </c>
      <c r="N1712">
        <f>IFERROR(VLOOKUP("906-793000-100",B:AB,5+8,0),0)</f>
        <v>0</v>
      </c>
      <c r="O1712">
        <f>IFERROR(VLOOKUP("906-793000-100",B:AB,6+8,0),0)</f>
        <v>0</v>
      </c>
      <c r="P1712">
        <f>IFERROR(VLOOKUP("906-793000-100",B:AB,7+8,0),0)</f>
        <v>0</v>
      </c>
      <c r="Q1712">
        <f>IFERROR(VLOOKUP("906-793000-100",B:AB,8+8,0),0)</f>
        <v>0</v>
      </c>
      <c r="R1712">
        <f>IFERROR(VLOOKUP("906-793000-100",B:AB,9+8,0),0)</f>
        <v>0</v>
      </c>
      <c r="S1712">
        <f>IFERROR(VLOOKUP("906-793000-100",B:AB,10+8,0),0)</f>
        <v>0</v>
      </c>
      <c r="T1712">
        <f>IFERROR(VLOOKUP("906-793000-100",B:AB,11+8,0),0)</f>
        <v>0</v>
      </c>
      <c r="U1712">
        <f>IFERROR(VLOOKUP("906-793000-100",B:AB,12+8,0),0)</f>
        <v>0</v>
      </c>
      <c r="V1712">
        <f>IFERROR(VLOOKUP("906-793000-100",B:AB,13+8,0),0)</f>
        <v>0</v>
      </c>
      <c r="W1712">
        <f>IFERROR(VLOOKUP("906-793000-100",B:AB,14+8,0),0)</f>
        <v>0</v>
      </c>
      <c r="X1712">
        <f>IFERROR(VLOOKUP("906-793000-100",B:AB,15+8,0),0)</f>
        <v>0</v>
      </c>
      <c r="Y1712">
        <f>IFERROR(VLOOKUP("906-793000-100",B:AB,16+8,0),0)</f>
        <v>0</v>
      </c>
      <c r="Z1712">
        <f>IFERROR(VLOOKUP("906-793000-100",B:AB,17+8,0),0)</f>
        <v>0</v>
      </c>
      <c r="AA1712">
        <f>IFERROR(VLOOKUP("906-793000-100",B:AB,18+8,0),0)</f>
        <v>0</v>
      </c>
      <c r="AB1712">
        <f>IFERROR(VLOOKUP("906-793000-100",B:AB,19+8,0),0)</f>
        <v>0</v>
      </c>
      <c r="AC1712">
        <f>IFERROR(VLOOKUP("906-793000-100",B:AB,20+8,0),0)</f>
        <v>0</v>
      </c>
      <c r="AD1712">
        <f>IFERROR(VLOOKUP("906-793000-100",B:AB,21+8,0),0)</f>
        <v>0</v>
      </c>
      <c r="AE1712">
        <f>IFERROR(VLOOKUP("906-793000-100",B:AB,22+8,0),0)</f>
        <v>0</v>
      </c>
      <c r="AF1712">
        <f>IFERROR(VLOOKUP("906-793000-100",B:AB,23+8,0),0)</f>
        <v>0</v>
      </c>
      <c r="AG1712">
        <f>IFERROR(VLOOKUP("906-793000-100",B:AB,24+8,0),0)</f>
        <v>0</v>
      </c>
      <c r="AH1712">
        <f>IFERROR(VLOOKUP("906-793000-100",B:AB,25+8,0),0)</f>
        <v>0</v>
      </c>
      <c r="AI1712">
        <f>IFERROR(VLOOKUP("906-793000-100",B:AB,26+8,0),0)</f>
        <v>0</v>
      </c>
      <c r="AJ1712">
        <f>IFERROR(VLOOKUP("906-793000-100",B:AB,27+8,0),0)</f>
        <v>0</v>
      </c>
      <c r="AK1712">
        <f>IFERROR(VLOOKUP("906-793000-100",B:AB,28+8,0),0)</f>
        <v>0</v>
      </c>
      <c r="AL1712">
        <f>IFERROR(VLOOKUP("906-793000-100",B:AB,29+8,0),0)</f>
        <v>0</v>
      </c>
      <c r="AM1712">
        <f>IFERROR(VLOOKUP("906-793000-100",B:AB,30+8,0),0)</f>
        <v>0</v>
      </c>
      <c r="AN1712">
        <f>IFERROR(VLOOKUP("906-793000-100",B:AB,31+8,0),0)</f>
        <v>0</v>
      </c>
      <c r="AO1712">
        <f>SUN(INDIRECT(ADDRESS(1711,8)):INDIRECT(ADDRESS(1711,39)))</f>
        <v>0</v>
      </c>
    </row>
    <row r="1713" spans="1:41">
      <c r="H1713" t="s">
        <v>179</v>
      </c>
      <c r="J1713">
        <f>INDIRECT(ADDRESS(1713,9))+INDIRECT(ADDRESS(1711,10))-INDIRECT(ADDRESS(1712,10))</f>
        <v>0</v>
      </c>
      <c r="K1713">
        <f>INDIRECT(ADDRESS(1713,10))+INDIRECT(ADDRESS(1711,11))-INDIRECT(ADDRESS(1712,11))</f>
        <v>0</v>
      </c>
      <c r="L1713">
        <f>INDIRECT(ADDRESS(1713,11))+INDIRECT(ADDRESS(1711,12))-INDIRECT(ADDRESS(1712,12))</f>
        <v>0</v>
      </c>
      <c r="M1713">
        <f>INDIRECT(ADDRESS(1713,12))+INDIRECT(ADDRESS(1711,13))-INDIRECT(ADDRESS(1712,13))</f>
        <v>0</v>
      </c>
      <c r="N1713">
        <f>INDIRECT(ADDRESS(1713,13))+INDIRECT(ADDRESS(1711,14))-INDIRECT(ADDRESS(1712,14))</f>
        <v>0</v>
      </c>
      <c r="O1713">
        <f>INDIRECT(ADDRESS(1713,14))+INDIRECT(ADDRESS(1711,15))-INDIRECT(ADDRESS(1712,15))</f>
        <v>0</v>
      </c>
      <c r="P1713">
        <f>INDIRECT(ADDRESS(1713,15))+INDIRECT(ADDRESS(1711,16))-INDIRECT(ADDRESS(1712,16))</f>
        <v>0</v>
      </c>
      <c r="Q1713">
        <f>INDIRECT(ADDRESS(1713,16))+INDIRECT(ADDRESS(1711,17))-INDIRECT(ADDRESS(1712,17))</f>
        <v>0</v>
      </c>
      <c r="R1713">
        <f>INDIRECT(ADDRESS(1713,17))+INDIRECT(ADDRESS(1711,18))-INDIRECT(ADDRESS(1712,18))</f>
        <v>0</v>
      </c>
      <c r="S1713">
        <f>INDIRECT(ADDRESS(1713,18))+INDIRECT(ADDRESS(1711,19))-INDIRECT(ADDRESS(1712,19))</f>
        <v>0</v>
      </c>
      <c r="T1713">
        <f>INDIRECT(ADDRESS(1713,19))+INDIRECT(ADDRESS(1711,20))-INDIRECT(ADDRESS(1712,20))</f>
        <v>0</v>
      </c>
      <c r="U1713">
        <f>INDIRECT(ADDRESS(1713,20))+INDIRECT(ADDRESS(1711,21))-INDIRECT(ADDRESS(1712,21))</f>
        <v>0</v>
      </c>
      <c r="V1713">
        <f>INDIRECT(ADDRESS(1713,21))+INDIRECT(ADDRESS(1711,22))-INDIRECT(ADDRESS(1712,22))</f>
        <v>0</v>
      </c>
      <c r="W1713">
        <f>INDIRECT(ADDRESS(1713,22))+INDIRECT(ADDRESS(1711,23))-INDIRECT(ADDRESS(1712,23))</f>
        <v>0</v>
      </c>
      <c r="X1713">
        <f>INDIRECT(ADDRESS(1713,23))+INDIRECT(ADDRESS(1711,24))-INDIRECT(ADDRESS(1712,24))</f>
        <v>0</v>
      </c>
      <c r="Y1713">
        <f>INDIRECT(ADDRESS(1713,24))+INDIRECT(ADDRESS(1711,25))-INDIRECT(ADDRESS(1712,25))</f>
        <v>0</v>
      </c>
      <c r="Z1713">
        <f>INDIRECT(ADDRESS(1713,25))+INDIRECT(ADDRESS(1711,26))-INDIRECT(ADDRESS(1712,26))</f>
        <v>0</v>
      </c>
      <c r="AA1713">
        <f>INDIRECT(ADDRESS(1713,26))+INDIRECT(ADDRESS(1711,27))-INDIRECT(ADDRESS(1712,27))</f>
        <v>0</v>
      </c>
      <c r="AB1713">
        <f>INDIRECT(ADDRESS(1713,27))+INDIRECT(ADDRESS(1711,28))-INDIRECT(ADDRESS(1712,28))</f>
        <v>0</v>
      </c>
      <c r="AC1713">
        <f>INDIRECT(ADDRESS(1713,28))+INDIRECT(ADDRESS(1711,29))-INDIRECT(ADDRESS(1712,29))</f>
        <v>0</v>
      </c>
      <c r="AD1713">
        <f>INDIRECT(ADDRESS(1713,29))+INDIRECT(ADDRESS(1711,30))-INDIRECT(ADDRESS(1712,30))</f>
        <v>0</v>
      </c>
      <c r="AE1713">
        <f>INDIRECT(ADDRESS(1713,30))+INDIRECT(ADDRESS(1711,31))-INDIRECT(ADDRESS(1712,31))</f>
        <v>0</v>
      </c>
      <c r="AF1713">
        <f>INDIRECT(ADDRESS(1713,31))+INDIRECT(ADDRESS(1711,32))-INDIRECT(ADDRESS(1712,32))</f>
        <v>0</v>
      </c>
      <c r="AG1713">
        <f>INDIRECT(ADDRESS(1713,32))+INDIRECT(ADDRESS(1711,33))-INDIRECT(ADDRESS(1712,33))</f>
        <v>0</v>
      </c>
      <c r="AH1713">
        <f>INDIRECT(ADDRESS(1713,33))+INDIRECT(ADDRESS(1711,34))-INDIRECT(ADDRESS(1712,34))</f>
        <v>0</v>
      </c>
      <c r="AI1713">
        <f>INDIRECT(ADDRESS(1713,34))+INDIRECT(ADDRESS(1711,35))-INDIRECT(ADDRESS(1712,35))</f>
        <v>0</v>
      </c>
      <c r="AJ1713">
        <f>INDIRECT(ADDRESS(1713,35))+INDIRECT(ADDRESS(1711,36))-INDIRECT(ADDRESS(1712,36))</f>
        <v>0</v>
      </c>
      <c r="AK1713">
        <f>INDIRECT(ADDRESS(1713,36))+INDIRECT(ADDRESS(1711,37))-INDIRECT(ADDRESS(1712,37))</f>
        <v>0</v>
      </c>
      <c r="AL1713">
        <f>INDIRECT(ADDRESS(1713,37))+INDIRECT(ADDRESS(1711,38))-INDIRECT(ADDRESS(1712,38))</f>
        <v>0</v>
      </c>
      <c r="AM1713">
        <f>INDIRECT(ADDRESS(1713,38))+INDIRECT(ADDRESS(1711,39))-INDIRECT(ADDRESS(1712,39))</f>
        <v>0</v>
      </c>
      <c r="AN1713">
        <f>INDIRECT(ADDRESS(1713,39))+INDIRECT(ADDRESS(1711,40))-INDIRECT(ADDRESS(1712,40))</f>
        <v>0</v>
      </c>
      <c r="AO1713">
        <f>SUM(INDIRECT(ADDRESS(1712,8)):INDIRECT(ADDRESS(1712,39)))</f>
        <v>0</v>
      </c>
    </row>
    <row r="1714" spans="1:41">
      <c r="A1714" t="s">
        <v>8</v>
      </c>
      <c r="B1714" t="s">
        <v>137</v>
      </c>
      <c r="C1714" t="s">
        <v>138</v>
      </c>
      <c r="E1714">
        <v>1</v>
      </c>
      <c r="I1714" t="s">
        <v>177</v>
      </c>
    </row>
    <row r="1715" spans="1:41">
      <c r="I1715" t="s">
        <v>178</v>
      </c>
      <c r="J1715">
        <f>IFERROR(VLOOKUP("906-959000-110",Out!B:AB,1+8,0),0)</f>
        <v>0</v>
      </c>
      <c r="K1715">
        <f>IFERROR(VLOOKUP("906-959000-110",Out!B:AB,2+8,0),0)</f>
        <v>0</v>
      </c>
      <c r="L1715">
        <f>IFERROR(VLOOKUP("906-959000-110",Out!B:AB,3+8,0),0)</f>
        <v>0</v>
      </c>
      <c r="M1715">
        <f>IFERROR(VLOOKUP("906-959000-110",Out!B:AB,4+8,0),0)</f>
        <v>0</v>
      </c>
      <c r="N1715">
        <f>IFERROR(VLOOKUP("906-959000-110",Out!B:AB,5+8,0),0)</f>
        <v>0</v>
      </c>
      <c r="O1715">
        <f>IFERROR(VLOOKUP("906-959000-110",Out!B:AB,6+8,0),0)</f>
        <v>0</v>
      </c>
      <c r="P1715">
        <f>IFERROR(VLOOKUP("906-959000-110",Out!B:AB,7+8,0),0)</f>
        <v>0</v>
      </c>
      <c r="Q1715">
        <f>IFERROR(VLOOKUP("906-959000-110",Out!B:AB,8+8,0),0)</f>
        <v>0</v>
      </c>
      <c r="R1715">
        <f>IFERROR(VLOOKUP("906-959000-110",Out!B:AB,9+8,0),0)</f>
        <v>0</v>
      </c>
      <c r="S1715">
        <f>IFERROR(VLOOKUP("906-959000-110",Out!B:AB,10+8,0),0)</f>
        <v>0</v>
      </c>
      <c r="T1715">
        <f>IFERROR(VLOOKUP("906-959000-110",Out!B:AB,11+8,0),0)</f>
        <v>0</v>
      </c>
      <c r="U1715">
        <f>IFERROR(VLOOKUP("906-959000-110",Out!B:AB,12+8,0),0)</f>
        <v>0</v>
      </c>
      <c r="V1715">
        <f>IFERROR(VLOOKUP("906-959000-110",Out!B:AB,13+8,0),0)</f>
        <v>0</v>
      </c>
      <c r="W1715">
        <f>IFERROR(VLOOKUP("906-959000-110",Out!B:AB,14+8,0),0)</f>
        <v>0</v>
      </c>
      <c r="X1715">
        <f>IFERROR(VLOOKUP("906-959000-110",Out!B:AB,15+8,0),0)</f>
        <v>0</v>
      </c>
      <c r="Y1715">
        <f>IFERROR(VLOOKUP("906-959000-110",Out!B:AB,16+8,0),0)</f>
        <v>0</v>
      </c>
      <c r="Z1715">
        <f>IFERROR(VLOOKUP("906-959000-110",Out!B:AB,17+8,0),0)</f>
        <v>0</v>
      </c>
      <c r="AA1715">
        <f>IFERROR(VLOOKUP("906-959000-110",Out!B:AB,18+8,0),0)</f>
        <v>0</v>
      </c>
      <c r="AB1715">
        <f>IFERROR(VLOOKUP("906-959000-110",Out!B:AB,19+8,0),0)</f>
        <v>0</v>
      </c>
      <c r="AC1715">
        <f>IFERROR(VLOOKUP("906-959000-110",Out!B:AB,20+8,0),0)</f>
        <v>0</v>
      </c>
      <c r="AD1715">
        <f>IFERROR(VLOOKUP("906-959000-110",Out!B:AB,21+8,0),0)</f>
        <v>0</v>
      </c>
      <c r="AE1715">
        <f>IFERROR(VLOOKUP("906-959000-110",Out!B:AB,22+8,0),0)</f>
        <v>0</v>
      </c>
      <c r="AF1715">
        <f>IFERROR(VLOOKUP("906-959000-110",Out!B:AB,23+8,0),0)</f>
        <v>0</v>
      </c>
      <c r="AG1715">
        <f>IFERROR(VLOOKUP("906-959000-110",Out!B:AB,24+8,0),0)</f>
        <v>0</v>
      </c>
      <c r="AH1715">
        <f>IFERROR(VLOOKUP("906-959000-110",Out!B:AB,25+8,0),0)</f>
        <v>0</v>
      </c>
      <c r="AI1715">
        <f>IFERROR(VLOOKUP("906-959000-110",Out!B:AB,26+8,0),0)</f>
        <v>0</v>
      </c>
      <c r="AJ1715">
        <f>IFERROR(VLOOKUP("906-959000-110",Out!B:AB,27+8,0),0)</f>
        <v>0</v>
      </c>
      <c r="AK1715">
        <f>IFERROR(VLOOKUP("906-959000-110",Out!B:AB,28+8,0),0)</f>
        <v>0</v>
      </c>
      <c r="AL1715">
        <f>IFERROR(VLOOKUP("906-959000-110",Out!B:AB,29+8,0),0)</f>
        <v>0</v>
      </c>
      <c r="AM1715">
        <f>IFERROR(VLOOKUP("906-959000-110",Out!B:AB,30+8,0),0)</f>
        <v>0</v>
      </c>
      <c r="AN1715">
        <f>IFERROR(VLOOKUP("906-959000-110",Out!B:AB,31+8,0),0)</f>
        <v>0</v>
      </c>
      <c r="AO1715">
        <f>SUN(INDIRECT(ADDRESS(1714,8)):INDIRECT(ADDRESS(1714,39)))</f>
        <v>0</v>
      </c>
    </row>
    <row r="1716" spans="1:41">
      <c r="H1716" t="s">
        <v>179</v>
      </c>
      <c r="J1716">
        <f>INDIRECT(ADDRESS(1716,9))+INDIRECT(ADDRESS(1714,10))-INDIRECT(ADDRESS(1715,10))</f>
        <v>0</v>
      </c>
      <c r="K1716">
        <f>INDIRECT(ADDRESS(1716,10))+INDIRECT(ADDRESS(1714,11))-INDIRECT(ADDRESS(1715,11))</f>
        <v>0</v>
      </c>
      <c r="L1716">
        <f>INDIRECT(ADDRESS(1716,11))+INDIRECT(ADDRESS(1714,12))-INDIRECT(ADDRESS(1715,12))</f>
        <v>0</v>
      </c>
      <c r="M1716">
        <f>INDIRECT(ADDRESS(1716,12))+INDIRECT(ADDRESS(1714,13))-INDIRECT(ADDRESS(1715,13))</f>
        <v>0</v>
      </c>
      <c r="N1716">
        <f>INDIRECT(ADDRESS(1716,13))+INDIRECT(ADDRESS(1714,14))-INDIRECT(ADDRESS(1715,14))</f>
        <v>0</v>
      </c>
      <c r="O1716">
        <f>INDIRECT(ADDRESS(1716,14))+INDIRECT(ADDRESS(1714,15))-INDIRECT(ADDRESS(1715,15))</f>
        <v>0</v>
      </c>
      <c r="P1716">
        <f>INDIRECT(ADDRESS(1716,15))+INDIRECT(ADDRESS(1714,16))-INDIRECT(ADDRESS(1715,16))</f>
        <v>0</v>
      </c>
      <c r="Q1716">
        <f>INDIRECT(ADDRESS(1716,16))+INDIRECT(ADDRESS(1714,17))-INDIRECT(ADDRESS(1715,17))</f>
        <v>0</v>
      </c>
      <c r="R1716">
        <f>INDIRECT(ADDRESS(1716,17))+INDIRECT(ADDRESS(1714,18))-INDIRECT(ADDRESS(1715,18))</f>
        <v>0</v>
      </c>
      <c r="S1716">
        <f>INDIRECT(ADDRESS(1716,18))+INDIRECT(ADDRESS(1714,19))-INDIRECT(ADDRESS(1715,19))</f>
        <v>0</v>
      </c>
      <c r="T1716">
        <f>INDIRECT(ADDRESS(1716,19))+INDIRECT(ADDRESS(1714,20))-INDIRECT(ADDRESS(1715,20))</f>
        <v>0</v>
      </c>
      <c r="U1716">
        <f>INDIRECT(ADDRESS(1716,20))+INDIRECT(ADDRESS(1714,21))-INDIRECT(ADDRESS(1715,21))</f>
        <v>0</v>
      </c>
      <c r="V1716">
        <f>INDIRECT(ADDRESS(1716,21))+INDIRECT(ADDRESS(1714,22))-INDIRECT(ADDRESS(1715,22))</f>
        <v>0</v>
      </c>
      <c r="W1716">
        <f>INDIRECT(ADDRESS(1716,22))+INDIRECT(ADDRESS(1714,23))-INDIRECT(ADDRESS(1715,23))</f>
        <v>0</v>
      </c>
      <c r="X1716">
        <f>INDIRECT(ADDRESS(1716,23))+INDIRECT(ADDRESS(1714,24))-INDIRECT(ADDRESS(1715,24))</f>
        <v>0</v>
      </c>
      <c r="Y1716">
        <f>INDIRECT(ADDRESS(1716,24))+INDIRECT(ADDRESS(1714,25))-INDIRECT(ADDRESS(1715,25))</f>
        <v>0</v>
      </c>
      <c r="Z1716">
        <f>INDIRECT(ADDRESS(1716,25))+INDIRECT(ADDRESS(1714,26))-INDIRECT(ADDRESS(1715,26))</f>
        <v>0</v>
      </c>
      <c r="AA1716">
        <f>INDIRECT(ADDRESS(1716,26))+INDIRECT(ADDRESS(1714,27))-INDIRECT(ADDRESS(1715,27))</f>
        <v>0</v>
      </c>
      <c r="AB1716">
        <f>INDIRECT(ADDRESS(1716,27))+INDIRECT(ADDRESS(1714,28))-INDIRECT(ADDRESS(1715,28))</f>
        <v>0</v>
      </c>
      <c r="AC1716">
        <f>INDIRECT(ADDRESS(1716,28))+INDIRECT(ADDRESS(1714,29))-INDIRECT(ADDRESS(1715,29))</f>
        <v>0</v>
      </c>
      <c r="AD1716">
        <f>INDIRECT(ADDRESS(1716,29))+INDIRECT(ADDRESS(1714,30))-INDIRECT(ADDRESS(1715,30))</f>
        <v>0</v>
      </c>
      <c r="AE1716">
        <f>INDIRECT(ADDRESS(1716,30))+INDIRECT(ADDRESS(1714,31))-INDIRECT(ADDRESS(1715,31))</f>
        <v>0</v>
      </c>
      <c r="AF1716">
        <f>INDIRECT(ADDRESS(1716,31))+INDIRECT(ADDRESS(1714,32))-INDIRECT(ADDRESS(1715,32))</f>
        <v>0</v>
      </c>
      <c r="AG1716">
        <f>INDIRECT(ADDRESS(1716,32))+INDIRECT(ADDRESS(1714,33))-INDIRECT(ADDRESS(1715,33))</f>
        <v>0</v>
      </c>
      <c r="AH1716">
        <f>INDIRECT(ADDRESS(1716,33))+INDIRECT(ADDRESS(1714,34))-INDIRECT(ADDRESS(1715,34))</f>
        <v>0</v>
      </c>
      <c r="AI1716">
        <f>INDIRECT(ADDRESS(1716,34))+INDIRECT(ADDRESS(1714,35))-INDIRECT(ADDRESS(1715,35))</f>
        <v>0</v>
      </c>
      <c r="AJ1716">
        <f>INDIRECT(ADDRESS(1716,35))+INDIRECT(ADDRESS(1714,36))-INDIRECT(ADDRESS(1715,36))</f>
        <v>0</v>
      </c>
      <c r="AK1716">
        <f>INDIRECT(ADDRESS(1716,36))+INDIRECT(ADDRESS(1714,37))-INDIRECT(ADDRESS(1715,37))</f>
        <v>0</v>
      </c>
      <c r="AL1716">
        <f>INDIRECT(ADDRESS(1716,37))+INDIRECT(ADDRESS(1714,38))-INDIRECT(ADDRESS(1715,38))</f>
        <v>0</v>
      </c>
      <c r="AM1716">
        <f>INDIRECT(ADDRESS(1716,38))+INDIRECT(ADDRESS(1714,39))-INDIRECT(ADDRESS(1715,39))</f>
        <v>0</v>
      </c>
      <c r="AN1716">
        <f>INDIRECT(ADDRESS(1716,39))+INDIRECT(ADDRESS(1714,40))-INDIRECT(ADDRESS(1715,40))</f>
        <v>0</v>
      </c>
      <c r="AO1716">
        <f>SUM(INDIRECT(ADDRESS(1715,8)):INDIRECT(ADDRESS(1715,39)))</f>
        <v>0</v>
      </c>
    </row>
    <row r="1717" spans="1:41">
      <c r="A1717" t="s">
        <v>180</v>
      </c>
      <c r="B1717" t="s">
        <v>808</v>
      </c>
      <c r="C1717" t="s">
        <v>809</v>
      </c>
      <c r="E1717">
        <v>1</v>
      </c>
      <c r="I1717" t="s">
        <v>177</v>
      </c>
    </row>
    <row r="1718" spans="1:41">
      <c r="I1718" t="s">
        <v>178</v>
      </c>
      <c r="J1718">
        <f>IFERROR(VLOOKUP("906-959000-110",B:AB,1+8,0),0)</f>
        <v>0</v>
      </c>
      <c r="K1718">
        <f>IFERROR(VLOOKUP("906-959000-110",B:AB,2+8,0),0)</f>
        <v>0</v>
      </c>
      <c r="L1718">
        <f>IFERROR(VLOOKUP("906-959000-110",B:AB,3+8,0),0)</f>
        <v>0</v>
      </c>
      <c r="M1718">
        <f>IFERROR(VLOOKUP("906-959000-110",B:AB,4+8,0),0)</f>
        <v>0</v>
      </c>
      <c r="N1718">
        <f>IFERROR(VLOOKUP("906-959000-110",B:AB,5+8,0),0)</f>
        <v>0</v>
      </c>
      <c r="O1718">
        <f>IFERROR(VLOOKUP("906-959000-110",B:AB,6+8,0),0)</f>
        <v>0</v>
      </c>
      <c r="P1718">
        <f>IFERROR(VLOOKUP("906-959000-110",B:AB,7+8,0),0)</f>
        <v>0</v>
      </c>
      <c r="Q1718">
        <f>IFERROR(VLOOKUP("906-959000-110",B:AB,8+8,0),0)</f>
        <v>0</v>
      </c>
      <c r="R1718">
        <f>IFERROR(VLOOKUP("906-959000-110",B:AB,9+8,0),0)</f>
        <v>0</v>
      </c>
      <c r="S1718">
        <f>IFERROR(VLOOKUP("906-959000-110",B:AB,10+8,0),0)</f>
        <v>0</v>
      </c>
      <c r="T1718">
        <f>IFERROR(VLOOKUP("906-959000-110",B:AB,11+8,0),0)</f>
        <v>0</v>
      </c>
      <c r="U1718">
        <f>IFERROR(VLOOKUP("906-959000-110",B:AB,12+8,0),0)</f>
        <v>0</v>
      </c>
      <c r="V1718">
        <f>IFERROR(VLOOKUP("906-959000-110",B:AB,13+8,0),0)</f>
        <v>0</v>
      </c>
      <c r="W1718">
        <f>IFERROR(VLOOKUP("906-959000-110",B:AB,14+8,0),0)</f>
        <v>0</v>
      </c>
      <c r="X1718">
        <f>IFERROR(VLOOKUP("906-959000-110",B:AB,15+8,0),0)</f>
        <v>0</v>
      </c>
      <c r="Y1718">
        <f>IFERROR(VLOOKUP("906-959000-110",B:AB,16+8,0),0)</f>
        <v>0</v>
      </c>
      <c r="Z1718">
        <f>IFERROR(VLOOKUP("906-959000-110",B:AB,17+8,0),0)</f>
        <v>0</v>
      </c>
      <c r="AA1718">
        <f>IFERROR(VLOOKUP("906-959000-110",B:AB,18+8,0),0)</f>
        <v>0</v>
      </c>
      <c r="AB1718">
        <f>IFERROR(VLOOKUP("906-959000-110",B:AB,19+8,0),0)</f>
        <v>0</v>
      </c>
      <c r="AC1718">
        <f>IFERROR(VLOOKUP("906-959000-110",B:AB,20+8,0),0)</f>
        <v>0</v>
      </c>
      <c r="AD1718">
        <f>IFERROR(VLOOKUP("906-959000-110",B:AB,21+8,0),0)</f>
        <v>0</v>
      </c>
      <c r="AE1718">
        <f>IFERROR(VLOOKUP("906-959000-110",B:AB,22+8,0),0)</f>
        <v>0</v>
      </c>
      <c r="AF1718">
        <f>IFERROR(VLOOKUP("906-959000-110",B:AB,23+8,0),0)</f>
        <v>0</v>
      </c>
      <c r="AG1718">
        <f>IFERROR(VLOOKUP("906-959000-110",B:AB,24+8,0),0)</f>
        <v>0</v>
      </c>
      <c r="AH1718">
        <f>IFERROR(VLOOKUP("906-959000-110",B:AB,25+8,0),0)</f>
        <v>0</v>
      </c>
      <c r="AI1718">
        <f>IFERROR(VLOOKUP("906-959000-110",B:AB,26+8,0),0)</f>
        <v>0</v>
      </c>
      <c r="AJ1718">
        <f>IFERROR(VLOOKUP("906-959000-110",B:AB,27+8,0),0)</f>
        <v>0</v>
      </c>
      <c r="AK1718">
        <f>IFERROR(VLOOKUP("906-959000-110",B:AB,28+8,0),0)</f>
        <v>0</v>
      </c>
      <c r="AL1718">
        <f>IFERROR(VLOOKUP("906-959000-110",B:AB,29+8,0),0)</f>
        <v>0</v>
      </c>
      <c r="AM1718">
        <f>IFERROR(VLOOKUP("906-959000-110",B:AB,30+8,0),0)</f>
        <v>0</v>
      </c>
      <c r="AN1718">
        <f>IFERROR(VLOOKUP("906-959000-110",B:AB,31+8,0),0)</f>
        <v>0</v>
      </c>
      <c r="AO1718">
        <f>SUN(INDIRECT(ADDRESS(1717,8)):INDIRECT(ADDRESS(1717,39)))</f>
        <v>0</v>
      </c>
    </row>
    <row r="1719" spans="1:41">
      <c r="H1719" t="s">
        <v>179</v>
      </c>
      <c r="J1719">
        <f>INDIRECT(ADDRESS(1719,9))+INDIRECT(ADDRESS(1717,10))-INDIRECT(ADDRESS(1718,10))</f>
        <v>0</v>
      </c>
      <c r="K1719">
        <f>INDIRECT(ADDRESS(1719,10))+INDIRECT(ADDRESS(1717,11))-INDIRECT(ADDRESS(1718,11))</f>
        <v>0</v>
      </c>
      <c r="L1719">
        <f>INDIRECT(ADDRESS(1719,11))+INDIRECT(ADDRESS(1717,12))-INDIRECT(ADDRESS(1718,12))</f>
        <v>0</v>
      </c>
      <c r="M1719">
        <f>INDIRECT(ADDRESS(1719,12))+INDIRECT(ADDRESS(1717,13))-INDIRECT(ADDRESS(1718,13))</f>
        <v>0</v>
      </c>
      <c r="N1719">
        <f>INDIRECT(ADDRESS(1719,13))+INDIRECT(ADDRESS(1717,14))-INDIRECT(ADDRESS(1718,14))</f>
        <v>0</v>
      </c>
      <c r="O1719">
        <f>INDIRECT(ADDRESS(1719,14))+INDIRECT(ADDRESS(1717,15))-INDIRECT(ADDRESS(1718,15))</f>
        <v>0</v>
      </c>
      <c r="P1719">
        <f>INDIRECT(ADDRESS(1719,15))+INDIRECT(ADDRESS(1717,16))-INDIRECT(ADDRESS(1718,16))</f>
        <v>0</v>
      </c>
      <c r="Q1719">
        <f>INDIRECT(ADDRESS(1719,16))+INDIRECT(ADDRESS(1717,17))-INDIRECT(ADDRESS(1718,17))</f>
        <v>0</v>
      </c>
      <c r="R1719">
        <f>INDIRECT(ADDRESS(1719,17))+INDIRECT(ADDRESS(1717,18))-INDIRECT(ADDRESS(1718,18))</f>
        <v>0</v>
      </c>
      <c r="S1719">
        <f>INDIRECT(ADDRESS(1719,18))+INDIRECT(ADDRESS(1717,19))-INDIRECT(ADDRESS(1718,19))</f>
        <v>0</v>
      </c>
      <c r="T1719">
        <f>INDIRECT(ADDRESS(1719,19))+INDIRECT(ADDRESS(1717,20))-INDIRECT(ADDRESS(1718,20))</f>
        <v>0</v>
      </c>
      <c r="U1719">
        <f>INDIRECT(ADDRESS(1719,20))+INDIRECT(ADDRESS(1717,21))-INDIRECT(ADDRESS(1718,21))</f>
        <v>0</v>
      </c>
      <c r="V1719">
        <f>INDIRECT(ADDRESS(1719,21))+INDIRECT(ADDRESS(1717,22))-INDIRECT(ADDRESS(1718,22))</f>
        <v>0</v>
      </c>
      <c r="W1719">
        <f>INDIRECT(ADDRESS(1719,22))+INDIRECT(ADDRESS(1717,23))-INDIRECT(ADDRESS(1718,23))</f>
        <v>0</v>
      </c>
      <c r="X1719">
        <f>INDIRECT(ADDRESS(1719,23))+INDIRECT(ADDRESS(1717,24))-INDIRECT(ADDRESS(1718,24))</f>
        <v>0</v>
      </c>
      <c r="Y1719">
        <f>INDIRECT(ADDRESS(1719,24))+INDIRECT(ADDRESS(1717,25))-INDIRECT(ADDRESS(1718,25))</f>
        <v>0</v>
      </c>
      <c r="Z1719">
        <f>INDIRECT(ADDRESS(1719,25))+INDIRECT(ADDRESS(1717,26))-INDIRECT(ADDRESS(1718,26))</f>
        <v>0</v>
      </c>
      <c r="AA1719">
        <f>INDIRECT(ADDRESS(1719,26))+INDIRECT(ADDRESS(1717,27))-INDIRECT(ADDRESS(1718,27))</f>
        <v>0</v>
      </c>
      <c r="AB1719">
        <f>INDIRECT(ADDRESS(1719,27))+INDIRECT(ADDRESS(1717,28))-INDIRECT(ADDRESS(1718,28))</f>
        <v>0</v>
      </c>
      <c r="AC1719">
        <f>INDIRECT(ADDRESS(1719,28))+INDIRECT(ADDRESS(1717,29))-INDIRECT(ADDRESS(1718,29))</f>
        <v>0</v>
      </c>
      <c r="AD1719">
        <f>INDIRECT(ADDRESS(1719,29))+INDIRECT(ADDRESS(1717,30))-INDIRECT(ADDRESS(1718,30))</f>
        <v>0</v>
      </c>
      <c r="AE1719">
        <f>INDIRECT(ADDRESS(1719,30))+INDIRECT(ADDRESS(1717,31))-INDIRECT(ADDRESS(1718,31))</f>
        <v>0</v>
      </c>
      <c r="AF1719">
        <f>INDIRECT(ADDRESS(1719,31))+INDIRECT(ADDRESS(1717,32))-INDIRECT(ADDRESS(1718,32))</f>
        <v>0</v>
      </c>
      <c r="AG1719">
        <f>INDIRECT(ADDRESS(1719,32))+INDIRECT(ADDRESS(1717,33))-INDIRECT(ADDRESS(1718,33))</f>
        <v>0</v>
      </c>
      <c r="AH1719">
        <f>INDIRECT(ADDRESS(1719,33))+INDIRECT(ADDRESS(1717,34))-INDIRECT(ADDRESS(1718,34))</f>
        <v>0</v>
      </c>
      <c r="AI1719">
        <f>INDIRECT(ADDRESS(1719,34))+INDIRECT(ADDRESS(1717,35))-INDIRECT(ADDRESS(1718,35))</f>
        <v>0</v>
      </c>
      <c r="AJ1719">
        <f>INDIRECT(ADDRESS(1719,35))+INDIRECT(ADDRESS(1717,36))-INDIRECT(ADDRESS(1718,36))</f>
        <v>0</v>
      </c>
      <c r="AK1719">
        <f>INDIRECT(ADDRESS(1719,36))+INDIRECT(ADDRESS(1717,37))-INDIRECT(ADDRESS(1718,37))</f>
        <v>0</v>
      </c>
      <c r="AL1719">
        <f>INDIRECT(ADDRESS(1719,37))+INDIRECT(ADDRESS(1717,38))-INDIRECT(ADDRESS(1718,38))</f>
        <v>0</v>
      </c>
      <c r="AM1719">
        <f>INDIRECT(ADDRESS(1719,38))+INDIRECT(ADDRESS(1717,39))-INDIRECT(ADDRESS(1718,39))</f>
        <v>0</v>
      </c>
      <c r="AN1719">
        <f>INDIRECT(ADDRESS(1719,39))+INDIRECT(ADDRESS(1717,40))-INDIRECT(ADDRESS(1718,40))</f>
        <v>0</v>
      </c>
      <c r="AO1719">
        <f>SUM(INDIRECT(ADDRESS(1718,8)):INDIRECT(ADDRESS(1718,39)))</f>
        <v>0</v>
      </c>
    </row>
    <row r="1720" spans="1:41">
      <c r="A1720" t="s">
        <v>185</v>
      </c>
      <c r="B1720" t="s">
        <v>810</v>
      </c>
      <c r="C1720" t="s">
        <v>811</v>
      </c>
      <c r="E1720">
        <v>1</v>
      </c>
      <c r="I1720" t="s">
        <v>177</v>
      </c>
    </row>
    <row r="1721" spans="1:41">
      <c r="I1721" t="s">
        <v>178</v>
      </c>
      <c r="J1721">
        <f>IFERROR(VLOOKUP("906-959000-110",B:AB,1+8,0),0)</f>
        <v>0</v>
      </c>
      <c r="K1721">
        <f>IFERROR(VLOOKUP("906-959000-110",B:AB,2+8,0),0)</f>
        <v>0</v>
      </c>
      <c r="L1721">
        <f>IFERROR(VLOOKUP("906-959000-110",B:AB,3+8,0),0)</f>
        <v>0</v>
      </c>
      <c r="M1721">
        <f>IFERROR(VLOOKUP("906-959000-110",B:AB,4+8,0),0)</f>
        <v>0</v>
      </c>
      <c r="N1721">
        <f>IFERROR(VLOOKUP("906-959000-110",B:AB,5+8,0),0)</f>
        <v>0</v>
      </c>
      <c r="O1721">
        <f>IFERROR(VLOOKUP("906-959000-110",B:AB,6+8,0),0)</f>
        <v>0</v>
      </c>
      <c r="P1721">
        <f>IFERROR(VLOOKUP("906-959000-110",B:AB,7+8,0),0)</f>
        <v>0</v>
      </c>
      <c r="Q1721">
        <f>IFERROR(VLOOKUP("906-959000-110",B:AB,8+8,0),0)</f>
        <v>0</v>
      </c>
      <c r="R1721">
        <f>IFERROR(VLOOKUP("906-959000-110",B:AB,9+8,0),0)</f>
        <v>0</v>
      </c>
      <c r="S1721">
        <f>IFERROR(VLOOKUP("906-959000-110",B:AB,10+8,0),0)</f>
        <v>0</v>
      </c>
      <c r="T1721">
        <f>IFERROR(VLOOKUP("906-959000-110",B:AB,11+8,0),0)</f>
        <v>0</v>
      </c>
      <c r="U1721">
        <f>IFERROR(VLOOKUP("906-959000-110",B:AB,12+8,0),0)</f>
        <v>0</v>
      </c>
      <c r="V1721">
        <f>IFERROR(VLOOKUP("906-959000-110",B:AB,13+8,0),0)</f>
        <v>0</v>
      </c>
      <c r="W1721">
        <f>IFERROR(VLOOKUP("906-959000-110",B:AB,14+8,0),0)</f>
        <v>0</v>
      </c>
      <c r="X1721">
        <f>IFERROR(VLOOKUP("906-959000-110",B:AB,15+8,0),0)</f>
        <v>0</v>
      </c>
      <c r="Y1721">
        <f>IFERROR(VLOOKUP("906-959000-110",B:AB,16+8,0),0)</f>
        <v>0</v>
      </c>
      <c r="Z1721">
        <f>IFERROR(VLOOKUP("906-959000-110",B:AB,17+8,0),0)</f>
        <v>0</v>
      </c>
      <c r="AA1721">
        <f>IFERROR(VLOOKUP("906-959000-110",B:AB,18+8,0),0)</f>
        <v>0</v>
      </c>
      <c r="AB1721">
        <f>IFERROR(VLOOKUP("906-959000-110",B:AB,19+8,0),0)</f>
        <v>0</v>
      </c>
      <c r="AC1721">
        <f>IFERROR(VLOOKUP("906-959000-110",B:AB,20+8,0),0)</f>
        <v>0</v>
      </c>
      <c r="AD1721">
        <f>IFERROR(VLOOKUP("906-959000-110",B:AB,21+8,0),0)</f>
        <v>0</v>
      </c>
      <c r="AE1721">
        <f>IFERROR(VLOOKUP("906-959000-110",B:AB,22+8,0),0)</f>
        <v>0</v>
      </c>
      <c r="AF1721">
        <f>IFERROR(VLOOKUP("906-959000-110",B:AB,23+8,0),0)</f>
        <v>0</v>
      </c>
      <c r="AG1721">
        <f>IFERROR(VLOOKUP("906-959000-110",B:AB,24+8,0),0)</f>
        <v>0</v>
      </c>
      <c r="AH1721">
        <f>IFERROR(VLOOKUP("906-959000-110",B:AB,25+8,0),0)</f>
        <v>0</v>
      </c>
      <c r="AI1721">
        <f>IFERROR(VLOOKUP("906-959000-110",B:AB,26+8,0),0)</f>
        <v>0</v>
      </c>
      <c r="AJ1721">
        <f>IFERROR(VLOOKUP("906-959000-110",B:AB,27+8,0),0)</f>
        <v>0</v>
      </c>
      <c r="AK1721">
        <f>IFERROR(VLOOKUP("906-959000-110",B:AB,28+8,0),0)</f>
        <v>0</v>
      </c>
      <c r="AL1721">
        <f>IFERROR(VLOOKUP("906-959000-110",B:AB,29+8,0),0)</f>
        <v>0</v>
      </c>
      <c r="AM1721">
        <f>IFERROR(VLOOKUP("906-959000-110",B:AB,30+8,0),0)</f>
        <v>0</v>
      </c>
      <c r="AN1721">
        <f>IFERROR(VLOOKUP("906-959000-110",B:AB,31+8,0),0)</f>
        <v>0</v>
      </c>
      <c r="AO1721">
        <f>SUN(INDIRECT(ADDRESS(1720,8)):INDIRECT(ADDRESS(1720,39)))</f>
        <v>0</v>
      </c>
    </row>
    <row r="1722" spans="1:41">
      <c r="H1722" t="s">
        <v>179</v>
      </c>
      <c r="J1722">
        <f>INDIRECT(ADDRESS(1722,9))+INDIRECT(ADDRESS(1720,10))-INDIRECT(ADDRESS(1721,10))</f>
        <v>0</v>
      </c>
      <c r="K1722">
        <f>INDIRECT(ADDRESS(1722,10))+INDIRECT(ADDRESS(1720,11))-INDIRECT(ADDRESS(1721,11))</f>
        <v>0</v>
      </c>
      <c r="L1722">
        <f>INDIRECT(ADDRESS(1722,11))+INDIRECT(ADDRESS(1720,12))-INDIRECT(ADDRESS(1721,12))</f>
        <v>0</v>
      </c>
      <c r="M1722">
        <f>INDIRECT(ADDRESS(1722,12))+INDIRECT(ADDRESS(1720,13))-INDIRECT(ADDRESS(1721,13))</f>
        <v>0</v>
      </c>
      <c r="N1722">
        <f>INDIRECT(ADDRESS(1722,13))+INDIRECT(ADDRESS(1720,14))-INDIRECT(ADDRESS(1721,14))</f>
        <v>0</v>
      </c>
      <c r="O1722">
        <f>INDIRECT(ADDRESS(1722,14))+INDIRECT(ADDRESS(1720,15))-INDIRECT(ADDRESS(1721,15))</f>
        <v>0</v>
      </c>
      <c r="P1722">
        <f>INDIRECT(ADDRESS(1722,15))+INDIRECT(ADDRESS(1720,16))-INDIRECT(ADDRESS(1721,16))</f>
        <v>0</v>
      </c>
      <c r="Q1722">
        <f>INDIRECT(ADDRESS(1722,16))+INDIRECT(ADDRESS(1720,17))-INDIRECT(ADDRESS(1721,17))</f>
        <v>0</v>
      </c>
      <c r="R1722">
        <f>INDIRECT(ADDRESS(1722,17))+INDIRECT(ADDRESS(1720,18))-INDIRECT(ADDRESS(1721,18))</f>
        <v>0</v>
      </c>
      <c r="S1722">
        <f>INDIRECT(ADDRESS(1722,18))+INDIRECT(ADDRESS(1720,19))-INDIRECT(ADDRESS(1721,19))</f>
        <v>0</v>
      </c>
      <c r="T1722">
        <f>INDIRECT(ADDRESS(1722,19))+INDIRECT(ADDRESS(1720,20))-INDIRECT(ADDRESS(1721,20))</f>
        <v>0</v>
      </c>
      <c r="U1722">
        <f>INDIRECT(ADDRESS(1722,20))+INDIRECT(ADDRESS(1720,21))-INDIRECT(ADDRESS(1721,21))</f>
        <v>0</v>
      </c>
      <c r="V1722">
        <f>INDIRECT(ADDRESS(1722,21))+INDIRECT(ADDRESS(1720,22))-INDIRECT(ADDRESS(1721,22))</f>
        <v>0</v>
      </c>
      <c r="W1722">
        <f>INDIRECT(ADDRESS(1722,22))+INDIRECT(ADDRESS(1720,23))-INDIRECT(ADDRESS(1721,23))</f>
        <v>0</v>
      </c>
      <c r="X1722">
        <f>INDIRECT(ADDRESS(1722,23))+INDIRECT(ADDRESS(1720,24))-INDIRECT(ADDRESS(1721,24))</f>
        <v>0</v>
      </c>
      <c r="Y1722">
        <f>INDIRECT(ADDRESS(1722,24))+INDIRECT(ADDRESS(1720,25))-INDIRECT(ADDRESS(1721,25))</f>
        <v>0</v>
      </c>
      <c r="Z1722">
        <f>INDIRECT(ADDRESS(1722,25))+INDIRECT(ADDRESS(1720,26))-INDIRECT(ADDRESS(1721,26))</f>
        <v>0</v>
      </c>
      <c r="AA1722">
        <f>INDIRECT(ADDRESS(1722,26))+INDIRECT(ADDRESS(1720,27))-INDIRECT(ADDRESS(1721,27))</f>
        <v>0</v>
      </c>
      <c r="AB1722">
        <f>INDIRECT(ADDRESS(1722,27))+INDIRECT(ADDRESS(1720,28))-INDIRECT(ADDRESS(1721,28))</f>
        <v>0</v>
      </c>
      <c r="AC1722">
        <f>INDIRECT(ADDRESS(1722,28))+INDIRECT(ADDRESS(1720,29))-INDIRECT(ADDRESS(1721,29))</f>
        <v>0</v>
      </c>
      <c r="AD1722">
        <f>INDIRECT(ADDRESS(1722,29))+INDIRECT(ADDRESS(1720,30))-INDIRECT(ADDRESS(1721,30))</f>
        <v>0</v>
      </c>
      <c r="AE1722">
        <f>INDIRECT(ADDRESS(1722,30))+INDIRECT(ADDRESS(1720,31))-INDIRECT(ADDRESS(1721,31))</f>
        <v>0</v>
      </c>
      <c r="AF1722">
        <f>INDIRECT(ADDRESS(1722,31))+INDIRECT(ADDRESS(1720,32))-INDIRECT(ADDRESS(1721,32))</f>
        <v>0</v>
      </c>
      <c r="AG1722">
        <f>INDIRECT(ADDRESS(1722,32))+INDIRECT(ADDRESS(1720,33))-INDIRECT(ADDRESS(1721,33))</f>
        <v>0</v>
      </c>
      <c r="AH1722">
        <f>INDIRECT(ADDRESS(1722,33))+INDIRECT(ADDRESS(1720,34))-INDIRECT(ADDRESS(1721,34))</f>
        <v>0</v>
      </c>
      <c r="AI1722">
        <f>INDIRECT(ADDRESS(1722,34))+INDIRECT(ADDRESS(1720,35))-INDIRECT(ADDRESS(1721,35))</f>
        <v>0</v>
      </c>
      <c r="AJ1722">
        <f>INDIRECT(ADDRESS(1722,35))+INDIRECT(ADDRESS(1720,36))-INDIRECT(ADDRESS(1721,36))</f>
        <v>0</v>
      </c>
      <c r="AK1722">
        <f>INDIRECT(ADDRESS(1722,36))+INDIRECT(ADDRESS(1720,37))-INDIRECT(ADDRESS(1721,37))</f>
        <v>0</v>
      </c>
      <c r="AL1722">
        <f>INDIRECT(ADDRESS(1722,37))+INDIRECT(ADDRESS(1720,38))-INDIRECT(ADDRESS(1721,38))</f>
        <v>0</v>
      </c>
      <c r="AM1722">
        <f>INDIRECT(ADDRESS(1722,38))+INDIRECT(ADDRESS(1720,39))-INDIRECT(ADDRESS(1721,39))</f>
        <v>0</v>
      </c>
      <c r="AN1722">
        <f>INDIRECT(ADDRESS(1722,39))+INDIRECT(ADDRESS(1720,40))-INDIRECT(ADDRESS(1721,40))</f>
        <v>0</v>
      </c>
      <c r="AO1722">
        <f>SUM(INDIRECT(ADDRESS(1721,8)):INDIRECT(ADDRESS(1721,39)))</f>
        <v>0</v>
      </c>
    </row>
    <row r="1723" spans="1:41">
      <c r="A1723" t="s">
        <v>185</v>
      </c>
      <c r="B1723" t="s">
        <v>812</v>
      </c>
      <c r="C1723" t="s">
        <v>813</v>
      </c>
      <c r="E1723">
        <v>1</v>
      </c>
      <c r="I1723" t="s">
        <v>177</v>
      </c>
    </row>
    <row r="1724" spans="1:41">
      <c r="I1724" t="s">
        <v>178</v>
      </c>
      <c r="J1724">
        <f>IFERROR(VLOOKUP("906-959000-110",B:AB,1+8,0),0)</f>
        <v>0</v>
      </c>
      <c r="K1724">
        <f>IFERROR(VLOOKUP("906-959000-110",B:AB,2+8,0),0)</f>
        <v>0</v>
      </c>
      <c r="L1724">
        <f>IFERROR(VLOOKUP("906-959000-110",B:AB,3+8,0),0)</f>
        <v>0</v>
      </c>
      <c r="M1724">
        <f>IFERROR(VLOOKUP("906-959000-110",B:AB,4+8,0),0)</f>
        <v>0</v>
      </c>
      <c r="N1724">
        <f>IFERROR(VLOOKUP("906-959000-110",B:AB,5+8,0),0)</f>
        <v>0</v>
      </c>
      <c r="O1724">
        <f>IFERROR(VLOOKUP("906-959000-110",B:AB,6+8,0),0)</f>
        <v>0</v>
      </c>
      <c r="P1724">
        <f>IFERROR(VLOOKUP("906-959000-110",B:AB,7+8,0),0)</f>
        <v>0</v>
      </c>
      <c r="Q1724">
        <f>IFERROR(VLOOKUP("906-959000-110",B:AB,8+8,0),0)</f>
        <v>0</v>
      </c>
      <c r="R1724">
        <f>IFERROR(VLOOKUP("906-959000-110",B:AB,9+8,0),0)</f>
        <v>0</v>
      </c>
      <c r="S1724">
        <f>IFERROR(VLOOKUP("906-959000-110",B:AB,10+8,0),0)</f>
        <v>0</v>
      </c>
      <c r="T1724">
        <f>IFERROR(VLOOKUP("906-959000-110",B:AB,11+8,0),0)</f>
        <v>0</v>
      </c>
      <c r="U1724">
        <f>IFERROR(VLOOKUP("906-959000-110",B:AB,12+8,0),0)</f>
        <v>0</v>
      </c>
      <c r="V1724">
        <f>IFERROR(VLOOKUP("906-959000-110",B:AB,13+8,0),0)</f>
        <v>0</v>
      </c>
      <c r="W1724">
        <f>IFERROR(VLOOKUP("906-959000-110",B:AB,14+8,0),0)</f>
        <v>0</v>
      </c>
      <c r="X1724">
        <f>IFERROR(VLOOKUP("906-959000-110",B:AB,15+8,0),0)</f>
        <v>0</v>
      </c>
      <c r="Y1724">
        <f>IFERROR(VLOOKUP("906-959000-110",B:AB,16+8,0),0)</f>
        <v>0</v>
      </c>
      <c r="Z1724">
        <f>IFERROR(VLOOKUP("906-959000-110",B:AB,17+8,0),0)</f>
        <v>0</v>
      </c>
      <c r="AA1724">
        <f>IFERROR(VLOOKUP("906-959000-110",B:AB,18+8,0),0)</f>
        <v>0</v>
      </c>
      <c r="AB1724">
        <f>IFERROR(VLOOKUP("906-959000-110",B:AB,19+8,0),0)</f>
        <v>0</v>
      </c>
      <c r="AC1724">
        <f>IFERROR(VLOOKUP("906-959000-110",B:AB,20+8,0),0)</f>
        <v>0</v>
      </c>
      <c r="AD1724">
        <f>IFERROR(VLOOKUP("906-959000-110",B:AB,21+8,0),0)</f>
        <v>0</v>
      </c>
      <c r="AE1724">
        <f>IFERROR(VLOOKUP("906-959000-110",B:AB,22+8,0),0)</f>
        <v>0</v>
      </c>
      <c r="AF1724">
        <f>IFERROR(VLOOKUP("906-959000-110",B:AB,23+8,0),0)</f>
        <v>0</v>
      </c>
      <c r="AG1724">
        <f>IFERROR(VLOOKUP("906-959000-110",B:AB,24+8,0),0)</f>
        <v>0</v>
      </c>
      <c r="AH1724">
        <f>IFERROR(VLOOKUP("906-959000-110",B:AB,25+8,0),0)</f>
        <v>0</v>
      </c>
      <c r="AI1724">
        <f>IFERROR(VLOOKUP("906-959000-110",B:AB,26+8,0),0)</f>
        <v>0</v>
      </c>
      <c r="AJ1724">
        <f>IFERROR(VLOOKUP("906-959000-110",B:AB,27+8,0),0)</f>
        <v>0</v>
      </c>
      <c r="AK1724">
        <f>IFERROR(VLOOKUP("906-959000-110",B:AB,28+8,0),0)</f>
        <v>0</v>
      </c>
      <c r="AL1724">
        <f>IFERROR(VLOOKUP("906-959000-110",B:AB,29+8,0),0)</f>
        <v>0</v>
      </c>
      <c r="AM1724">
        <f>IFERROR(VLOOKUP("906-959000-110",B:AB,30+8,0),0)</f>
        <v>0</v>
      </c>
      <c r="AN1724">
        <f>IFERROR(VLOOKUP("906-959000-110",B:AB,31+8,0),0)</f>
        <v>0</v>
      </c>
      <c r="AO1724">
        <f>SUN(INDIRECT(ADDRESS(1723,8)):INDIRECT(ADDRESS(1723,39)))</f>
        <v>0</v>
      </c>
    </row>
    <row r="1725" spans="1:41">
      <c r="H1725" t="s">
        <v>179</v>
      </c>
      <c r="J1725">
        <f>INDIRECT(ADDRESS(1725,9))+INDIRECT(ADDRESS(1723,10))-INDIRECT(ADDRESS(1724,10))</f>
        <v>0</v>
      </c>
      <c r="K1725">
        <f>INDIRECT(ADDRESS(1725,10))+INDIRECT(ADDRESS(1723,11))-INDIRECT(ADDRESS(1724,11))</f>
        <v>0</v>
      </c>
      <c r="L1725">
        <f>INDIRECT(ADDRESS(1725,11))+INDIRECT(ADDRESS(1723,12))-INDIRECT(ADDRESS(1724,12))</f>
        <v>0</v>
      </c>
      <c r="M1725">
        <f>INDIRECT(ADDRESS(1725,12))+INDIRECT(ADDRESS(1723,13))-INDIRECT(ADDRESS(1724,13))</f>
        <v>0</v>
      </c>
      <c r="N1725">
        <f>INDIRECT(ADDRESS(1725,13))+INDIRECT(ADDRESS(1723,14))-INDIRECT(ADDRESS(1724,14))</f>
        <v>0</v>
      </c>
      <c r="O1725">
        <f>INDIRECT(ADDRESS(1725,14))+INDIRECT(ADDRESS(1723,15))-INDIRECT(ADDRESS(1724,15))</f>
        <v>0</v>
      </c>
      <c r="P1725">
        <f>INDIRECT(ADDRESS(1725,15))+INDIRECT(ADDRESS(1723,16))-INDIRECT(ADDRESS(1724,16))</f>
        <v>0</v>
      </c>
      <c r="Q1725">
        <f>INDIRECT(ADDRESS(1725,16))+INDIRECT(ADDRESS(1723,17))-INDIRECT(ADDRESS(1724,17))</f>
        <v>0</v>
      </c>
      <c r="R1725">
        <f>INDIRECT(ADDRESS(1725,17))+INDIRECT(ADDRESS(1723,18))-INDIRECT(ADDRESS(1724,18))</f>
        <v>0</v>
      </c>
      <c r="S1725">
        <f>INDIRECT(ADDRESS(1725,18))+INDIRECT(ADDRESS(1723,19))-INDIRECT(ADDRESS(1724,19))</f>
        <v>0</v>
      </c>
      <c r="T1725">
        <f>INDIRECT(ADDRESS(1725,19))+INDIRECT(ADDRESS(1723,20))-INDIRECT(ADDRESS(1724,20))</f>
        <v>0</v>
      </c>
      <c r="U1725">
        <f>INDIRECT(ADDRESS(1725,20))+INDIRECT(ADDRESS(1723,21))-INDIRECT(ADDRESS(1724,21))</f>
        <v>0</v>
      </c>
      <c r="V1725">
        <f>INDIRECT(ADDRESS(1725,21))+INDIRECT(ADDRESS(1723,22))-INDIRECT(ADDRESS(1724,22))</f>
        <v>0</v>
      </c>
      <c r="W1725">
        <f>INDIRECT(ADDRESS(1725,22))+INDIRECT(ADDRESS(1723,23))-INDIRECT(ADDRESS(1724,23))</f>
        <v>0</v>
      </c>
      <c r="X1725">
        <f>INDIRECT(ADDRESS(1725,23))+INDIRECT(ADDRESS(1723,24))-INDIRECT(ADDRESS(1724,24))</f>
        <v>0</v>
      </c>
      <c r="Y1725">
        <f>INDIRECT(ADDRESS(1725,24))+INDIRECT(ADDRESS(1723,25))-INDIRECT(ADDRESS(1724,25))</f>
        <v>0</v>
      </c>
      <c r="Z1725">
        <f>INDIRECT(ADDRESS(1725,25))+INDIRECT(ADDRESS(1723,26))-INDIRECT(ADDRESS(1724,26))</f>
        <v>0</v>
      </c>
      <c r="AA1725">
        <f>INDIRECT(ADDRESS(1725,26))+INDIRECT(ADDRESS(1723,27))-INDIRECT(ADDRESS(1724,27))</f>
        <v>0</v>
      </c>
      <c r="AB1725">
        <f>INDIRECT(ADDRESS(1725,27))+INDIRECT(ADDRESS(1723,28))-INDIRECT(ADDRESS(1724,28))</f>
        <v>0</v>
      </c>
      <c r="AC1725">
        <f>INDIRECT(ADDRESS(1725,28))+INDIRECT(ADDRESS(1723,29))-INDIRECT(ADDRESS(1724,29))</f>
        <v>0</v>
      </c>
      <c r="AD1725">
        <f>INDIRECT(ADDRESS(1725,29))+INDIRECT(ADDRESS(1723,30))-INDIRECT(ADDRESS(1724,30))</f>
        <v>0</v>
      </c>
      <c r="AE1725">
        <f>INDIRECT(ADDRESS(1725,30))+INDIRECT(ADDRESS(1723,31))-INDIRECT(ADDRESS(1724,31))</f>
        <v>0</v>
      </c>
      <c r="AF1725">
        <f>INDIRECT(ADDRESS(1725,31))+INDIRECT(ADDRESS(1723,32))-INDIRECT(ADDRESS(1724,32))</f>
        <v>0</v>
      </c>
      <c r="AG1725">
        <f>INDIRECT(ADDRESS(1725,32))+INDIRECT(ADDRESS(1723,33))-INDIRECT(ADDRESS(1724,33))</f>
        <v>0</v>
      </c>
      <c r="AH1725">
        <f>INDIRECT(ADDRESS(1725,33))+INDIRECT(ADDRESS(1723,34))-INDIRECT(ADDRESS(1724,34))</f>
        <v>0</v>
      </c>
      <c r="AI1725">
        <f>INDIRECT(ADDRESS(1725,34))+INDIRECT(ADDRESS(1723,35))-INDIRECT(ADDRESS(1724,35))</f>
        <v>0</v>
      </c>
      <c r="AJ1725">
        <f>INDIRECT(ADDRESS(1725,35))+INDIRECT(ADDRESS(1723,36))-INDIRECT(ADDRESS(1724,36))</f>
        <v>0</v>
      </c>
      <c r="AK1725">
        <f>INDIRECT(ADDRESS(1725,36))+INDIRECT(ADDRESS(1723,37))-INDIRECT(ADDRESS(1724,37))</f>
        <v>0</v>
      </c>
      <c r="AL1725">
        <f>INDIRECT(ADDRESS(1725,37))+INDIRECT(ADDRESS(1723,38))-INDIRECT(ADDRESS(1724,38))</f>
        <v>0</v>
      </c>
      <c r="AM1725">
        <f>INDIRECT(ADDRESS(1725,38))+INDIRECT(ADDRESS(1723,39))-INDIRECT(ADDRESS(1724,39))</f>
        <v>0</v>
      </c>
      <c r="AN1725">
        <f>INDIRECT(ADDRESS(1725,39))+INDIRECT(ADDRESS(1723,40))-INDIRECT(ADDRESS(1724,40))</f>
        <v>0</v>
      </c>
      <c r="AO1725">
        <f>SUM(INDIRECT(ADDRESS(1724,8)):INDIRECT(ADDRESS(1724,39)))</f>
        <v>0</v>
      </c>
    </row>
    <row r="1726" spans="1:41">
      <c r="A1726" t="s">
        <v>185</v>
      </c>
      <c r="B1726" t="s">
        <v>814</v>
      </c>
      <c r="C1726" t="s">
        <v>815</v>
      </c>
      <c r="E1726">
        <v>1</v>
      </c>
      <c r="I1726" t="s">
        <v>177</v>
      </c>
    </row>
    <row r="1727" spans="1:41">
      <c r="I1727" t="s">
        <v>178</v>
      </c>
      <c r="J1727">
        <f>IFERROR(VLOOKUP("906-959000-110",B:AB,1+8,0),0)</f>
        <v>0</v>
      </c>
      <c r="K1727">
        <f>IFERROR(VLOOKUP("906-959000-110",B:AB,2+8,0),0)</f>
        <v>0</v>
      </c>
      <c r="L1727">
        <f>IFERROR(VLOOKUP("906-959000-110",B:AB,3+8,0),0)</f>
        <v>0</v>
      </c>
      <c r="M1727">
        <f>IFERROR(VLOOKUP("906-959000-110",B:AB,4+8,0),0)</f>
        <v>0</v>
      </c>
      <c r="N1727">
        <f>IFERROR(VLOOKUP("906-959000-110",B:AB,5+8,0),0)</f>
        <v>0</v>
      </c>
      <c r="O1727">
        <f>IFERROR(VLOOKUP("906-959000-110",B:AB,6+8,0),0)</f>
        <v>0</v>
      </c>
      <c r="P1727">
        <f>IFERROR(VLOOKUP("906-959000-110",B:AB,7+8,0),0)</f>
        <v>0</v>
      </c>
      <c r="Q1727">
        <f>IFERROR(VLOOKUP("906-959000-110",B:AB,8+8,0),0)</f>
        <v>0</v>
      </c>
      <c r="R1727">
        <f>IFERROR(VLOOKUP("906-959000-110",B:AB,9+8,0),0)</f>
        <v>0</v>
      </c>
      <c r="S1727">
        <f>IFERROR(VLOOKUP("906-959000-110",B:AB,10+8,0),0)</f>
        <v>0</v>
      </c>
      <c r="T1727">
        <f>IFERROR(VLOOKUP("906-959000-110",B:AB,11+8,0),0)</f>
        <v>0</v>
      </c>
      <c r="U1727">
        <f>IFERROR(VLOOKUP("906-959000-110",B:AB,12+8,0),0)</f>
        <v>0</v>
      </c>
      <c r="V1727">
        <f>IFERROR(VLOOKUP("906-959000-110",B:AB,13+8,0),0)</f>
        <v>0</v>
      </c>
      <c r="W1727">
        <f>IFERROR(VLOOKUP("906-959000-110",B:AB,14+8,0),0)</f>
        <v>0</v>
      </c>
      <c r="X1727">
        <f>IFERROR(VLOOKUP("906-959000-110",B:AB,15+8,0),0)</f>
        <v>0</v>
      </c>
      <c r="Y1727">
        <f>IFERROR(VLOOKUP("906-959000-110",B:AB,16+8,0),0)</f>
        <v>0</v>
      </c>
      <c r="Z1727">
        <f>IFERROR(VLOOKUP("906-959000-110",B:AB,17+8,0),0)</f>
        <v>0</v>
      </c>
      <c r="AA1727">
        <f>IFERROR(VLOOKUP("906-959000-110",B:AB,18+8,0),0)</f>
        <v>0</v>
      </c>
      <c r="AB1727">
        <f>IFERROR(VLOOKUP("906-959000-110",B:AB,19+8,0),0)</f>
        <v>0</v>
      </c>
      <c r="AC1727">
        <f>IFERROR(VLOOKUP("906-959000-110",B:AB,20+8,0),0)</f>
        <v>0</v>
      </c>
      <c r="AD1727">
        <f>IFERROR(VLOOKUP("906-959000-110",B:AB,21+8,0),0)</f>
        <v>0</v>
      </c>
      <c r="AE1727">
        <f>IFERROR(VLOOKUP("906-959000-110",B:AB,22+8,0),0)</f>
        <v>0</v>
      </c>
      <c r="AF1727">
        <f>IFERROR(VLOOKUP("906-959000-110",B:AB,23+8,0),0)</f>
        <v>0</v>
      </c>
      <c r="AG1727">
        <f>IFERROR(VLOOKUP("906-959000-110",B:AB,24+8,0),0)</f>
        <v>0</v>
      </c>
      <c r="AH1727">
        <f>IFERROR(VLOOKUP("906-959000-110",B:AB,25+8,0),0)</f>
        <v>0</v>
      </c>
      <c r="AI1727">
        <f>IFERROR(VLOOKUP("906-959000-110",B:AB,26+8,0),0)</f>
        <v>0</v>
      </c>
      <c r="AJ1727">
        <f>IFERROR(VLOOKUP("906-959000-110",B:AB,27+8,0),0)</f>
        <v>0</v>
      </c>
      <c r="AK1727">
        <f>IFERROR(VLOOKUP("906-959000-110",B:AB,28+8,0),0)</f>
        <v>0</v>
      </c>
      <c r="AL1727">
        <f>IFERROR(VLOOKUP("906-959000-110",B:AB,29+8,0),0)</f>
        <v>0</v>
      </c>
      <c r="AM1727">
        <f>IFERROR(VLOOKUP("906-959000-110",B:AB,30+8,0),0)</f>
        <v>0</v>
      </c>
      <c r="AN1727">
        <f>IFERROR(VLOOKUP("906-959000-110",B:AB,31+8,0),0)</f>
        <v>0</v>
      </c>
      <c r="AO1727">
        <f>SUN(INDIRECT(ADDRESS(1726,8)):INDIRECT(ADDRESS(1726,39)))</f>
        <v>0</v>
      </c>
    </row>
    <row r="1728" spans="1:41">
      <c r="H1728" t="s">
        <v>179</v>
      </c>
      <c r="J1728">
        <f>INDIRECT(ADDRESS(1728,9))+INDIRECT(ADDRESS(1726,10))-INDIRECT(ADDRESS(1727,10))</f>
        <v>0</v>
      </c>
      <c r="K1728">
        <f>INDIRECT(ADDRESS(1728,10))+INDIRECT(ADDRESS(1726,11))-INDIRECT(ADDRESS(1727,11))</f>
        <v>0</v>
      </c>
      <c r="L1728">
        <f>INDIRECT(ADDRESS(1728,11))+INDIRECT(ADDRESS(1726,12))-INDIRECT(ADDRESS(1727,12))</f>
        <v>0</v>
      </c>
      <c r="M1728">
        <f>INDIRECT(ADDRESS(1728,12))+INDIRECT(ADDRESS(1726,13))-INDIRECT(ADDRESS(1727,13))</f>
        <v>0</v>
      </c>
      <c r="N1728">
        <f>INDIRECT(ADDRESS(1728,13))+INDIRECT(ADDRESS(1726,14))-INDIRECT(ADDRESS(1727,14))</f>
        <v>0</v>
      </c>
      <c r="O1728">
        <f>INDIRECT(ADDRESS(1728,14))+INDIRECT(ADDRESS(1726,15))-INDIRECT(ADDRESS(1727,15))</f>
        <v>0</v>
      </c>
      <c r="P1728">
        <f>INDIRECT(ADDRESS(1728,15))+INDIRECT(ADDRESS(1726,16))-INDIRECT(ADDRESS(1727,16))</f>
        <v>0</v>
      </c>
      <c r="Q1728">
        <f>INDIRECT(ADDRESS(1728,16))+INDIRECT(ADDRESS(1726,17))-INDIRECT(ADDRESS(1727,17))</f>
        <v>0</v>
      </c>
      <c r="R1728">
        <f>INDIRECT(ADDRESS(1728,17))+INDIRECT(ADDRESS(1726,18))-INDIRECT(ADDRESS(1727,18))</f>
        <v>0</v>
      </c>
      <c r="S1728">
        <f>INDIRECT(ADDRESS(1728,18))+INDIRECT(ADDRESS(1726,19))-INDIRECT(ADDRESS(1727,19))</f>
        <v>0</v>
      </c>
      <c r="T1728">
        <f>INDIRECT(ADDRESS(1728,19))+INDIRECT(ADDRESS(1726,20))-INDIRECT(ADDRESS(1727,20))</f>
        <v>0</v>
      </c>
      <c r="U1728">
        <f>INDIRECT(ADDRESS(1728,20))+INDIRECT(ADDRESS(1726,21))-INDIRECT(ADDRESS(1727,21))</f>
        <v>0</v>
      </c>
      <c r="V1728">
        <f>INDIRECT(ADDRESS(1728,21))+INDIRECT(ADDRESS(1726,22))-INDIRECT(ADDRESS(1727,22))</f>
        <v>0</v>
      </c>
      <c r="W1728">
        <f>INDIRECT(ADDRESS(1728,22))+INDIRECT(ADDRESS(1726,23))-INDIRECT(ADDRESS(1727,23))</f>
        <v>0</v>
      </c>
      <c r="X1728">
        <f>INDIRECT(ADDRESS(1728,23))+INDIRECT(ADDRESS(1726,24))-INDIRECT(ADDRESS(1727,24))</f>
        <v>0</v>
      </c>
      <c r="Y1728">
        <f>INDIRECT(ADDRESS(1728,24))+INDIRECT(ADDRESS(1726,25))-INDIRECT(ADDRESS(1727,25))</f>
        <v>0</v>
      </c>
      <c r="Z1728">
        <f>INDIRECT(ADDRESS(1728,25))+INDIRECT(ADDRESS(1726,26))-INDIRECT(ADDRESS(1727,26))</f>
        <v>0</v>
      </c>
      <c r="AA1728">
        <f>INDIRECT(ADDRESS(1728,26))+INDIRECT(ADDRESS(1726,27))-INDIRECT(ADDRESS(1727,27))</f>
        <v>0</v>
      </c>
      <c r="AB1728">
        <f>INDIRECT(ADDRESS(1728,27))+INDIRECT(ADDRESS(1726,28))-INDIRECT(ADDRESS(1727,28))</f>
        <v>0</v>
      </c>
      <c r="AC1728">
        <f>INDIRECT(ADDRESS(1728,28))+INDIRECT(ADDRESS(1726,29))-INDIRECT(ADDRESS(1727,29))</f>
        <v>0</v>
      </c>
      <c r="AD1728">
        <f>INDIRECT(ADDRESS(1728,29))+INDIRECT(ADDRESS(1726,30))-INDIRECT(ADDRESS(1727,30))</f>
        <v>0</v>
      </c>
      <c r="AE1728">
        <f>INDIRECT(ADDRESS(1728,30))+INDIRECT(ADDRESS(1726,31))-INDIRECT(ADDRESS(1727,31))</f>
        <v>0</v>
      </c>
      <c r="AF1728">
        <f>INDIRECT(ADDRESS(1728,31))+INDIRECT(ADDRESS(1726,32))-INDIRECT(ADDRESS(1727,32))</f>
        <v>0</v>
      </c>
      <c r="AG1728">
        <f>INDIRECT(ADDRESS(1728,32))+INDIRECT(ADDRESS(1726,33))-INDIRECT(ADDRESS(1727,33))</f>
        <v>0</v>
      </c>
      <c r="AH1728">
        <f>INDIRECT(ADDRESS(1728,33))+INDIRECT(ADDRESS(1726,34))-INDIRECT(ADDRESS(1727,34))</f>
        <v>0</v>
      </c>
      <c r="AI1728">
        <f>INDIRECT(ADDRESS(1728,34))+INDIRECT(ADDRESS(1726,35))-INDIRECT(ADDRESS(1727,35))</f>
        <v>0</v>
      </c>
      <c r="AJ1728">
        <f>INDIRECT(ADDRESS(1728,35))+INDIRECT(ADDRESS(1726,36))-INDIRECT(ADDRESS(1727,36))</f>
        <v>0</v>
      </c>
      <c r="AK1728">
        <f>INDIRECT(ADDRESS(1728,36))+INDIRECT(ADDRESS(1726,37))-INDIRECT(ADDRESS(1727,37))</f>
        <v>0</v>
      </c>
      <c r="AL1728">
        <f>INDIRECT(ADDRESS(1728,37))+INDIRECT(ADDRESS(1726,38))-INDIRECT(ADDRESS(1727,38))</f>
        <v>0</v>
      </c>
      <c r="AM1728">
        <f>INDIRECT(ADDRESS(1728,38))+INDIRECT(ADDRESS(1726,39))-INDIRECT(ADDRESS(1727,39))</f>
        <v>0</v>
      </c>
      <c r="AN1728">
        <f>INDIRECT(ADDRESS(1728,39))+INDIRECT(ADDRESS(1726,40))-INDIRECT(ADDRESS(1727,40))</f>
        <v>0</v>
      </c>
      <c r="AO1728">
        <f>SUM(INDIRECT(ADDRESS(1727,8)):INDIRECT(ADDRESS(1727,39)))</f>
        <v>0</v>
      </c>
    </row>
    <row r="1729" spans="1:41">
      <c r="A1729" t="s">
        <v>8</v>
      </c>
      <c r="B1729" t="s">
        <v>139</v>
      </c>
      <c r="C1729" t="s">
        <v>140</v>
      </c>
      <c r="E1729">
        <v>1</v>
      </c>
      <c r="I1729" t="s">
        <v>177</v>
      </c>
    </row>
    <row r="1730" spans="1:41">
      <c r="I1730" t="s">
        <v>178</v>
      </c>
      <c r="J1730">
        <f>IFERROR(VLOOKUP("906-721000-310",Out!B:AB,1+8,0),0)</f>
        <v>0</v>
      </c>
      <c r="K1730">
        <f>IFERROR(VLOOKUP("906-721000-310",Out!B:AB,2+8,0),0)</f>
        <v>0</v>
      </c>
      <c r="L1730">
        <f>IFERROR(VLOOKUP("906-721000-310",Out!B:AB,3+8,0),0)</f>
        <v>0</v>
      </c>
      <c r="M1730">
        <f>IFERROR(VLOOKUP("906-721000-310",Out!B:AB,4+8,0),0)</f>
        <v>0</v>
      </c>
      <c r="N1730">
        <f>IFERROR(VLOOKUP("906-721000-310",Out!B:AB,5+8,0),0)</f>
        <v>0</v>
      </c>
      <c r="O1730">
        <f>IFERROR(VLOOKUP("906-721000-310",Out!B:AB,6+8,0),0)</f>
        <v>0</v>
      </c>
      <c r="P1730">
        <f>IFERROR(VLOOKUP("906-721000-310",Out!B:AB,7+8,0),0)</f>
        <v>0</v>
      </c>
      <c r="Q1730">
        <f>IFERROR(VLOOKUP("906-721000-310",Out!B:AB,8+8,0),0)</f>
        <v>0</v>
      </c>
      <c r="R1730">
        <f>IFERROR(VLOOKUP("906-721000-310",Out!B:AB,9+8,0),0)</f>
        <v>0</v>
      </c>
      <c r="S1730">
        <f>IFERROR(VLOOKUP("906-721000-310",Out!B:AB,10+8,0),0)</f>
        <v>0</v>
      </c>
      <c r="T1730">
        <f>IFERROR(VLOOKUP("906-721000-310",Out!B:AB,11+8,0),0)</f>
        <v>0</v>
      </c>
      <c r="U1730">
        <f>IFERROR(VLOOKUP("906-721000-310",Out!B:AB,12+8,0),0)</f>
        <v>0</v>
      </c>
      <c r="V1730">
        <f>IFERROR(VLOOKUP("906-721000-310",Out!B:AB,13+8,0),0)</f>
        <v>0</v>
      </c>
      <c r="W1730">
        <f>IFERROR(VLOOKUP("906-721000-310",Out!B:AB,14+8,0),0)</f>
        <v>0</v>
      </c>
      <c r="X1730">
        <f>IFERROR(VLOOKUP("906-721000-310",Out!B:AB,15+8,0),0)</f>
        <v>0</v>
      </c>
      <c r="Y1730">
        <f>IFERROR(VLOOKUP("906-721000-310",Out!B:AB,16+8,0),0)</f>
        <v>0</v>
      </c>
      <c r="Z1730">
        <f>IFERROR(VLOOKUP("906-721000-310",Out!B:AB,17+8,0),0)</f>
        <v>0</v>
      </c>
      <c r="AA1730">
        <f>IFERROR(VLOOKUP("906-721000-310",Out!B:AB,18+8,0),0)</f>
        <v>0</v>
      </c>
      <c r="AB1730">
        <f>IFERROR(VLOOKUP("906-721000-310",Out!B:AB,19+8,0),0)</f>
        <v>0</v>
      </c>
      <c r="AC1730">
        <f>IFERROR(VLOOKUP("906-721000-310",Out!B:AB,20+8,0),0)</f>
        <v>0</v>
      </c>
      <c r="AD1730">
        <f>IFERROR(VLOOKUP("906-721000-310",Out!B:AB,21+8,0),0)</f>
        <v>0</v>
      </c>
      <c r="AE1730">
        <f>IFERROR(VLOOKUP("906-721000-310",Out!B:AB,22+8,0),0)</f>
        <v>0</v>
      </c>
      <c r="AF1730">
        <f>IFERROR(VLOOKUP("906-721000-310",Out!B:AB,23+8,0),0)</f>
        <v>0</v>
      </c>
      <c r="AG1730">
        <f>IFERROR(VLOOKUP("906-721000-310",Out!B:AB,24+8,0),0)</f>
        <v>0</v>
      </c>
      <c r="AH1730">
        <f>IFERROR(VLOOKUP("906-721000-310",Out!B:AB,25+8,0),0)</f>
        <v>0</v>
      </c>
      <c r="AI1730">
        <f>IFERROR(VLOOKUP("906-721000-310",Out!B:AB,26+8,0),0)</f>
        <v>0</v>
      </c>
      <c r="AJ1730">
        <f>IFERROR(VLOOKUP("906-721000-310",Out!B:AB,27+8,0),0)</f>
        <v>0</v>
      </c>
      <c r="AK1730">
        <f>IFERROR(VLOOKUP("906-721000-310",Out!B:AB,28+8,0),0)</f>
        <v>0</v>
      </c>
      <c r="AL1730">
        <f>IFERROR(VLOOKUP("906-721000-310",Out!B:AB,29+8,0),0)</f>
        <v>0</v>
      </c>
      <c r="AM1730">
        <f>IFERROR(VLOOKUP("906-721000-310",Out!B:AB,30+8,0),0)</f>
        <v>0</v>
      </c>
      <c r="AN1730">
        <f>IFERROR(VLOOKUP("906-721000-310",Out!B:AB,31+8,0),0)</f>
        <v>0</v>
      </c>
      <c r="AO1730">
        <f>SUN(INDIRECT(ADDRESS(1729,8)):INDIRECT(ADDRESS(1729,39)))</f>
        <v>0</v>
      </c>
    </row>
    <row r="1731" spans="1:41">
      <c r="H1731" t="s">
        <v>179</v>
      </c>
      <c r="J1731">
        <f>INDIRECT(ADDRESS(1731,9))+INDIRECT(ADDRESS(1729,10))-INDIRECT(ADDRESS(1730,10))</f>
        <v>0</v>
      </c>
      <c r="K1731">
        <f>INDIRECT(ADDRESS(1731,10))+INDIRECT(ADDRESS(1729,11))-INDIRECT(ADDRESS(1730,11))</f>
        <v>0</v>
      </c>
      <c r="L1731">
        <f>INDIRECT(ADDRESS(1731,11))+INDIRECT(ADDRESS(1729,12))-INDIRECT(ADDRESS(1730,12))</f>
        <v>0</v>
      </c>
      <c r="M1731">
        <f>INDIRECT(ADDRESS(1731,12))+INDIRECT(ADDRESS(1729,13))-INDIRECT(ADDRESS(1730,13))</f>
        <v>0</v>
      </c>
      <c r="N1731">
        <f>INDIRECT(ADDRESS(1731,13))+INDIRECT(ADDRESS(1729,14))-INDIRECT(ADDRESS(1730,14))</f>
        <v>0</v>
      </c>
      <c r="O1731">
        <f>INDIRECT(ADDRESS(1731,14))+INDIRECT(ADDRESS(1729,15))-INDIRECT(ADDRESS(1730,15))</f>
        <v>0</v>
      </c>
      <c r="P1731">
        <f>INDIRECT(ADDRESS(1731,15))+INDIRECT(ADDRESS(1729,16))-INDIRECT(ADDRESS(1730,16))</f>
        <v>0</v>
      </c>
      <c r="Q1731">
        <f>INDIRECT(ADDRESS(1731,16))+INDIRECT(ADDRESS(1729,17))-INDIRECT(ADDRESS(1730,17))</f>
        <v>0</v>
      </c>
      <c r="R1731">
        <f>INDIRECT(ADDRESS(1731,17))+INDIRECT(ADDRESS(1729,18))-INDIRECT(ADDRESS(1730,18))</f>
        <v>0</v>
      </c>
      <c r="S1731">
        <f>INDIRECT(ADDRESS(1731,18))+INDIRECT(ADDRESS(1729,19))-INDIRECT(ADDRESS(1730,19))</f>
        <v>0</v>
      </c>
      <c r="T1731">
        <f>INDIRECT(ADDRESS(1731,19))+INDIRECT(ADDRESS(1729,20))-INDIRECT(ADDRESS(1730,20))</f>
        <v>0</v>
      </c>
      <c r="U1731">
        <f>INDIRECT(ADDRESS(1731,20))+INDIRECT(ADDRESS(1729,21))-INDIRECT(ADDRESS(1730,21))</f>
        <v>0</v>
      </c>
      <c r="V1731">
        <f>INDIRECT(ADDRESS(1731,21))+INDIRECT(ADDRESS(1729,22))-INDIRECT(ADDRESS(1730,22))</f>
        <v>0</v>
      </c>
      <c r="W1731">
        <f>INDIRECT(ADDRESS(1731,22))+INDIRECT(ADDRESS(1729,23))-INDIRECT(ADDRESS(1730,23))</f>
        <v>0</v>
      </c>
      <c r="X1731">
        <f>INDIRECT(ADDRESS(1731,23))+INDIRECT(ADDRESS(1729,24))-INDIRECT(ADDRESS(1730,24))</f>
        <v>0</v>
      </c>
      <c r="Y1731">
        <f>INDIRECT(ADDRESS(1731,24))+INDIRECT(ADDRESS(1729,25))-INDIRECT(ADDRESS(1730,25))</f>
        <v>0</v>
      </c>
      <c r="Z1731">
        <f>INDIRECT(ADDRESS(1731,25))+INDIRECT(ADDRESS(1729,26))-INDIRECT(ADDRESS(1730,26))</f>
        <v>0</v>
      </c>
      <c r="AA1731">
        <f>INDIRECT(ADDRESS(1731,26))+INDIRECT(ADDRESS(1729,27))-INDIRECT(ADDRESS(1730,27))</f>
        <v>0</v>
      </c>
      <c r="AB1731">
        <f>INDIRECT(ADDRESS(1731,27))+INDIRECT(ADDRESS(1729,28))-INDIRECT(ADDRESS(1730,28))</f>
        <v>0</v>
      </c>
      <c r="AC1731">
        <f>INDIRECT(ADDRESS(1731,28))+INDIRECT(ADDRESS(1729,29))-INDIRECT(ADDRESS(1730,29))</f>
        <v>0</v>
      </c>
      <c r="AD1731">
        <f>INDIRECT(ADDRESS(1731,29))+INDIRECT(ADDRESS(1729,30))-INDIRECT(ADDRESS(1730,30))</f>
        <v>0</v>
      </c>
      <c r="AE1731">
        <f>INDIRECT(ADDRESS(1731,30))+INDIRECT(ADDRESS(1729,31))-INDIRECT(ADDRESS(1730,31))</f>
        <v>0</v>
      </c>
      <c r="AF1731">
        <f>INDIRECT(ADDRESS(1731,31))+INDIRECT(ADDRESS(1729,32))-INDIRECT(ADDRESS(1730,32))</f>
        <v>0</v>
      </c>
      <c r="AG1731">
        <f>INDIRECT(ADDRESS(1731,32))+INDIRECT(ADDRESS(1729,33))-INDIRECT(ADDRESS(1730,33))</f>
        <v>0</v>
      </c>
      <c r="AH1731">
        <f>INDIRECT(ADDRESS(1731,33))+INDIRECT(ADDRESS(1729,34))-INDIRECT(ADDRESS(1730,34))</f>
        <v>0</v>
      </c>
      <c r="AI1731">
        <f>INDIRECT(ADDRESS(1731,34))+INDIRECT(ADDRESS(1729,35))-INDIRECT(ADDRESS(1730,35))</f>
        <v>0</v>
      </c>
      <c r="AJ1731">
        <f>INDIRECT(ADDRESS(1731,35))+INDIRECT(ADDRESS(1729,36))-INDIRECT(ADDRESS(1730,36))</f>
        <v>0</v>
      </c>
      <c r="AK1731">
        <f>INDIRECT(ADDRESS(1731,36))+INDIRECT(ADDRESS(1729,37))-INDIRECT(ADDRESS(1730,37))</f>
        <v>0</v>
      </c>
      <c r="AL1731">
        <f>INDIRECT(ADDRESS(1731,37))+INDIRECT(ADDRESS(1729,38))-INDIRECT(ADDRESS(1730,38))</f>
        <v>0</v>
      </c>
      <c r="AM1731">
        <f>INDIRECT(ADDRESS(1731,38))+INDIRECT(ADDRESS(1729,39))-INDIRECT(ADDRESS(1730,39))</f>
        <v>0</v>
      </c>
      <c r="AN1731">
        <f>INDIRECT(ADDRESS(1731,39))+INDIRECT(ADDRESS(1729,40))-INDIRECT(ADDRESS(1730,40))</f>
        <v>0</v>
      </c>
      <c r="AO1731">
        <f>SUM(INDIRECT(ADDRESS(1730,8)):INDIRECT(ADDRESS(1730,39)))</f>
        <v>0</v>
      </c>
    </row>
    <row r="1732" spans="1:41">
      <c r="A1732" t="s">
        <v>180</v>
      </c>
      <c r="B1732" t="s">
        <v>816</v>
      </c>
      <c r="C1732" t="s">
        <v>817</v>
      </c>
      <c r="E1732">
        <v>1</v>
      </c>
      <c r="I1732" t="s">
        <v>177</v>
      </c>
    </row>
    <row r="1733" spans="1:41">
      <c r="I1733" t="s">
        <v>178</v>
      </c>
      <c r="J1733">
        <f>IFERROR(VLOOKUP("906-721000-310",B:AB,1+8,0),0)</f>
        <v>0</v>
      </c>
      <c r="K1733">
        <f>IFERROR(VLOOKUP("906-721000-310",B:AB,2+8,0),0)</f>
        <v>0</v>
      </c>
      <c r="L1733">
        <f>IFERROR(VLOOKUP("906-721000-310",B:AB,3+8,0),0)</f>
        <v>0</v>
      </c>
      <c r="M1733">
        <f>IFERROR(VLOOKUP("906-721000-310",B:AB,4+8,0),0)</f>
        <v>0</v>
      </c>
      <c r="N1733">
        <f>IFERROR(VLOOKUP("906-721000-310",B:AB,5+8,0),0)</f>
        <v>0</v>
      </c>
      <c r="O1733">
        <f>IFERROR(VLOOKUP("906-721000-310",B:AB,6+8,0),0)</f>
        <v>0</v>
      </c>
      <c r="P1733">
        <f>IFERROR(VLOOKUP("906-721000-310",B:AB,7+8,0),0)</f>
        <v>0</v>
      </c>
      <c r="Q1733">
        <f>IFERROR(VLOOKUP("906-721000-310",B:AB,8+8,0),0)</f>
        <v>0</v>
      </c>
      <c r="R1733">
        <f>IFERROR(VLOOKUP("906-721000-310",B:AB,9+8,0),0)</f>
        <v>0</v>
      </c>
      <c r="S1733">
        <f>IFERROR(VLOOKUP("906-721000-310",B:AB,10+8,0),0)</f>
        <v>0</v>
      </c>
      <c r="T1733">
        <f>IFERROR(VLOOKUP("906-721000-310",B:AB,11+8,0),0)</f>
        <v>0</v>
      </c>
      <c r="U1733">
        <f>IFERROR(VLOOKUP("906-721000-310",B:AB,12+8,0),0)</f>
        <v>0</v>
      </c>
      <c r="V1733">
        <f>IFERROR(VLOOKUP("906-721000-310",B:AB,13+8,0),0)</f>
        <v>0</v>
      </c>
      <c r="W1733">
        <f>IFERROR(VLOOKUP("906-721000-310",B:AB,14+8,0),0)</f>
        <v>0</v>
      </c>
      <c r="X1733">
        <f>IFERROR(VLOOKUP("906-721000-310",B:AB,15+8,0),0)</f>
        <v>0</v>
      </c>
      <c r="Y1733">
        <f>IFERROR(VLOOKUP("906-721000-310",B:AB,16+8,0),0)</f>
        <v>0</v>
      </c>
      <c r="Z1733">
        <f>IFERROR(VLOOKUP("906-721000-310",B:AB,17+8,0),0)</f>
        <v>0</v>
      </c>
      <c r="AA1733">
        <f>IFERROR(VLOOKUP("906-721000-310",B:AB,18+8,0),0)</f>
        <v>0</v>
      </c>
      <c r="AB1733">
        <f>IFERROR(VLOOKUP("906-721000-310",B:AB,19+8,0),0)</f>
        <v>0</v>
      </c>
      <c r="AC1733">
        <f>IFERROR(VLOOKUP("906-721000-310",B:AB,20+8,0),0)</f>
        <v>0</v>
      </c>
      <c r="AD1733">
        <f>IFERROR(VLOOKUP("906-721000-310",B:AB,21+8,0),0)</f>
        <v>0</v>
      </c>
      <c r="AE1733">
        <f>IFERROR(VLOOKUP("906-721000-310",B:AB,22+8,0),0)</f>
        <v>0</v>
      </c>
      <c r="AF1733">
        <f>IFERROR(VLOOKUP("906-721000-310",B:AB,23+8,0),0)</f>
        <v>0</v>
      </c>
      <c r="AG1733">
        <f>IFERROR(VLOOKUP("906-721000-310",B:AB,24+8,0),0)</f>
        <v>0</v>
      </c>
      <c r="AH1733">
        <f>IFERROR(VLOOKUP("906-721000-310",B:AB,25+8,0),0)</f>
        <v>0</v>
      </c>
      <c r="AI1733">
        <f>IFERROR(VLOOKUP("906-721000-310",B:AB,26+8,0),0)</f>
        <v>0</v>
      </c>
      <c r="AJ1733">
        <f>IFERROR(VLOOKUP("906-721000-310",B:AB,27+8,0),0)</f>
        <v>0</v>
      </c>
      <c r="AK1733">
        <f>IFERROR(VLOOKUP("906-721000-310",B:AB,28+8,0),0)</f>
        <v>0</v>
      </c>
      <c r="AL1733">
        <f>IFERROR(VLOOKUP("906-721000-310",B:AB,29+8,0),0)</f>
        <v>0</v>
      </c>
      <c r="AM1733">
        <f>IFERROR(VLOOKUP("906-721000-310",B:AB,30+8,0),0)</f>
        <v>0</v>
      </c>
      <c r="AN1733">
        <f>IFERROR(VLOOKUP("906-721000-310",B:AB,31+8,0),0)</f>
        <v>0</v>
      </c>
      <c r="AO1733">
        <f>SUN(INDIRECT(ADDRESS(1732,8)):INDIRECT(ADDRESS(1732,39)))</f>
        <v>0</v>
      </c>
    </row>
    <row r="1734" spans="1:41">
      <c r="H1734" t="s">
        <v>179</v>
      </c>
      <c r="J1734">
        <f>INDIRECT(ADDRESS(1734,9))+INDIRECT(ADDRESS(1732,10))-INDIRECT(ADDRESS(1733,10))</f>
        <v>0</v>
      </c>
      <c r="K1734">
        <f>INDIRECT(ADDRESS(1734,10))+INDIRECT(ADDRESS(1732,11))-INDIRECT(ADDRESS(1733,11))</f>
        <v>0</v>
      </c>
      <c r="L1734">
        <f>INDIRECT(ADDRESS(1734,11))+INDIRECT(ADDRESS(1732,12))-INDIRECT(ADDRESS(1733,12))</f>
        <v>0</v>
      </c>
      <c r="M1734">
        <f>INDIRECT(ADDRESS(1734,12))+INDIRECT(ADDRESS(1732,13))-INDIRECT(ADDRESS(1733,13))</f>
        <v>0</v>
      </c>
      <c r="N1734">
        <f>INDIRECT(ADDRESS(1734,13))+INDIRECT(ADDRESS(1732,14))-INDIRECT(ADDRESS(1733,14))</f>
        <v>0</v>
      </c>
      <c r="O1734">
        <f>INDIRECT(ADDRESS(1734,14))+INDIRECT(ADDRESS(1732,15))-INDIRECT(ADDRESS(1733,15))</f>
        <v>0</v>
      </c>
      <c r="P1734">
        <f>INDIRECT(ADDRESS(1734,15))+INDIRECT(ADDRESS(1732,16))-INDIRECT(ADDRESS(1733,16))</f>
        <v>0</v>
      </c>
      <c r="Q1734">
        <f>INDIRECT(ADDRESS(1734,16))+INDIRECT(ADDRESS(1732,17))-INDIRECT(ADDRESS(1733,17))</f>
        <v>0</v>
      </c>
      <c r="R1734">
        <f>INDIRECT(ADDRESS(1734,17))+INDIRECT(ADDRESS(1732,18))-INDIRECT(ADDRESS(1733,18))</f>
        <v>0</v>
      </c>
      <c r="S1734">
        <f>INDIRECT(ADDRESS(1734,18))+INDIRECT(ADDRESS(1732,19))-INDIRECT(ADDRESS(1733,19))</f>
        <v>0</v>
      </c>
      <c r="T1734">
        <f>INDIRECT(ADDRESS(1734,19))+INDIRECT(ADDRESS(1732,20))-INDIRECT(ADDRESS(1733,20))</f>
        <v>0</v>
      </c>
      <c r="U1734">
        <f>INDIRECT(ADDRESS(1734,20))+INDIRECT(ADDRESS(1732,21))-INDIRECT(ADDRESS(1733,21))</f>
        <v>0</v>
      </c>
      <c r="V1734">
        <f>INDIRECT(ADDRESS(1734,21))+INDIRECT(ADDRESS(1732,22))-INDIRECT(ADDRESS(1733,22))</f>
        <v>0</v>
      </c>
      <c r="W1734">
        <f>INDIRECT(ADDRESS(1734,22))+INDIRECT(ADDRESS(1732,23))-INDIRECT(ADDRESS(1733,23))</f>
        <v>0</v>
      </c>
      <c r="X1734">
        <f>INDIRECT(ADDRESS(1734,23))+INDIRECT(ADDRESS(1732,24))-INDIRECT(ADDRESS(1733,24))</f>
        <v>0</v>
      </c>
      <c r="Y1734">
        <f>INDIRECT(ADDRESS(1734,24))+INDIRECT(ADDRESS(1732,25))-INDIRECT(ADDRESS(1733,25))</f>
        <v>0</v>
      </c>
      <c r="Z1734">
        <f>INDIRECT(ADDRESS(1734,25))+INDIRECT(ADDRESS(1732,26))-INDIRECT(ADDRESS(1733,26))</f>
        <v>0</v>
      </c>
      <c r="AA1734">
        <f>INDIRECT(ADDRESS(1734,26))+INDIRECT(ADDRESS(1732,27))-INDIRECT(ADDRESS(1733,27))</f>
        <v>0</v>
      </c>
      <c r="AB1734">
        <f>INDIRECT(ADDRESS(1734,27))+INDIRECT(ADDRESS(1732,28))-INDIRECT(ADDRESS(1733,28))</f>
        <v>0</v>
      </c>
      <c r="AC1734">
        <f>INDIRECT(ADDRESS(1734,28))+INDIRECT(ADDRESS(1732,29))-INDIRECT(ADDRESS(1733,29))</f>
        <v>0</v>
      </c>
      <c r="AD1734">
        <f>INDIRECT(ADDRESS(1734,29))+INDIRECT(ADDRESS(1732,30))-INDIRECT(ADDRESS(1733,30))</f>
        <v>0</v>
      </c>
      <c r="AE1734">
        <f>INDIRECT(ADDRESS(1734,30))+INDIRECT(ADDRESS(1732,31))-INDIRECT(ADDRESS(1733,31))</f>
        <v>0</v>
      </c>
      <c r="AF1734">
        <f>INDIRECT(ADDRESS(1734,31))+INDIRECT(ADDRESS(1732,32))-INDIRECT(ADDRESS(1733,32))</f>
        <v>0</v>
      </c>
      <c r="AG1734">
        <f>INDIRECT(ADDRESS(1734,32))+INDIRECT(ADDRESS(1732,33))-INDIRECT(ADDRESS(1733,33))</f>
        <v>0</v>
      </c>
      <c r="AH1734">
        <f>INDIRECT(ADDRESS(1734,33))+INDIRECT(ADDRESS(1732,34))-INDIRECT(ADDRESS(1733,34))</f>
        <v>0</v>
      </c>
      <c r="AI1734">
        <f>INDIRECT(ADDRESS(1734,34))+INDIRECT(ADDRESS(1732,35))-INDIRECT(ADDRESS(1733,35))</f>
        <v>0</v>
      </c>
      <c r="AJ1734">
        <f>INDIRECT(ADDRESS(1734,35))+INDIRECT(ADDRESS(1732,36))-INDIRECT(ADDRESS(1733,36))</f>
        <v>0</v>
      </c>
      <c r="AK1734">
        <f>INDIRECT(ADDRESS(1734,36))+INDIRECT(ADDRESS(1732,37))-INDIRECT(ADDRESS(1733,37))</f>
        <v>0</v>
      </c>
      <c r="AL1734">
        <f>INDIRECT(ADDRESS(1734,37))+INDIRECT(ADDRESS(1732,38))-INDIRECT(ADDRESS(1733,38))</f>
        <v>0</v>
      </c>
      <c r="AM1734">
        <f>INDIRECT(ADDRESS(1734,38))+INDIRECT(ADDRESS(1732,39))-INDIRECT(ADDRESS(1733,39))</f>
        <v>0</v>
      </c>
      <c r="AN1734">
        <f>INDIRECT(ADDRESS(1734,39))+INDIRECT(ADDRESS(1732,40))-INDIRECT(ADDRESS(1733,40))</f>
        <v>0</v>
      </c>
      <c r="AO1734">
        <f>SUM(INDIRECT(ADDRESS(1733,8)):INDIRECT(ADDRESS(1733,39)))</f>
        <v>0</v>
      </c>
    </row>
    <row r="1735" spans="1:41">
      <c r="A1735" t="s">
        <v>180</v>
      </c>
      <c r="B1735" t="s">
        <v>818</v>
      </c>
      <c r="C1735" t="s">
        <v>819</v>
      </c>
      <c r="E1735">
        <v>1</v>
      </c>
      <c r="I1735" t="s">
        <v>177</v>
      </c>
    </row>
    <row r="1736" spans="1:41">
      <c r="I1736" t="s">
        <v>178</v>
      </c>
      <c r="J1736">
        <f>IFERROR(VLOOKUP("906-721000-310",B:AB,1+8,0),0)</f>
        <v>0</v>
      </c>
      <c r="K1736">
        <f>IFERROR(VLOOKUP("906-721000-310",B:AB,2+8,0),0)</f>
        <v>0</v>
      </c>
      <c r="L1736">
        <f>IFERROR(VLOOKUP("906-721000-310",B:AB,3+8,0),0)</f>
        <v>0</v>
      </c>
      <c r="M1736">
        <f>IFERROR(VLOOKUP("906-721000-310",B:AB,4+8,0),0)</f>
        <v>0</v>
      </c>
      <c r="N1736">
        <f>IFERROR(VLOOKUP("906-721000-310",B:AB,5+8,0),0)</f>
        <v>0</v>
      </c>
      <c r="O1736">
        <f>IFERROR(VLOOKUP("906-721000-310",B:AB,6+8,0),0)</f>
        <v>0</v>
      </c>
      <c r="P1736">
        <f>IFERROR(VLOOKUP("906-721000-310",B:AB,7+8,0),0)</f>
        <v>0</v>
      </c>
      <c r="Q1736">
        <f>IFERROR(VLOOKUP("906-721000-310",B:AB,8+8,0),0)</f>
        <v>0</v>
      </c>
      <c r="R1736">
        <f>IFERROR(VLOOKUP("906-721000-310",B:AB,9+8,0),0)</f>
        <v>0</v>
      </c>
      <c r="S1736">
        <f>IFERROR(VLOOKUP("906-721000-310",B:AB,10+8,0),0)</f>
        <v>0</v>
      </c>
      <c r="T1736">
        <f>IFERROR(VLOOKUP("906-721000-310",B:AB,11+8,0),0)</f>
        <v>0</v>
      </c>
      <c r="U1736">
        <f>IFERROR(VLOOKUP("906-721000-310",B:AB,12+8,0),0)</f>
        <v>0</v>
      </c>
      <c r="V1736">
        <f>IFERROR(VLOOKUP("906-721000-310",B:AB,13+8,0),0)</f>
        <v>0</v>
      </c>
      <c r="W1736">
        <f>IFERROR(VLOOKUP("906-721000-310",B:AB,14+8,0),0)</f>
        <v>0</v>
      </c>
      <c r="X1736">
        <f>IFERROR(VLOOKUP("906-721000-310",B:AB,15+8,0),0)</f>
        <v>0</v>
      </c>
      <c r="Y1736">
        <f>IFERROR(VLOOKUP("906-721000-310",B:AB,16+8,0),0)</f>
        <v>0</v>
      </c>
      <c r="Z1736">
        <f>IFERROR(VLOOKUP("906-721000-310",B:AB,17+8,0),0)</f>
        <v>0</v>
      </c>
      <c r="AA1736">
        <f>IFERROR(VLOOKUP("906-721000-310",B:AB,18+8,0),0)</f>
        <v>0</v>
      </c>
      <c r="AB1736">
        <f>IFERROR(VLOOKUP("906-721000-310",B:AB,19+8,0),0)</f>
        <v>0</v>
      </c>
      <c r="AC1736">
        <f>IFERROR(VLOOKUP("906-721000-310",B:AB,20+8,0),0)</f>
        <v>0</v>
      </c>
      <c r="AD1736">
        <f>IFERROR(VLOOKUP("906-721000-310",B:AB,21+8,0),0)</f>
        <v>0</v>
      </c>
      <c r="AE1736">
        <f>IFERROR(VLOOKUP("906-721000-310",B:AB,22+8,0),0)</f>
        <v>0</v>
      </c>
      <c r="AF1736">
        <f>IFERROR(VLOOKUP("906-721000-310",B:AB,23+8,0),0)</f>
        <v>0</v>
      </c>
      <c r="AG1736">
        <f>IFERROR(VLOOKUP("906-721000-310",B:AB,24+8,0),0)</f>
        <v>0</v>
      </c>
      <c r="AH1736">
        <f>IFERROR(VLOOKUP("906-721000-310",B:AB,25+8,0),0)</f>
        <v>0</v>
      </c>
      <c r="AI1736">
        <f>IFERROR(VLOOKUP("906-721000-310",B:AB,26+8,0),0)</f>
        <v>0</v>
      </c>
      <c r="AJ1736">
        <f>IFERROR(VLOOKUP("906-721000-310",B:AB,27+8,0),0)</f>
        <v>0</v>
      </c>
      <c r="AK1736">
        <f>IFERROR(VLOOKUP("906-721000-310",B:AB,28+8,0),0)</f>
        <v>0</v>
      </c>
      <c r="AL1736">
        <f>IFERROR(VLOOKUP("906-721000-310",B:AB,29+8,0),0)</f>
        <v>0</v>
      </c>
      <c r="AM1736">
        <f>IFERROR(VLOOKUP("906-721000-310",B:AB,30+8,0),0)</f>
        <v>0</v>
      </c>
      <c r="AN1736">
        <f>IFERROR(VLOOKUP("906-721000-310",B:AB,31+8,0),0)</f>
        <v>0</v>
      </c>
      <c r="AO1736">
        <f>SUN(INDIRECT(ADDRESS(1735,8)):INDIRECT(ADDRESS(1735,39)))</f>
        <v>0</v>
      </c>
    </row>
    <row r="1737" spans="1:41">
      <c r="H1737" t="s">
        <v>179</v>
      </c>
      <c r="J1737">
        <f>INDIRECT(ADDRESS(1737,9))+INDIRECT(ADDRESS(1735,10))-INDIRECT(ADDRESS(1736,10))</f>
        <v>0</v>
      </c>
      <c r="K1737">
        <f>INDIRECT(ADDRESS(1737,10))+INDIRECT(ADDRESS(1735,11))-INDIRECT(ADDRESS(1736,11))</f>
        <v>0</v>
      </c>
      <c r="L1737">
        <f>INDIRECT(ADDRESS(1737,11))+INDIRECT(ADDRESS(1735,12))-INDIRECT(ADDRESS(1736,12))</f>
        <v>0</v>
      </c>
      <c r="M1737">
        <f>INDIRECT(ADDRESS(1737,12))+INDIRECT(ADDRESS(1735,13))-INDIRECT(ADDRESS(1736,13))</f>
        <v>0</v>
      </c>
      <c r="N1737">
        <f>INDIRECT(ADDRESS(1737,13))+INDIRECT(ADDRESS(1735,14))-INDIRECT(ADDRESS(1736,14))</f>
        <v>0</v>
      </c>
      <c r="O1737">
        <f>INDIRECT(ADDRESS(1737,14))+INDIRECT(ADDRESS(1735,15))-INDIRECT(ADDRESS(1736,15))</f>
        <v>0</v>
      </c>
      <c r="P1737">
        <f>INDIRECT(ADDRESS(1737,15))+INDIRECT(ADDRESS(1735,16))-INDIRECT(ADDRESS(1736,16))</f>
        <v>0</v>
      </c>
      <c r="Q1737">
        <f>INDIRECT(ADDRESS(1737,16))+INDIRECT(ADDRESS(1735,17))-INDIRECT(ADDRESS(1736,17))</f>
        <v>0</v>
      </c>
      <c r="R1737">
        <f>INDIRECT(ADDRESS(1737,17))+INDIRECT(ADDRESS(1735,18))-INDIRECT(ADDRESS(1736,18))</f>
        <v>0</v>
      </c>
      <c r="S1737">
        <f>INDIRECT(ADDRESS(1737,18))+INDIRECT(ADDRESS(1735,19))-INDIRECT(ADDRESS(1736,19))</f>
        <v>0</v>
      </c>
      <c r="T1737">
        <f>INDIRECT(ADDRESS(1737,19))+INDIRECT(ADDRESS(1735,20))-INDIRECT(ADDRESS(1736,20))</f>
        <v>0</v>
      </c>
      <c r="U1737">
        <f>INDIRECT(ADDRESS(1737,20))+INDIRECT(ADDRESS(1735,21))-INDIRECT(ADDRESS(1736,21))</f>
        <v>0</v>
      </c>
      <c r="V1737">
        <f>INDIRECT(ADDRESS(1737,21))+INDIRECT(ADDRESS(1735,22))-INDIRECT(ADDRESS(1736,22))</f>
        <v>0</v>
      </c>
      <c r="W1737">
        <f>INDIRECT(ADDRESS(1737,22))+INDIRECT(ADDRESS(1735,23))-INDIRECT(ADDRESS(1736,23))</f>
        <v>0</v>
      </c>
      <c r="X1737">
        <f>INDIRECT(ADDRESS(1737,23))+INDIRECT(ADDRESS(1735,24))-INDIRECT(ADDRESS(1736,24))</f>
        <v>0</v>
      </c>
      <c r="Y1737">
        <f>INDIRECT(ADDRESS(1737,24))+INDIRECT(ADDRESS(1735,25))-INDIRECT(ADDRESS(1736,25))</f>
        <v>0</v>
      </c>
      <c r="Z1737">
        <f>INDIRECT(ADDRESS(1737,25))+INDIRECT(ADDRESS(1735,26))-INDIRECT(ADDRESS(1736,26))</f>
        <v>0</v>
      </c>
      <c r="AA1737">
        <f>INDIRECT(ADDRESS(1737,26))+INDIRECT(ADDRESS(1735,27))-INDIRECT(ADDRESS(1736,27))</f>
        <v>0</v>
      </c>
      <c r="AB1737">
        <f>INDIRECT(ADDRESS(1737,27))+INDIRECT(ADDRESS(1735,28))-INDIRECT(ADDRESS(1736,28))</f>
        <v>0</v>
      </c>
      <c r="AC1737">
        <f>INDIRECT(ADDRESS(1737,28))+INDIRECT(ADDRESS(1735,29))-INDIRECT(ADDRESS(1736,29))</f>
        <v>0</v>
      </c>
      <c r="AD1737">
        <f>INDIRECT(ADDRESS(1737,29))+INDIRECT(ADDRESS(1735,30))-INDIRECT(ADDRESS(1736,30))</f>
        <v>0</v>
      </c>
      <c r="AE1737">
        <f>INDIRECT(ADDRESS(1737,30))+INDIRECT(ADDRESS(1735,31))-INDIRECT(ADDRESS(1736,31))</f>
        <v>0</v>
      </c>
      <c r="AF1737">
        <f>INDIRECT(ADDRESS(1737,31))+INDIRECT(ADDRESS(1735,32))-INDIRECT(ADDRESS(1736,32))</f>
        <v>0</v>
      </c>
      <c r="AG1737">
        <f>INDIRECT(ADDRESS(1737,32))+INDIRECT(ADDRESS(1735,33))-INDIRECT(ADDRESS(1736,33))</f>
        <v>0</v>
      </c>
      <c r="AH1737">
        <f>INDIRECT(ADDRESS(1737,33))+INDIRECT(ADDRESS(1735,34))-INDIRECT(ADDRESS(1736,34))</f>
        <v>0</v>
      </c>
      <c r="AI1737">
        <f>INDIRECT(ADDRESS(1737,34))+INDIRECT(ADDRESS(1735,35))-INDIRECT(ADDRESS(1736,35))</f>
        <v>0</v>
      </c>
      <c r="AJ1737">
        <f>INDIRECT(ADDRESS(1737,35))+INDIRECT(ADDRESS(1735,36))-INDIRECT(ADDRESS(1736,36))</f>
        <v>0</v>
      </c>
      <c r="AK1737">
        <f>INDIRECT(ADDRESS(1737,36))+INDIRECT(ADDRESS(1735,37))-INDIRECT(ADDRESS(1736,37))</f>
        <v>0</v>
      </c>
      <c r="AL1737">
        <f>INDIRECT(ADDRESS(1737,37))+INDIRECT(ADDRESS(1735,38))-INDIRECT(ADDRESS(1736,38))</f>
        <v>0</v>
      </c>
      <c r="AM1737">
        <f>INDIRECT(ADDRESS(1737,38))+INDIRECT(ADDRESS(1735,39))-INDIRECT(ADDRESS(1736,39))</f>
        <v>0</v>
      </c>
      <c r="AN1737">
        <f>INDIRECT(ADDRESS(1737,39))+INDIRECT(ADDRESS(1735,40))-INDIRECT(ADDRESS(1736,40))</f>
        <v>0</v>
      </c>
      <c r="AO1737">
        <f>SUM(INDIRECT(ADDRESS(1736,8)):INDIRECT(ADDRESS(1736,39)))</f>
        <v>0</v>
      </c>
    </row>
    <row r="1738" spans="1:41">
      <c r="A1738" t="s">
        <v>8</v>
      </c>
      <c r="B1738" t="s">
        <v>141</v>
      </c>
      <c r="C1738" t="s">
        <v>142</v>
      </c>
      <c r="E1738">
        <v>1</v>
      </c>
      <c r="I1738" t="s">
        <v>177</v>
      </c>
    </row>
    <row r="1739" spans="1:41">
      <c r="I1739" t="s">
        <v>178</v>
      </c>
      <c r="J1739">
        <f>IFERROR(VLOOKUP("906-738000-310",Out!B:AB,1+8,0),0)</f>
        <v>0</v>
      </c>
      <c r="K1739">
        <f>IFERROR(VLOOKUP("906-738000-310",Out!B:AB,2+8,0),0)</f>
        <v>0</v>
      </c>
      <c r="L1739">
        <f>IFERROR(VLOOKUP("906-738000-310",Out!B:AB,3+8,0),0)</f>
        <v>0</v>
      </c>
      <c r="M1739">
        <f>IFERROR(VLOOKUP("906-738000-310",Out!B:AB,4+8,0),0)</f>
        <v>0</v>
      </c>
      <c r="N1739">
        <f>IFERROR(VLOOKUP("906-738000-310",Out!B:AB,5+8,0),0)</f>
        <v>0</v>
      </c>
      <c r="O1739">
        <f>IFERROR(VLOOKUP("906-738000-310",Out!B:AB,6+8,0),0)</f>
        <v>0</v>
      </c>
      <c r="P1739">
        <f>IFERROR(VLOOKUP("906-738000-310",Out!B:AB,7+8,0),0)</f>
        <v>0</v>
      </c>
      <c r="Q1739">
        <f>IFERROR(VLOOKUP("906-738000-310",Out!B:AB,8+8,0),0)</f>
        <v>0</v>
      </c>
      <c r="R1739">
        <f>IFERROR(VLOOKUP("906-738000-310",Out!B:AB,9+8,0),0)</f>
        <v>0</v>
      </c>
      <c r="S1739">
        <f>IFERROR(VLOOKUP("906-738000-310",Out!B:AB,10+8,0),0)</f>
        <v>0</v>
      </c>
      <c r="T1739">
        <f>IFERROR(VLOOKUP("906-738000-310",Out!B:AB,11+8,0),0)</f>
        <v>0</v>
      </c>
      <c r="U1739">
        <f>IFERROR(VLOOKUP("906-738000-310",Out!B:AB,12+8,0),0)</f>
        <v>0</v>
      </c>
      <c r="V1739">
        <f>IFERROR(VLOOKUP("906-738000-310",Out!B:AB,13+8,0),0)</f>
        <v>0</v>
      </c>
      <c r="W1739">
        <f>IFERROR(VLOOKUP("906-738000-310",Out!B:AB,14+8,0),0)</f>
        <v>0</v>
      </c>
      <c r="X1739">
        <f>IFERROR(VLOOKUP("906-738000-310",Out!B:AB,15+8,0),0)</f>
        <v>0</v>
      </c>
      <c r="Y1739">
        <f>IFERROR(VLOOKUP("906-738000-310",Out!B:AB,16+8,0),0)</f>
        <v>0</v>
      </c>
      <c r="Z1739">
        <f>IFERROR(VLOOKUP("906-738000-310",Out!B:AB,17+8,0),0)</f>
        <v>0</v>
      </c>
      <c r="AA1739">
        <f>IFERROR(VLOOKUP("906-738000-310",Out!B:AB,18+8,0),0)</f>
        <v>0</v>
      </c>
      <c r="AB1739">
        <f>IFERROR(VLOOKUP("906-738000-310",Out!B:AB,19+8,0),0)</f>
        <v>0</v>
      </c>
      <c r="AC1739">
        <f>IFERROR(VLOOKUP("906-738000-310",Out!B:AB,20+8,0),0)</f>
        <v>0</v>
      </c>
      <c r="AD1739">
        <f>IFERROR(VLOOKUP("906-738000-310",Out!B:AB,21+8,0),0)</f>
        <v>0</v>
      </c>
      <c r="AE1739">
        <f>IFERROR(VLOOKUP("906-738000-310",Out!B:AB,22+8,0),0)</f>
        <v>0</v>
      </c>
      <c r="AF1739">
        <f>IFERROR(VLOOKUP("906-738000-310",Out!B:AB,23+8,0),0)</f>
        <v>0</v>
      </c>
      <c r="AG1739">
        <f>IFERROR(VLOOKUP("906-738000-310",Out!B:AB,24+8,0),0)</f>
        <v>0</v>
      </c>
      <c r="AH1739">
        <f>IFERROR(VLOOKUP("906-738000-310",Out!B:AB,25+8,0),0)</f>
        <v>0</v>
      </c>
      <c r="AI1739">
        <f>IFERROR(VLOOKUP("906-738000-310",Out!B:AB,26+8,0),0)</f>
        <v>0</v>
      </c>
      <c r="AJ1739">
        <f>IFERROR(VLOOKUP("906-738000-310",Out!B:AB,27+8,0),0)</f>
        <v>0</v>
      </c>
      <c r="AK1739">
        <f>IFERROR(VLOOKUP("906-738000-310",Out!B:AB,28+8,0),0)</f>
        <v>0</v>
      </c>
      <c r="AL1739">
        <f>IFERROR(VLOOKUP("906-738000-310",Out!B:AB,29+8,0),0)</f>
        <v>0</v>
      </c>
      <c r="AM1739">
        <f>IFERROR(VLOOKUP("906-738000-310",Out!B:AB,30+8,0),0)</f>
        <v>0</v>
      </c>
      <c r="AN1739">
        <f>IFERROR(VLOOKUP("906-738000-310",Out!B:AB,31+8,0),0)</f>
        <v>0</v>
      </c>
      <c r="AO1739">
        <f>SUN(INDIRECT(ADDRESS(1738,8)):INDIRECT(ADDRESS(1738,39)))</f>
        <v>0</v>
      </c>
    </row>
    <row r="1740" spans="1:41">
      <c r="H1740" t="s">
        <v>179</v>
      </c>
      <c r="J1740">
        <f>INDIRECT(ADDRESS(1740,9))+INDIRECT(ADDRESS(1738,10))-INDIRECT(ADDRESS(1739,10))</f>
        <v>0</v>
      </c>
      <c r="K1740">
        <f>INDIRECT(ADDRESS(1740,10))+INDIRECT(ADDRESS(1738,11))-INDIRECT(ADDRESS(1739,11))</f>
        <v>0</v>
      </c>
      <c r="L1740">
        <f>INDIRECT(ADDRESS(1740,11))+INDIRECT(ADDRESS(1738,12))-INDIRECT(ADDRESS(1739,12))</f>
        <v>0</v>
      </c>
      <c r="M1740">
        <f>INDIRECT(ADDRESS(1740,12))+INDIRECT(ADDRESS(1738,13))-INDIRECT(ADDRESS(1739,13))</f>
        <v>0</v>
      </c>
      <c r="N1740">
        <f>INDIRECT(ADDRESS(1740,13))+INDIRECT(ADDRESS(1738,14))-INDIRECT(ADDRESS(1739,14))</f>
        <v>0</v>
      </c>
      <c r="O1740">
        <f>INDIRECT(ADDRESS(1740,14))+INDIRECT(ADDRESS(1738,15))-INDIRECT(ADDRESS(1739,15))</f>
        <v>0</v>
      </c>
      <c r="P1740">
        <f>INDIRECT(ADDRESS(1740,15))+INDIRECT(ADDRESS(1738,16))-INDIRECT(ADDRESS(1739,16))</f>
        <v>0</v>
      </c>
      <c r="Q1740">
        <f>INDIRECT(ADDRESS(1740,16))+INDIRECT(ADDRESS(1738,17))-INDIRECT(ADDRESS(1739,17))</f>
        <v>0</v>
      </c>
      <c r="R1740">
        <f>INDIRECT(ADDRESS(1740,17))+INDIRECT(ADDRESS(1738,18))-INDIRECT(ADDRESS(1739,18))</f>
        <v>0</v>
      </c>
      <c r="S1740">
        <f>INDIRECT(ADDRESS(1740,18))+INDIRECT(ADDRESS(1738,19))-INDIRECT(ADDRESS(1739,19))</f>
        <v>0</v>
      </c>
      <c r="T1740">
        <f>INDIRECT(ADDRESS(1740,19))+INDIRECT(ADDRESS(1738,20))-INDIRECT(ADDRESS(1739,20))</f>
        <v>0</v>
      </c>
      <c r="U1740">
        <f>INDIRECT(ADDRESS(1740,20))+INDIRECT(ADDRESS(1738,21))-INDIRECT(ADDRESS(1739,21))</f>
        <v>0</v>
      </c>
      <c r="V1740">
        <f>INDIRECT(ADDRESS(1740,21))+INDIRECT(ADDRESS(1738,22))-INDIRECT(ADDRESS(1739,22))</f>
        <v>0</v>
      </c>
      <c r="W1740">
        <f>INDIRECT(ADDRESS(1740,22))+INDIRECT(ADDRESS(1738,23))-INDIRECT(ADDRESS(1739,23))</f>
        <v>0</v>
      </c>
      <c r="X1740">
        <f>INDIRECT(ADDRESS(1740,23))+INDIRECT(ADDRESS(1738,24))-INDIRECT(ADDRESS(1739,24))</f>
        <v>0</v>
      </c>
      <c r="Y1740">
        <f>INDIRECT(ADDRESS(1740,24))+INDIRECT(ADDRESS(1738,25))-INDIRECT(ADDRESS(1739,25))</f>
        <v>0</v>
      </c>
      <c r="Z1740">
        <f>INDIRECT(ADDRESS(1740,25))+INDIRECT(ADDRESS(1738,26))-INDIRECT(ADDRESS(1739,26))</f>
        <v>0</v>
      </c>
      <c r="AA1740">
        <f>INDIRECT(ADDRESS(1740,26))+INDIRECT(ADDRESS(1738,27))-INDIRECT(ADDRESS(1739,27))</f>
        <v>0</v>
      </c>
      <c r="AB1740">
        <f>INDIRECT(ADDRESS(1740,27))+INDIRECT(ADDRESS(1738,28))-INDIRECT(ADDRESS(1739,28))</f>
        <v>0</v>
      </c>
      <c r="AC1740">
        <f>INDIRECT(ADDRESS(1740,28))+INDIRECT(ADDRESS(1738,29))-INDIRECT(ADDRESS(1739,29))</f>
        <v>0</v>
      </c>
      <c r="AD1740">
        <f>INDIRECT(ADDRESS(1740,29))+INDIRECT(ADDRESS(1738,30))-INDIRECT(ADDRESS(1739,30))</f>
        <v>0</v>
      </c>
      <c r="AE1740">
        <f>INDIRECT(ADDRESS(1740,30))+INDIRECT(ADDRESS(1738,31))-INDIRECT(ADDRESS(1739,31))</f>
        <v>0</v>
      </c>
      <c r="AF1740">
        <f>INDIRECT(ADDRESS(1740,31))+INDIRECT(ADDRESS(1738,32))-INDIRECT(ADDRESS(1739,32))</f>
        <v>0</v>
      </c>
      <c r="AG1740">
        <f>INDIRECT(ADDRESS(1740,32))+INDIRECT(ADDRESS(1738,33))-INDIRECT(ADDRESS(1739,33))</f>
        <v>0</v>
      </c>
      <c r="AH1740">
        <f>INDIRECT(ADDRESS(1740,33))+INDIRECT(ADDRESS(1738,34))-INDIRECT(ADDRESS(1739,34))</f>
        <v>0</v>
      </c>
      <c r="AI1740">
        <f>INDIRECT(ADDRESS(1740,34))+INDIRECT(ADDRESS(1738,35))-INDIRECT(ADDRESS(1739,35))</f>
        <v>0</v>
      </c>
      <c r="AJ1740">
        <f>INDIRECT(ADDRESS(1740,35))+INDIRECT(ADDRESS(1738,36))-INDIRECT(ADDRESS(1739,36))</f>
        <v>0</v>
      </c>
      <c r="AK1740">
        <f>INDIRECT(ADDRESS(1740,36))+INDIRECT(ADDRESS(1738,37))-INDIRECT(ADDRESS(1739,37))</f>
        <v>0</v>
      </c>
      <c r="AL1740">
        <f>INDIRECT(ADDRESS(1740,37))+INDIRECT(ADDRESS(1738,38))-INDIRECT(ADDRESS(1739,38))</f>
        <v>0</v>
      </c>
      <c r="AM1740">
        <f>INDIRECT(ADDRESS(1740,38))+INDIRECT(ADDRESS(1738,39))-INDIRECT(ADDRESS(1739,39))</f>
        <v>0</v>
      </c>
      <c r="AN1740">
        <f>INDIRECT(ADDRESS(1740,39))+INDIRECT(ADDRESS(1738,40))-INDIRECT(ADDRESS(1739,40))</f>
        <v>0</v>
      </c>
      <c r="AO1740">
        <f>SUM(INDIRECT(ADDRESS(1739,8)):INDIRECT(ADDRESS(1739,39)))</f>
        <v>0</v>
      </c>
    </row>
    <row r="1741" spans="1:41">
      <c r="A1741" t="s">
        <v>180</v>
      </c>
      <c r="B1741" t="s">
        <v>820</v>
      </c>
      <c r="C1741" t="s">
        <v>821</v>
      </c>
      <c r="E1741">
        <v>1</v>
      </c>
      <c r="I1741" t="s">
        <v>177</v>
      </c>
    </row>
    <row r="1742" spans="1:41">
      <c r="I1742" t="s">
        <v>178</v>
      </c>
      <c r="J1742">
        <f>IFERROR(VLOOKUP("906-738000-310",B:AB,1+8,0),0)</f>
        <v>0</v>
      </c>
      <c r="K1742">
        <f>IFERROR(VLOOKUP("906-738000-310",B:AB,2+8,0),0)</f>
        <v>0</v>
      </c>
      <c r="L1742">
        <f>IFERROR(VLOOKUP("906-738000-310",B:AB,3+8,0),0)</f>
        <v>0</v>
      </c>
      <c r="M1742">
        <f>IFERROR(VLOOKUP("906-738000-310",B:AB,4+8,0),0)</f>
        <v>0</v>
      </c>
      <c r="N1742">
        <f>IFERROR(VLOOKUP("906-738000-310",B:AB,5+8,0),0)</f>
        <v>0</v>
      </c>
      <c r="O1742">
        <f>IFERROR(VLOOKUP("906-738000-310",B:AB,6+8,0),0)</f>
        <v>0</v>
      </c>
      <c r="P1742">
        <f>IFERROR(VLOOKUP("906-738000-310",B:AB,7+8,0),0)</f>
        <v>0</v>
      </c>
      <c r="Q1742">
        <f>IFERROR(VLOOKUP("906-738000-310",B:AB,8+8,0),0)</f>
        <v>0</v>
      </c>
      <c r="R1742">
        <f>IFERROR(VLOOKUP("906-738000-310",B:AB,9+8,0),0)</f>
        <v>0</v>
      </c>
      <c r="S1742">
        <f>IFERROR(VLOOKUP("906-738000-310",B:AB,10+8,0),0)</f>
        <v>0</v>
      </c>
      <c r="T1742">
        <f>IFERROR(VLOOKUP("906-738000-310",B:AB,11+8,0),0)</f>
        <v>0</v>
      </c>
      <c r="U1742">
        <f>IFERROR(VLOOKUP("906-738000-310",B:AB,12+8,0),0)</f>
        <v>0</v>
      </c>
      <c r="V1742">
        <f>IFERROR(VLOOKUP("906-738000-310",B:AB,13+8,0),0)</f>
        <v>0</v>
      </c>
      <c r="W1742">
        <f>IFERROR(VLOOKUP("906-738000-310",B:AB,14+8,0),0)</f>
        <v>0</v>
      </c>
      <c r="X1742">
        <f>IFERROR(VLOOKUP("906-738000-310",B:AB,15+8,0),0)</f>
        <v>0</v>
      </c>
      <c r="Y1742">
        <f>IFERROR(VLOOKUP("906-738000-310",B:AB,16+8,0),0)</f>
        <v>0</v>
      </c>
      <c r="Z1742">
        <f>IFERROR(VLOOKUP("906-738000-310",B:AB,17+8,0),0)</f>
        <v>0</v>
      </c>
      <c r="AA1742">
        <f>IFERROR(VLOOKUP("906-738000-310",B:AB,18+8,0),0)</f>
        <v>0</v>
      </c>
      <c r="AB1742">
        <f>IFERROR(VLOOKUP("906-738000-310",B:AB,19+8,0),0)</f>
        <v>0</v>
      </c>
      <c r="AC1742">
        <f>IFERROR(VLOOKUP("906-738000-310",B:AB,20+8,0),0)</f>
        <v>0</v>
      </c>
      <c r="AD1742">
        <f>IFERROR(VLOOKUP("906-738000-310",B:AB,21+8,0),0)</f>
        <v>0</v>
      </c>
      <c r="AE1742">
        <f>IFERROR(VLOOKUP("906-738000-310",B:AB,22+8,0),0)</f>
        <v>0</v>
      </c>
      <c r="AF1742">
        <f>IFERROR(VLOOKUP("906-738000-310",B:AB,23+8,0),0)</f>
        <v>0</v>
      </c>
      <c r="AG1742">
        <f>IFERROR(VLOOKUP("906-738000-310",B:AB,24+8,0),0)</f>
        <v>0</v>
      </c>
      <c r="AH1742">
        <f>IFERROR(VLOOKUP("906-738000-310",B:AB,25+8,0),0)</f>
        <v>0</v>
      </c>
      <c r="AI1742">
        <f>IFERROR(VLOOKUP("906-738000-310",B:AB,26+8,0),0)</f>
        <v>0</v>
      </c>
      <c r="AJ1742">
        <f>IFERROR(VLOOKUP("906-738000-310",B:AB,27+8,0),0)</f>
        <v>0</v>
      </c>
      <c r="AK1742">
        <f>IFERROR(VLOOKUP("906-738000-310",B:AB,28+8,0),0)</f>
        <v>0</v>
      </c>
      <c r="AL1742">
        <f>IFERROR(VLOOKUP("906-738000-310",B:AB,29+8,0),0)</f>
        <v>0</v>
      </c>
      <c r="AM1742">
        <f>IFERROR(VLOOKUP("906-738000-310",B:AB,30+8,0),0)</f>
        <v>0</v>
      </c>
      <c r="AN1742">
        <f>IFERROR(VLOOKUP("906-738000-310",B:AB,31+8,0),0)</f>
        <v>0</v>
      </c>
      <c r="AO1742">
        <f>SUN(INDIRECT(ADDRESS(1741,8)):INDIRECT(ADDRESS(1741,39)))</f>
        <v>0</v>
      </c>
    </row>
    <row r="1743" spans="1:41">
      <c r="H1743" t="s">
        <v>179</v>
      </c>
      <c r="J1743">
        <f>INDIRECT(ADDRESS(1743,9))+INDIRECT(ADDRESS(1741,10))-INDIRECT(ADDRESS(1742,10))</f>
        <v>0</v>
      </c>
      <c r="K1743">
        <f>INDIRECT(ADDRESS(1743,10))+INDIRECT(ADDRESS(1741,11))-INDIRECT(ADDRESS(1742,11))</f>
        <v>0</v>
      </c>
      <c r="L1743">
        <f>INDIRECT(ADDRESS(1743,11))+INDIRECT(ADDRESS(1741,12))-INDIRECT(ADDRESS(1742,12))</f>
        <v>0</v>
      </c>
      <c r="M1743">
        <f>INDIRECT(ADDRESS(1743,12))+INDIRECT(ADDRESS(1741,13))-INDIRECT(ADDRESS(1742,13))</f>
        <v>0</v>
      </c>
      <c r="N1743">
        <f>INDIRECT(ADDRESS(1743,13))+INDIRECT(ADDRESS(1741,14))-INDIRECT(ADDRESS(1742,14))</f>
        <v>0</v>
      </c>
      <c r="O1743">
        <f>INDIRECT(ADDRESS(1743,14))+INDIRECT(ADDRESS(1741,15))-INDIRECT(ADDRESS(1742,15))</f>
        <v>0</v>
      </c>
      <c r="P1743">
        <f>INDIRECT(ADDRESS(1743,15))+INDIRECT(ADDRESS(1741,16))-INDIRECT(ADDRESS(1742,16))</f>
        <v>0</v>
      </c>
      <c r="Q1743">
        <f>INDIRECT(ADDRESS(1743,16))+INDIRECT(ADDRESS(1741,17))-INDIRECT(ADDRESS(1742,17))</f>
        <v>0</v>
      </c>
      <c r="R1743">
        <f>INDIRECT(ADDRESS(1743,17))+INDIRECT(ADDRESS(1741,18))-INDIRECT(ADDRESS(1742,18))</f>
        <v>0</v>
      </c>
      <c r="S1743">
        <f>INDIRECT(ADDRESS(1743,18))+INDIRECT(ADDRESS(1741,19))-INDIRECT(ADDRESS(1742,19))</f>
        <v>0</v>
      </c>
      <c r="T1743">
        <f>INDIRECT(ADDRESS(1743,19))+INDIRECT(ADDRESS(1741,20))-INDIRECT(ADDRESS(1742,20))</f>
        <v>0</v>
      </c>
      <c r="U1743">
        <f>INDIRECT(ADDRESS(1743,20))+INDIRECT(ADDRESS(1741,21))-INDIRECT(ADDRESS(1742,21))</f>
        <v>0</v>
      </c>
      <c r="V1743">
        <f>INDIRECT(ADDRESS(1743,21))+INDIRECT(ADDRESS(1741,22))-INDIRECT(ADDRESS(1742,22))</f>
        <v>0</v>
      </c>
      <c r="W1743">
        <f>INDIRECT(ADDRESS(1743,22))+INDIRECT(ADDRESS(1741,23))-INDIRECT(ADDRESS(1742,23))</f>
        <v>0</v>
      </c>
      <c r="X1743">
        <f>INDIRECT(ADDRESS(1743,23))+INDIRECT(ADDRESS(1741,24))-INDIRECT(ADDRESS(1742,24))</f>
        <v>0</v>
      </c>
      <c r="Y1743">
        <f>INDIRECT(ADDRESS(1743,24))+INDIRECT(ADDRESS(1741,25))-INDIRECT(ADDRESS(1742,25))</f>
        <v>0</v>
      </c>
      <c r="Z1743">
        <f>INDIRECT(ADDRESS(1743,25))+INDIRECT(ADDRESS(1741,26))-INDIRECT(ADDRESS(1742,26))</f>
        <v>0</v>
      </c>
      <c r="AA1743">
        <f>INDIRECT(ADDRESS(1743,26))+INDIRECT(ADDRESS(1741,27))-INDIRECT(ADDRESS(1742,27))</f>
        <v>0</v>
      </c>
      <c r="AB1743">
        <f>INDIRECT(ADDRESS(1743,27))+INDIRECT(ADDRESS(1741,28))-INDIRECT(ADDRESS(1742,28))</f>
        <v>0</v>
      </c>
      <c r="AC1743">
        <f>INDIRECT(ADDRESS(1743,28))+INDIRECT(ADDRESS(1741,29))-INDIRECT(ADDRESS(1742,29))</f>
        <v>0</v>
      </c>
      <c r="AD1743">
        <f>INDIRECT(ADDRESS(1743,29))+INDIRECT(ADDRESS(1741,30))-INDIRECT(ADDRESS(1742,30))</f>
        <v>0</v>
      </c>
      <c r="AE1743">
        <f>INDIRECT(ADDRESS(1743,30))+INDIRECT(ADDRESS(1741,31))-INDIRECT(ADDRESS(1742,31))</f>
        <v>0</v>
      </c>
      <c r="AF1743">
        <f>INDIRECT(ADDRESS(1743,31))+INDIRECT(ADDRESS(1741,32))-INDIRECT(ADDRESS(1742,32))</f>
        <v>0</v>
      </c>
      <c r="AG1743">
        <f>INDIRECT(ADDRESS(1743,32))+INDIRECT(ADDRESS(1741,33))-INDIRECT(ADDRESS(1742,33))</f>
        <v>0</v>
      </c>
      <c r="AH1743">
        <f>INDIRECT(ADDRESS(1743,33))+INDIRECT(ADDRESS(1741,34))-INDIRECT(ADDRESS(1742,34))</f>
        <v>0</v>
      </c>
      <c r="AI1743">
        <f>INDIRECT(ADDRESS(1743,34))+INDIRECT(ADDRESS(1741,35))-INDIRECT(ADDRESS(1742,35))</f>
        <v>0</v>
      </c>
      <c r="AJ1743">
        <f>INDIRECT(ADDRESS(1743,35))+INDIRECT(ADDRESS(1741,36))-INDIRECT(ADDRESS(1742,36))</f>
        <v>0</v>
      </c>
      <c r="AK1743">
        <f>INDIRECT(ADDRESS(1743,36))+INDIRECT(ADDRESS(1741,37))-INDIRECT(ADDRESS(1742,37))</f>
        <v>0</v>
      </c>
      <c r="AL1743">
        <f>INDIRECT(ADDRESS(1743,37))+INDIRECT(ADDRESS(1741,38))-INDIRECT(ADDRESS(1742,38))</f>
        <v>0</v>
      </c>
      <c r="AM1743">
        <f>INDIRECT(ADDRESS(1743,38))+INDIRECT(ADDRESS(1741,39))-INDIRECT(ADDRESS(1742,39))</f>
        <v>0</v>
      </c>
      <c r="AN1743">
        <f>INDIRECT(ADDRESS(1743,39))+INDIRECT(ADDRESS(1741,40))-INDIRECT(ADDRESS(1742,40))</f>
        <v>0</v>
      </c>
      <c r="AO1743">
        <f>SUM(INDIRECT(ADDRESS(1742,8)):INDIRECT(ADDRESS(1742,39)))</f>
        <v>0</v>
      </c>
    </row>
    <row r="1744" spans="1:41">
      <c r="A1744" t="s">
        <v>180</v>
      </c>
      <c r="B1744" t="s">
        <v>822</v>
      </c>
      <c r="C1744" t="s">
        <v>823</v>
      </c>
      <c r="E1744">
        <v>1</v>
      </c>
      <c r="I1744" t="s">
        <v>177</v>
      </c>
    </row>
    <row r="1745" spans="1:41">
      <c r="I1745" t="s">
        <v>178</v>
      </c>
      <c r="J1745">
        <f>IFERROR(VLOOKUP("906-738000-310",B:AB,1+8,0),0)</f>
        <v>0</v>
      </c>
      <c r="K1745">
        <f>IFERROR(VLOOKUP("906-738000-310",B:AB,2+8,0),0)</f>
        <v>0</v>
      </c>
      <c r="L1745">
        <f>IFERROR(VLOOKUP("906-738000-310",B:AB,3+8,0),0)</f>
        <v>0</v>
      </c>
      <c r="M1745">
        <f>IFERROR(VLOOKUP("906-738000-310",B:AB,4+8,0),0)</f>
        <v>0</v>
      </c>
      <c r="N1745">
        <f>IFERROR(VLOOKUP("906-738000-310",B:AB,5+8,0),0)</f>
        <v>0</v>
      </c>
      <c r="O1745">
        <f>IFERROR(VLOOKUP("906-738000-310",B:AB,6+8,0),0)</f>
        <v>0</v>
      </c>
      <c r="P1745">
        <f>IFERROR(VLOOKUP("906-738000-310",B:AB,7+8,0),0)</f>
        <v>0</v>
      </c>
      <c r="Q1745">
        <f>IFERROR(VLOOKUP("906-738000-310",B:AB,8+8,0),0)</f>
        <v>0</v>
      </c>
      <c r="R1745">
        <f>IFERROR(VLOOKUP("906-738000-310",B:AB,9+8,0),0)</f>
        <v>0</v>
      </c>
      <c r="S1745">
        <f>IFERROR(VLOOKUP("906-738000-310",B:AB,10+8,0),0)</f>
        <v>0</v>
      </c>
      <c r="T1745">
        <f>IFERROR(VLOOKUP("906-738000-310",B:AB,11+8,0),0)</f>
        <v>0</v>
      </c>
      <c r="U1745">
        <f>IFERROR(VLOOKUP("906-738000-310",B:AB,12+8,0),0)</f>
        <v>0</v>
      </c>
      <c r="V1745">
        <f>IFERROR(VLOOKUP("906-738000-310",B:AB,13+8,0),0)</f>
        <v>0</v>
      </c>
      <c r="W1745">
        <f>IFERROR(VLOOKUP("906-738000-310",B:AB,14+8,0),0)</f>
        <v>0</v>
      </c>
      <c r="X1745">
        <f>IFERROR(VLOOKUP("906-738000-310",B:AB,15+8,0),0)</f>
        <v>0</v>
      </c>
      <c r="Y1745">
        <f>IFERROR(VLOOKUP("906-738000-310",B:AB,16+8,0),0)</f>
        <v>0</v>
      </c>
      <c r="Z1745">
        <f>IFERROR(VLOOKUP("906-738000-310",B:AB,17+8,0),0)</f>
        <v>0</v>
      </c>
      <c r="AA1745">
        <f>IFERROR(VLOOKUP("906-738000-310",B:AB,18+8,0),0)</f>
        <v>0</v>
      </c>
      <c r="AB1745">
        <f>IFERROR(VLOOKUP("906-738000-310",B:AB,19+8,0),0)</f>
        <v>0</v>
      </c>
      <c r="AC1745">
        <f>IFERROR(VLOOKUP("906-738000-310",B:AB,20+8,0),0)</f>
        <v>0</v>
      </c>
      <c r="AD1745">
        <f>IFERROR(VLOOKUP("906-738000-310",B:AB,21+8,0),0)</f>
        <v>0</v>
      </c>
      <c r="AE1745">
        <f>IFERROR(VLOOKUP("906-738000-310",B:AB,22+8,0),0)</f>
        <v>0</v>
      </c>
      <c r="AF1745">
        <f>IFERROR(VLOOKUP("906-738000-310",B:AB,23+8,0),0)</f>
        <v>0</v>
      </c>
      <c r="AG1745">
        <f>IFERROR(VLOOKUP("906-738000-310",B:AB,24+8,0),0)</f>
        <v>0</v>
      </c>
      <c r="AH1745">
        <f>IFERROR(VLOOKUP("906-738000-310",B:AB,25+8,0),0)</f>
        <v>0</v>
      </c>
      <c r="AI1745">
        <f>IFERROR(VLOOKUP("906-738000-310",B:AB,26+8,0),0)</f>
        <v>0</v>
      </c>
      <c r="AJ1745">
        <f>IFERROR(VLOOKUP("906-738000-310",B:AB,27+8,0),0)</f>
        <v>0</v>
      </c>
      <c r="AK1745">
        <f>IFERROR(VLOOKUP("906-738000-310",B:AB,28+8,0),0)</f>
        <v>0</v>
      </c>
      <c r="AL1745">
        <f>IFERROR(VLOOKUP("906-738000-310",B:AB,29+8,0),0)</f>
        <v>0</v>
      </c>
      <c r="AM1745">
        <f>IFERROR(VLOOKUP("906-738000-310",B:AB,30+8,0),0)</f>
        <v>0</v>
      </c>
      <c r="AN1745">
        <f>IFERROR(VLOOKUP("906-738000-310",B:AB,31+8,0),0)</f>
        <v>0</v>
      </c>
      <c r="AO1745">
        <f>SUN(INDIRECT(ADDRESS(1744,8)):INDIRECT(ADDRESS(1744,39)))</f>
        <v>0</v>
      </c>
    </row>
    <row r="1746" spans="1:41">
      <c r="H1746" t="s">
        <v>179</v>
      </c>
      <c r="J1746">
        <f>INDIRECT(ADDRESS(1746,9))+INDIRECT(ADDRESS(1744,10))-INDIRECT(ADDRESS(1745,10))</f>
        <v>0</v>
      </c>
      <c r="K1746">
        <f>INDIRECT(ADDRESS(1746,10))+INDIRECT(ADDRESS(1744,11))-INDIRECT(ADDRESS(1745,11))</f>
        <v>0</v>
      </c>
      <c r="L1746">
        <f>INDIRECT(ADDRESS(1746,11))+INDIRECT(ADDRESS(1744,12))-INDIRECT(ADDRESS(1745,12))</f>
        <v>0</v>
      </c>
      <c r="M1746">
        <f>INDIRECT(ADDRESS(1746,12))+INDIRECT(ADDRESS(1744,13))-INDIRECT(ADDRESS(1745,13))</f>
        <v>0</v>
      </c>
      <c r="N1746">
        <f>INDIRECT(ADDRESS(1746,13))+INDIRECT(ADDRESS(1744,14))-INDIRECT(ADDRESS(1745,14))</f>
        <v>0</v>
      </c>
      <c r="O1746">
        <f>INDIRECT(ADDRESS(1746,14))+INDIRECT(ADDRESS(1744,15))-INDIRECT(ADDRESS(1745,15))</f>
        <v>0</v>
      </c>
      <c r="P1746">
        <f>INDIRECT(ADDRESS(1746,15))+INDIRECT(ADDRESS(1744,16))-INDIRECT(ADDRESS(1745,16))</f>
        <v>0</v>
      </c>
      <c r="Q1746">
        <f>INDIRECT(ADDRESS(1746,16))+INDIRECT(ADDRESS(1744,17))-INDIRECT(ADDRESS(1745,17))</f>
        <v>0</v>
      </c>
      <c r="R1746">
        <f>INDIRECT(ADDRESS(1746,17))+INDIRECT(ADDRESS(1744,18))-INDIRECT(ADDRESS(1745,18))</f>
        <v>0</v>
      </c>
      <c r="S1746">
        <f>INDIRECT(ADDRESS(1746,18))+INDIRECT(ADDRESS(1744,19))-INDIRECT(ADDRESS(1745,19))</f>
        <v>0</v>
      </c>
      <c r="T1746">
        <f>INDIRECT(ADDRESS(1746,19))+INDIRECT(ADDRESS(1744,20))-INDIRECT(ADDRESS(1745,20))</f>
        <v>0</v>
      </c>
      <c r="U1746">
        <f>INDIRECT(ADDRESS(1746,20))+INDIRECT(ADDRESS(1744,21))-INDIRECT(ADDRESS(1745,21))</f>
        <v>0</v>
      </c>
      <c r="V1746">
        <f>INDIRECT(ADDRESS(1746,21))+INDIRECT(ADDRESS(1744,22))-INDIRECT(ADDRESS(1745,22))</f>
        <v>0</v>
      </c>
      <c r="W1746">
        <f>INDIRECT(ADDRESS(1746,22))+INDIRECT(ADDRESS(1744,23))-INDIRECT(ADDRESS(1745,23))</f>
        <v>0</v>
      </c>
      <c r="X1746">
        <f>INDIRECT(ADDRESS(1746,23))+INDIRECT(ADDRESS(1744,24))-INDIRECT(ADDRESS(1745,24))</f>
        <v>0</v>
      </c>
      <c r="Y1746">
        <f>INDIRECT(ADDRESS(1746,24))+INDIRECT(ADDRESS(1744,25))-INDIRECT(ADDRESS(1745,25))</f>
        <v>0</v>
      </c>
      <c r="Z1746">
        <f>INDIRECT(ADDRESS(1746,25))+INDIRECT(ADDRESS(1744,26))-INDIRECT(ADDRESS(1745,26))</f>
        <v>0</v>
      </c>
      <c r="AA1746">
        <f>INDIRECT(ADDRESS(1746,26))+INDIRECT(ADDRESS(1744,27))-INDIRECT(ADDRESS(1745,27))</f>
        <v>0</v>
      </c>
      <c r="AB1746">
        <f>INDIRECT(ADDRESS(1746,27))+INDIRECT(ADDRESS(1744,28))-INDIRECT(ADDRESS(1745,28))</f>
        <v>0</v>
      </c>
      <c r="AC1746">
        <f>INDIRECT(ADDRESS(1746,28))+INDIRECT(ADDRESS(1744,29))-INDIRECT(ADDRESS(1745,29))</f>
        <v>0</v>
      </c>
      <c r="AD1746">
        <f>INDIRECT(ADDRESS(1746,29))+INDIRECT(ADDRESS(1744,30))-INDIRECT(ADDRESS(1745,30))</f>
        <v>0</v>
      </c>
      <c r="AE1746">
        <f>INDIRECT(ADDRESS(1746,30))+INDIRECT(ADDRESS(1744,31))-INDIRECT(ADDRESS(1745,31))</f>
        <v>0</v>
      </c>
      <c r="AF1746">
        <f>INDIRECT(ADDRESS(1746,31))+INDIRECT(ADDRESS(1744,32))-INDIRECT(ADDRESS(1745,32))</f>
        <v>0</v>
      </c>
      <c r="AG1746">
        <f>INDIRECT(ADDRESS(1746,32))+INDIRECT(ADDRESS(1744,33))-INDIRECT(ADDRESS(1745,33))</f>
        <v>0</v>
      </c>
      <c r="AH1746">
        <f>INDIRECT(ADDRESS(1746,33))+INDIRECT(ADDRESS(1744,34))-INDIRECT(ADDRESS(1745,34))</f>
        <v>0</v>
      </c>
      <c r="AI1746">
        <f>INDIRECT(ADDRESS(1746,34))+INDIRECT(ADDRESS(1744,35))-INDIRECT(ADDRESS(1745,35))</f>
        <v>0</v>
      </c>
      <c r="AJ1746">
        <f>INDIRECT(ADDRESS(1746,35))+INDIRECT(ADDRESS(1744,36))-INDIRECT(ADDRESS(1745,36))</f>
        <v>0</v>
      </c>
      <c r="AK1746">
        <f>INDIRECT(ADDRESS(1746,36))+INDIRECT(ADDRESS(1744,37))-INDIRECT(ADDRESS(1745,37))</f>
        <v>0</v>
      </c>
      <c r="AL1746">
        <f>INDIRECT(ADDRESS(1746,37))+INDIRECT(ADDRESS(1744,38))-INDIRECT(ADDRESS(1745,38))</f>
        <v>0</v>
      </c>
      <c r="AM1746">
        <f>INDIRECT(ADDRESS(1746,38))+INDIRECT(ADDRESS(1744,39))-INDIRECT(ADDRESS(1745,39))</f>
        <v>0</v>
      </c>
      <c r="AN1746">
        <f>INDIRECT(ADDRESS(1746,39))+INDIRECT(ADDRESS(1744,40))-INDIRECT(ADDRESS(1745,40))</f>
        <v>0</v>
      </c>
      <c r="AO1746">
        <f>SUM(INDIRECT(ADDRESS(1745,8)):INDIRECT(ADDRESS(1745,39)))</f>
        <v>0</v>
      </c>
    </row>
    <row r="1747" spans="1:41">
      <c r="A1747" t="s">
        <v>8</v>
      </c>
      <c r="B1747" t="s">
        <v>143</v>
      </c>
      <c r="C1747" t="s">
        <v>144</v>
      </c>
      <c r="E1747">
        <v>1</v>
      </c>
      <c r="I1747" t="s">
        <v>177</v>
      </c>
    </row>
    <row r="1748" spans="1:41">
      <c r="I1748" t="s">
        <v>178</v>
      </c>
      <c r="J1748">
        <f>IFERROR(VLOOKUP("906-487000-110",Out!B:AB,1+8,0),0)</f>
        <v>0</v>
      </c>
      <c r="K1748">
        <f>IFERROR(VLOOKUP("906-487000-110",Out!B:AB,2+8,0),0)</f>
        <v>0</v>
      </c>
      <c r="L1748">
        <f>IFERROR(VLOOKUP("906-487000-110",Out!B:AB,3+8,0),0)</f>
        <v>0</v>
      </c>
      <c r="M1748">
        <f>IFERROR(VLOOKUP("906-487000-110",Out!B:AB,4+8,0),0)</f>
        <v>0</v>
      </c>
      <c r="N1748">
        <f>IFERROR(VLOOKUP("906-487000-110",Out!B:AB,5+8,0),0)</f>
        <v>0</v>
      </c>
      <c r="O1748">
        <f>IFERROR(VLOOKUP("906-487000-110",Out!B:AB,6+8,0),0)</f>
        <v>0</v>
      </c>
      <c r="P1748">
        <f>IFERROR(VLOOKUP("906-487000-110",Out!B:AB,7+8,0),0)</f>
        <v>0</v>
      </c>
      <c r="Q1748">
        <f>IFERROR(VLOOKUP("906-487000-110",Out!B:AB,8+8,0),0)</f>
        <v>0</v>
      </c>
      <c r="R1748">
        <f>IFERROR(VLOOKUP("906-487000-110",Out!B:AB,9+8,0),0)</f>
        <v>0</v>
      </c>
      <c r="S1748">
        <f>IFERROR(VLOOKUP("906-487000-110",Out!B:AB,10+8,0),0)</f>
        <v>0</v>
      </c>
      <c r="T1748">
        <f>IFERROR(VLOOKUP("906-487000-110",Out!B:AB,11+8,0),0)</f>
        <v>0</v>
      </c>
      <c r="U1748">
        <f>IFERROR(VLOOKUP("906-487000-110",Out!B:AB,12+8,0),0)</f>
        <v>0</v>
      </c>
      <c r="V1748">
        <f>IFERROR(VLOOKUP("906-487000-110",Out!B:AB,13+8,0),0)</f>
        <v>0</v>
      </c>
      <c r="W1748">
        <f>IFERROR(VLOOKUP("906-487000-110",Out!B:AB,14+8,0),0)</f>
        <v>0</v>
      </c>
      <c r="X1748">
        <f>IFERROR(VLOOKUP("906-487000-110",Out!B:AB,15+8,0),0)</f>
        <v>0</v>
      </c>
      <c r="Y1748">
        <f>IFERROR(VLOOKUP("906-487000-110",Out!B:AB,16+8,0),0)</f>
        <v>0</v>
      </c>
      <c r="Z1748">
        <f>IFERROR(VLOOKUP("906-487000-110",Out!B:AB,17+8,0),0)</f>
        <v>0</v>
      </c>
      <c r="AA1748">
        <f>IFERROR(VLOOKUP("906-487000-110",Out!B:AB,18+8,0),0)</f>
        <v>0</v>
      </c>
      <c r="AB1748">
        <f>IFERROR(VLOOKUP("906-487000-110",Out!B:AB,19+8,0),0)</f>
        <v>0</v>
      </c>
      <c r="AC1748">
        <f>IFERROR(VLOOKUP("906-487000-110",Out!B:AB,20+8,0),0)</f>
        <v>0</v>
      </c>
      <c r="AD1748">
        <f>IFERROR(VLOOKUP("906-487000-110",Out!B:AB,21+8,0),0)</f>
        <v>0</v>
      </c>
      <c r="AE1748">
        <f>IFERROR(VLOOKUP("906-487000-110",Out!B:AB,22+8,0),0)</f>
        <v>0</v>
      </c>
      <c r="AF1748">
        <f>IFERROR(VLOOKUP("906-487000-110",Out!B:AB,23+8,0),0)</f>
        <v>0</v>
      </c>
      <c r="AG1748">
        <f>IFERROR(VLOOKUP("906-487000-110",Out!B:AB,24+8,0),0)</f>
        <v>0</v>
      </c>
      <c r="AH1748">
        <f>IFERROR(VLOOKUP("906-487000-110",Out!B:AB,25+8,0),0)</f>
        <v>0</v>
      </c>
      <c r="AI1748">
        <f>IFERROR(VLOOKUP("906-487000-110",Out!B:AB,26+8,0),0)</f>
        <v>0</v>
      </c>
      <c r="AJ1748">
        <f>IFERROR(VLOOKUP("906-487000-110",Out!B:AB,27+8,0),0)</f>
        <v>0</v>
      </c>
      <c r="AK1748">
        <f>IFERROR(VLOOKUP("906-487000-110",Out!B:AB,28+8,0),0)</f>
        <v>0</v>
      </c>
      <c r="AL1748">
        <f>IFERROR(VLOOKUP("906-487000-110",Out!B:AB,29+8,0),0)</f>
        <v>0</v>
      </c>
      <c r="AM1748">
        <f>IFERROR(VLOOKUP("906-487000-110",Out!B:AB,30+8,0),0)</f>
        <v>0</v>
      </c>
      <c r="AN1748">
        <f>IFERROR(VLOOKUP("906-487000-110",Out!B:AB,31+8,0),0)</f>
        <v>0</v>
      </c>
      <c r="AO1748">
        <f>SUN(INDIRECT(ADDRESS(1747,8)):INDIRECT(ADDRESS(1747,39)))</f>
        <v>0</v>
      </c>
    </row>
    <row r="1749" spans="1:41">
      <c r="H1749" t="s">
        <v>179</v>
      </c>
      <c r="J1749">
        <f>INDIRECT(ADDRESS(1749,9))+INDIRECT(ADDRESS(1747,10))-INDIRECT(ADDRESS(1748,10))</f>
        <v>0</v>
      </c>
      <c r="K1749">
        <f>INDIRECT(ADDRESS(1749,10))+INDIRECT(ADDRESS(1747,11))-INDIRECT(ADDRESS(1748,11))</f>
        <v>0</v>
      </c>
      <c r="L1749">
        <f>INDIRECT(ADDRESS(1749,11))+INDIRECT(ADDRESS(1747,12))-INDIRECT(ADDRESS(1748,12))</f>
        <v>0</v>
      </c>
      <c r="M1749">
        <f>INDIRECT(ADDRESS(1749,12))+INDIRECT(ADDRESS(1747,13))-INDIRECT(ADDRESS(1748,13))</f>
        <v>0</v>
      </c>
      <c r="N1749">
        <f>INDIRECT(ADDRESS(1749,13))+INDIRECT(ADDRESS(1747,14))-INDIRECT(ADDRESS(1748,14))</f>
        <v>0</v>
      </c>
      <c r="O1749">
        <f>INDIRECT(ADDRESS(1749,14))+INDIRECT(ADDRESS(1747,15))-INDIRECT(ADDRESS(1748,15))</f>
        <v>0</v>
      </c>
      <c r="P1749">
        <f>INDIRECT(ADDRESS(1749,15))+INDIRECT(ADDRESS(1747,16))-INDIRECT(ADDRESS(1748,16))</f>
        <v>0</v>
      </c>
      <c r="Q1749">
        <f>INDIRECT(ADDRESS(1749,16))+INDIRECT(ADDRESS(1747,17))-INDIRECT(ADDRESS(1748,17))</f>
        <v>0</v>
      </c>
      <c r="R1749">
        <f>INDIRECT(ADDRESS(1749,17))+INDIRECT(ADDRESS(1747,18))-INDIRECT(ADDRESS(1748,18))</f>
        <v>0</v>
      </c>
      <c r="S1749">
        <f>INDIRECT(ADDRESS(1749,18))+INDIRECT(ADDRESS(1747,19))-INDIRECT(ADDRESS(1748,19))</f>
        <v>0</v>
      </c>
      <c r="T1749">
        <f>INDIRECT(ADDRESS(1749,19))+INDIRECT(ADDRESS(1747,20))-INDIRECT(ADDRESS(1748,20))</f>
        <v>0</v>
      </c>
      <c r="U1749">
        <f>INDIRECT(ADDRESS(1749,20))+INDIRECT(ADDRESS(1747,21))-INDIRECT(ADDRESS(1748,21))</f>
        <v>0</v>
      </c>
      <c r="V1749">
        <f>INDIRECT(ADDRESS(1749,21))+INDIRECT(ADDRESS(1747,22))-INDIRECT(ADDRESS(1748,22))</f>
        <v>0</v>
      </c>
      <c r="W1749">
        <f>INDIRECT(ADDRESS(1749,22))+INDIRECT(ADDRESS(1747,23))-INDIRECT(ADDRESS(1748,23))</f>
        <v>0</v>
      </c>
      <c r="X1749">
        <f>INDIRECT(ADDRESS(1749,23))+INDIRECT(ADDRESS(1747,24))-INDIRECT(ADDRESS(1748,24))</f>
        <v>0</v>
      </c>
      <c r="Y1749">
        <f>INDIRECT(ADDRESS(1749,24))+INDIRECT(ADDRESS(1747,25))-INDIRECT(ADDRESS(1748,25))</f>
        <v>0</v>
      </c>
      <c r="Z1749">
        <f>INDIRECT(ADDRESS(1749,25))+INDIRECT(ADDRESS(1747,26))-INDIRECT(ADDRESS(1748,26))</f>
        <v>0</v>
      </c>
      <c r="AA1749">
        <f>INDIRECT(ADDRESS(1749,26))+INDIRECT(ADDRESS(1747,27))-INDIRECT(ADDRESS(1748,27))</f>
        <v>0</v>
      </c>
      <c r="AB1749">
        <f>INDIRECT(ADDRESS(1749,27))+INDIRECT(ADDRESS(1747,28))-INDIRECT(ADDRESS(1748,28))</f>
        <v>0</v>
      </c>
      <c r="AC1749">
        <f>INDIRECT(ADDRESS(1749,28))+INDIRECT(ADDRESS(1747,29))-INDIRECT(ADDRESS(1748,29))</f>
        <v>0</v>
      </c>
      <c r="AD1749">
        <f>INDIRECT(ADDRESS(1749,29))+INDIRECT(ADDRESS(1747,30))-INDIRECT(ADDRESS(1748,30))</f>
        <v>0</v>
      </c>
      <c r="AE1749">
        <f>INDIRECT(ADDRESS(1749,30))+INDIRECT(ADDRESS(1747,31))-INDIRECT(ADDRESS(1748,31))</f>
        <v>0</v>
      </c>
      <c r="AF1749">
        <f>INDIRECT(ADDRESS(1749,31))+INDIRECT(ADDRESS(1747,32))-INDIRECT(ADDRESS(1748,32))</f>
        <v>0</v>
      </c>
      <c r="AG1749">
        <f>INDIRECT(ADDRESS(1749,32))+INDIRECT(ADDRESS(1747,33))-INDIRECT(ADDRESS(1748,33))</f>
        <v>0</v>
      </c>
      <c r="AH1749">
        <f>INDIRECT(ADDRESS(1749,33))+INDIRECT(ADDRESS(1747,34))-INDIRECT(ADDRESS(1748,34))</f>
        <v>0</v>
      </c>
      <c r="AI1749">
        <f>INDIRECT(ADDRESS(1749,34))+INDIRECT(ADDRESS(1747,35))-INDIRECT(ADDRESS(1748,35))</f>
        <v>0</v>
      </c>
      <c r="AJ1749">
        <f>INDIRECT(ADDRESS(1749,35))+INDIRECT(ADDRESS(1747,36))-INDIRECT(ADDRESS(1748,36))</f>
        <v>0</v>
      </c>
      <c r="AK1749">
        <f>INDIRECT(ADDRESS(1749,36))+INDIRECT(ADDRESS(1747,37))-INDIRECT(ADDRESS(1748,37))</f>
        <v>0</v>
      </c>
      <c r="AL1749">
        <f>INDIRECT(ADDRESS(1749,37))+INDIRECT(ADDRESS(1747,38))-INDIRECT(ADDRESS(1748,38))</f>
        <v>0</v>
      </c>
      <c r="AM1749">
        <f>INDIRECT(ADDRESS(1749,38))+INDIRECT(ADDRESS(1747,39))-INDIRECT(ADDRESS(1748,39))</f>
        <v>0</v>
      </c>
      <c r="AN1749">
        <f>INDIRECT(ADDRESS(1749,39))+INDIRECT(ADDRESS(1747,40))-INDIRECT(ADDRESS(1748,40))</f>
        <v>0</v>
      </c>
      <c r="AO1749">
        <f>SUM(INDIRECT(ADDRESS(1748,8)):INDIRECT(ADDRESS(1748,39)))</f>
        <v>0</v>
      </c>
    </row>
    <row r="1750" spans="1:41">
      <c r="A1750" t="s">
        <v>180</v>
      </c>
      <c r="B1750" t="s">
        <v>824</v>
      </c>
      <c r="C1750" t="s">
        <v>825</v>
      </c>
      <c r="E1750">
        <v>1</v>
      </c>
      <c r="I1750" t="s">
        <v>177</v>
      </c>
    </row>
    <row r="1751" spans="1:41">
      <c r="I1751" t="s">
        <v>178</v>
      </c>
      <c r="J1751">
        <f>IFERROR(VLOOKUP("906-487000-110",B:AB,1+8,0),0)</f>
        <v>0</v>
      </c>
      <c r="K1751">
        <f>IFERROR(VLOOKUP("906-487000-110",B:AB,2+8,0),0)</f>
        <v>0</v>
      </c>
      <c r="L1751">
        <f>IFERROR(VLOOKUP("906-487000-110",B:AB,3+8,0),0)</f>
        <v>0</v>
      </c>
      <c r="M1751">
        <f>IFERROR(VLOOKUP("906-487000-110",B:AB,4+8,0),0)</f>
        <v>0</v>
      </c>
      <c r="N1751">
        <f>IFERROR(VLOOKUP("906-487000-110",B:AB,5+8,0),0)</f>
        <v>0</v>
      </c>
      <c r="O1751">
        <f>IFERROR(VLOOKUP("906-487000-110",B:AB,6+8,0),0)</f>
        <v>0</v>
      </c>
      <c r="P1751">
        <f>IFERROR(VLOOKUP("906-487000-110",B:AB,7+8,0),0)</f>
        <v>0</v>
      </c>
      <c r="Q1751">
        <f>IFERROR(VLOOKUP("906-487000-110",B:AB,8+8,0),0)</f>
        <v>0</v>
      </c>
      <c r="R1751">
        <f>IFERROR(VLOOKUP("906-487000-110",B:AB,9+8,0),0)</f>
        <v>0</v>
      </c>
      <c r="S1751">
        <f>IFERROR(VLOOKUP("906-487000-110",B:AB,10+8,0),0)</f>
        <v>0</v>
      </c>
      <c r="T1751">
        <f>IFERROR(VLOOKUP("906-487000-110",B:AB,11+8,0),0)</f>
        <v>0</v>
      </c>
      <c r="U1751">
        <f>IFERROR(VLOOKUP("906-487000-110",B:AB,12+8,0),0)</f>
        <v>0</v>
      </c>
      <c r="V1751">
        <f>IFERROR(VLOOKUP("906-487000-110",B:AB,13+8,0),0)</f>
        <v>0</v>
      </c>
      <c r="W1751">
        <f>IFERROR(VLOOKUP("906-487000-110",B:AB,14+8,0),0)</f>
        <v>0</v>
      </c>
      <c r="X1751">
        <f>IFERROR(VLOOKUP("906-487000-110",B:AB,15+8,0),0)</f>
        <v>0</v>
      </c>
      <c r="Y1751">
        <f>IFERROR(VLOOKUP("906-487000-110",B:AB,16+8,0),0)</f>
        <v>0</v>
      </c>
      <c r="Z1751">
        <f>IFERROR(VLOOKUP("906-487000-110",B:AB,17+8,0),0)</f>
        <v>0</v>
      </c>
      <c r="AA1751">
        <f>IFERROR(VLOOKUP("906-487000-110",B:AB,18+8,0),0)</f>
        <v>0</v>
      </c>
      <c r="AB1751">
        <f>IFERROR(VLOOKUP("906-487000-110",B:AB,19+8,0),0)</f>
        <v>0</v>
      </c>
      <c r="AC1751">
        <f>IFERROR(VLOOKUP("906-487000-110",B:AB,20+8,0),0)</f>
        <v>0</v>
      </c>
      <c r="AD1751">
        <f>IFERROR(VLOOKUP("906-487000-110",B:AB,21+8,0),0)</f>
        <v>0</v>
      </c>
      <c r="AE1751">
        <f>IFERROR(VLOOKUP("906-487000-110",B:AB,22+8,0),0)</f>
        <v>0</v>
      </c>
      <c r="AF1751">
        <f>IFERROR(VLOOKUP("906-487000-110",B:AB,23+8,0),0)</f>
        <v>0</v>
      </c>
      <c r="AG1751">
        <f>IFERROR(VLOOKUP("906-487000-110",B:AB,24+8,0),0)</f>
        <v>0</v>
      </c>
      <c r="AH1751">
        <f>IFERROR(VLOOKUP("906-487000-110",B:AB,25+8,0),0)</f>
        <v>0</v>
      </c>
      <c r="AI1751">
        <f>IFERROR(VLOOKUP("906-487000-110",B:AB,26+8,0),0)</f>
        <v>0</v>
      </c>
      <c r="AJ1751">
        <f>IFERROR(VLOOKUP("906-487000-110",B:AB,27+8,0),0)</f>
        <v>0</v>
      </c>
      <c r="AK1751">
        <f>IFERROR(VLOOKUP("906-487000-110",B:AB,28+8,0),0)</f>
        <v>0</v>
      </c>
      <c r="AL1751">
        <f>IFERROR(VLOOKUP("906-487000-110",B:AB,29+8,0),0)</f>
        <v>0</v>
      </c>
      <c r="AM1751">
        <f>IFERROR(VLOOKUP("906-487000-110",B:AB,30+8,0),0)</f>
        <v>0</v>
      </c>
      <c r="AN1751">
        <f>IFERROR(VLOOKUP("906-487000-110",B:AB,31+8,0),0)</f>
        <v>0</v>
      </c>
      <c r="AO1751">
        <f>SUN(INDIRECT(ADDRESS(1750,8)):INDIRECT(ADDRESS(1750,39)))</f>
        <v>0</v>
      </c>
    </row>
    <row r="1752" spans="1:41">
      <c r="H1752" t="s">
        <v>179</v>
      </c>
      <c r="J1752">
        <f>INDIRECT(ADDRESS(1752,9))+INDIRECT(ADDRESS(1750,10))-INDIRECT(ADDRESS(1751,10))</f>
        <v>0</v>
      </c>
      <c r="K1752">
        <f>INDIRECT(ADDRESS(1752,10))+INDIRECT(ADDRESS(1750,11))-INDIRECT(ADDRESS(1751,11))</f>
        <v>0</v>
      </c>
      <c r="L1752">
        <f>INDIRECT(ADDRESS(1752,11))+INDIRECT(ADDRESS(1750,12))-INDIRECT(ADDRESS(1751,12))</f>
        <v>0</v>
      </c>
      <c r="M1752">
        <f>INDIRECT(ADDRESS(1752,12))+INDIRECT(ADDRESS(1750,13))-INDIRECT(ADDRESS(1751,13))</f>
        <v>0</v>
      </c>
      <c r="N1752">
        <f>INDIRECT(ADDRESS(1752,13))+INDIRECT(ADDRESS(1750,14))-INDIRECT(ADDRESS(1751,14))</f>
        <v>0</v>
      </c>
      <c r="O1752">
        <f>INDIRECT(ADDRESS(1752,14))+INDIRECT(ADDRESS(1750,15))-INDIRECT(ADDRESS(1751,15))</f>
        <v>0</v>
      </c>
      <c r="P1752">
        <f>INDIRECT(ADDRESS(1752,15))+INDIRECT(ADDRESS(1750,16))-INDIRECT(ADDRESS(1751,16))</f>
        <v>0</v>
      </c>
      <c r="Q1752">
        <f>INDIRECT(ADDRESS(1752,16))+INDIRECT(ADDRESS(1750,17))-INDIRECT(ADDRESS(1751,17))</f>
        <v>0</v>
      </c>
      <c r="R1752">
        <f>INDIRECT(ADDRESS(1752,17))+INDIRECT(ADDRESS(1750,18))-INDIRECT(ADDRESS(1751,18))</f>
        <v>0</v>
      </c>
      <c r="S1752">
        <f>INDIRECT(ADDRESS(1752,18))+INDIRECT(ADDRESS(1750,19))-INDIRECT(ADDRESS(1751,19))</f>
        <v>0</v>
      </c>
      <c r="T1752">
        <f>INDIRECT(ADDRESS(1752,19))+INDIRECT(ADDRESS(1750,20))-INDIRECT(ADDRESS(1751,20))</f>
        <v>0</v>
      </c>
      <c r="U1752">
        <f>INDIRECT(ADDRESS(1752,20))+INDIRECT(ADDRESS(1750,21))-INDIRECT(ADDRESS(1751,21))</f>
        <v>0</v>
      </c>
      <c r="V1752">
        <f>INDIRECT(ADDRESS(1752,21))+INDIRECT(ADDRESS(1750,22))-INDIRECT(ADDRESS(1751,22))</f>
        <v>0</v>
      </c>
      <c r="W1752">
        <f>INDIRECT(ADDRESS(1752,22))+INDIRECT(ADDRESS(1750,23))-INDIRECT(ADDRESS(1751,23))</f>
        <v>0</v>
      </c>
      <c r="X1752">
        <f>INDIRECT(ADDRESS(1752,23))+INDIRECT(ADDRESS(1750,24))-INDIRECT(ADDRESS(1751,24))</f>
        <v>0</v>
      </c>
      <c r="Y1752">
        <f>INDIRECT(ADDRESS(1752,24))+INDIRECT(ADDRESS(1750,25))-INDIRECT(ADDRESS(1751,25))</f>
        <v>0</v>
      </c>
      <c r="Z1752">
        <f>INDIRECT(ADDRESS(1752,25))+INDIRECT(ADDRESS(1750,26))-INDIRECT(ADDRESS(1751,26))</f>
        <v>0</v>
      </c>
      <c r="AA1752">
        <f>INDIRECT(ADDRESS(1752,26))+INDIRECT(ADDRESS(1750,27))-INDIRECT(ADDRESS(1751,27))</f>
        <v>0</v>
      </c>
      <c r="AB1752">
        <f>INDIRECT(ADDRESS(1752,27))+INDIRECT(ADDRESS(1750,28))-INDIRECT(ADDRESS(1751,28))</f>
        <v>0</v>
      </c>
      <c r="AC1752">
        <f>INDIRECT(ADDRESS(1752,28))+INDIRECT(ADDRESS(1750,29))-INDIRECT(ADDRESS(1751,29))</f>
        <v>0</v>
      </c>
      <c r="AD1752">
        <f>INDIRECT(ADDRESS(1752,29))+INDIRECT(ADDRESS(1750,30))-INDIRECT(ADDRESS(1751,30))</f>
        <v>0</v>
      </c>
      <c r="AE1752">
        <f>INDIRECT(ADDRESS(1752,30))+INDIRECT(ADDRESS(1750,31))-INDIRECT(ADDRESS(1751,31))</f>
        <v>0</v>
      </c>
      <c r="AF1752">
        <f>INDIRECT(ADDRESS(1752,31))+INDIRECT(ADDRESS(1750,32))-INDIRECT(ADDRESS(1751,32))</f>
        <v>0</v>
      </c>
      <c r="AG1752">
        <f>INDIRECT(ADDRESS(1752,32))+INDIRECT(ADDRESS(1750,33))-INDIRECT(ADDRESS(1751,33))</f>
        <v>0</v>
      </c>
      <c r="AH1752">
        <f>INDIRECT(ADDRESS(1752,33))+INDIRECT(ADDRESS(1750,34))-INDIRECT(ADDRESS(1751,34))</f>
        <v>0</v>
      </c>
      <c r="AI1752">
        <f>INDIRECT(ADDRESS(1752,34))+INDIRECT(ADDRESS(1750,35))-INDIRECT(ADDRESS(1751,35))</f>
        <v>0</v>
      </c>
      <c r="AJ1752">
        <f>INDIRECT(ADDRESS(1752,35))+INDIRECT(ADDRESS(1750,36))-INDIRECT(ADDRESS(1751,36))</f>
        <v>0</v>
      </c>
      <c r="AK1752">
        <f>INDIRECT(ADDRESS(1752,36))+INDIRECT(ADDRESS(1750,37))-INDIRECT(ADDRESS(1751,37))</f>
        <v>0</v>
      </c>
      <c r="AL1752">
        <f>INDIRECT(ADDRESS(1752,37))+INDIRECT(ADDRESS(1750,38))-INDIRECT(ADDRESS(1751,38))</f>
        <v>0</v>
      </c>
      <c r="AM1752">
        <f>INDIRECT(ADDRESS(1752,38))+INDIRECT(ADDRESS(1750,39))-INDIRECT(ADDRESS(1751,39))</f>
        <v>0</v>
      </c>
      <c r="AN1752">
        <f>INDIRECT(ADDRESS(1752,39))+INDIRECT(ADDRESS(1750,40))-INDIRECT(ADDRESS(1751,40))</f>
        <v>0</v>
      </c>
      <c r="AO1752">
        <f>SUM(INDIRECT(ADDRESS(1751,8)):INDIRECT(ADDRESS(1751,39)))</f>
        <v>0</v>
      </c>
    </row>
    <row r="1753" spans="1:41">
      <c r="A1753" t="s">
        <v>180</v>
      </c>
      <c r="B1753" t="s">
        <v>572</v>
      </c>
      <c r="C1753" t="s">
        <v>826</v>
      </c>
      <c r="E1753">
        <v>1</v>
      </c>
      <c r="I1753" t="s">
        <v>177</v>
      </c>
    </row>
    <row r="1754" spans="1:41">
      <c r="I1754" t="s">
        <v>178</v>
      </c>
      <c r="J1754">
        <f>IFERROR(VLOOKUP("906-487000-110",B:AB,1+8,0),0)</f>
        <v>0</v>
      </c>
      <c r="K1754">
        <f>IFERROR(VLOOKUP("906-487000-110",B:AB,2+8,0),0)</f>
        <v>0</v>
      </c>
      <c r="L1754">
        <f>IFERROR(VLOOKUP("906-487000-110",B:AB,3+8,0),0)</f>
        <v>0</v>
      </c>
      <c r="M1754">
        <f>IFERROR(VLOOKUP("906-487000-110",B:AB,4+8,0),0)</f>
        <v>0</v>
      </c>
      <c r="N1754">
        <f>IFERROR(VLOOKUP("906-487000-110",B:AB,5+8,0),0)</f>
        <v>0</v>
      </c>
      <c r="O1754">
        <f>IFERROR(VLOOKUP("906-487000-110",B:AB,6+8,0),0)</f>
        <v>0</v>
      </c>
      <c r="P1754">
        <f>IFERROR(VLOOKUP("906-487000-110",B:AB,7+8,0),0)</f>
        <v>0</v>
      </c>
      <c r="Q1754">
        <f>IFERROR(VLOOKUP("906-487000-110",B:AB,8+8,0),0)</f>
        <v>0</v>
      </c>
      <c r="R1754">
        <f>IFERROR(VLOOKUP("906-487000-110",B:AB,9+8,0),0)</f>
        <v>0</v>
      </c>
      <c r="S1754">
        <f>IFERROR(VLOOKUP("906-487000-110",B:AB,10+8,0),0)</f>
        <v>0</v>
      </c>
      <c r="T1754">
        <f>IFERROR(VLOOKUP("906-487000-110",B:AB,11+8,0),0)</f>
        <v>0</v>
      </c>
      <c r="U1754">
        <f>IFERROR(VLOOKUP("906-487000-110",B:AB,12+8,0),0)</f>
        <v>0</v>
      </c>
      <c r="V1754">
        <f>IFERROR(VLOOKUP("906-487000-110",B:AB,13+8,0),0)</f>
        <v>0</v>
      </c>
      <c r="W1754">
        <f>IFERROR(VLOOKUP("906-487000-110",B:AB,14+8,0),0)</f>
        <v>0</v>
      </c>
      <c r="X1754">
        <f>IFERROR(VLOOKUP("906-487000-110",B:AB,15+8,0),0)</f>
        <v>0</v>
      </c>
      <c r="Y1754">
        <f>IFERROR(VLOOKUP("906-487000-110",B:AB,16+8,0),0)</f>
        <v>0</v>
      </c>
      <c r="Z1754">
        <f>IFERROR(VLOOKUP("906-487000-110",B:AB,17+8,0),0)</f>
        <v>0</v>
      </c>
      <c r="AA1754">
        <f>IFERROR(VLOOKUP("906-487000-110",B:AB,18+8,0),0)</f>
        <v>0</v>
      </c>
      <c r="AB1754">
        <f>IFERROR(VLOOKUP("906-487000-110",B:AB,19+8,0),0)</f>
        <v>0</v>
      </c>
      <c r="AC1754">
        <f>IFERROR(VLOOKUP("906-487000-110",B:AB,20+8,0),0)</f>
        <v>0</v>
      </c>
      <c r="AD1754">
        <f>IFERROR(VLOOKUP("906-487000-110",B:AB,21+8,0),0)</f>
        <v>0</v>
      </c>
      <c r="AE1754">
        <f>IFERROR(VLOOKUP("906-487000-110",B:AB,22+8,0),0)</f>
        <v>0</v>
      </c>
      <c r="AF1754">
        <f>IFERROR(VLOOKUP("906-487000-110",B:AB,23+8,0),0)</f>
        <v>0</v>
      </c>
      <c r="AG1754">
        <f>IFERROR(VLOOKUP("906-487000-110",B:AB,24+8,0),0)</f>
        <v>0</v>
      </c>
      <c r="AH1754">
        <f>IFERROR(VLOOKUP("906-487000-110",B:AB,25+8,0),0)</f>
        <v>0</v>
      </c>
      <c r="AI1754">
        <f>IFERROR(VLOOKUP("906-487000-110",B:AB,26+8,0),0)</f>
        <v>0</v>
      </c>
      <c r="AJ1754">
        <f>IFERROR(VLOOKUP("906-487000-110",B:AB,27+8,0),0)</f>
        <v>0</v>
      </c>
      <c r="AK1754">
        <f>IFERROR(VLOOKUP("906-487000-110",B:AB,28+8,0),0)</f>
        <v>0</v>
      </c>
      <c r="AL1754">
        <f>IFERROR(VLOOKUP("906-487000-110",B:AB,29+8,0),0)</f>
        <v>0</v>
      </c>
      <c r="AM1754">
        <f>IFERROR(VLOOKUP("906-487000-110",B:AB,30+8,0),0)</f>
        <v>0</v>
      </c>
      <c r="AN1754">
        <f>IFERROR(VLOOKUP("906-487000-110",B:AB,31+8,0),0)</f>
        <v>0</v>
      </c>
      <c r="AO1754">
        <f>SUN(INDIRECT(ADDRESS(1753,8)):INDIRECT(ADDRESS(1753,39)))</f>
        <v>0</v>
      </c>
    </row>
    <row r="1755" spans="1:41">
      <c r="H1755" t="s">
        <v>179</v>
      </c>
      <c r="J1755">
        <f>INDIRECT(ADDRESS(1755,9))+INDIRECT(ADDRESS(1753,10))-INDIRECT(ADDRESS(1754,10))</f>
        <v>0</v>
      </c>
      <c r="K1755">
        <f>INDIRECT(ADDRESS(1755,10))+INDIRECT(ADDRESS(1753,11))-INDIRECT(ADDRESS(1754,11))</f>
        <v>0</v>
      </c>
      <c r="L1755">
        <f>INDIRECT(ADDRESS(1755,11))+INDIRECT(ADDRESS(1753,12))-INDIRECT(ADDRESS(1754,12))</f>
        <v>0</v>
      </c>
      <c r="M1755">
        <f>INDIRECT(ADDRESS(1755,12))+INDIRECT(ADDRESS(1753,13))-INDIRECT(ADDRESS(1754,13))</f>
        <v>0</v>
      </c>
      <c r="N1755">
        <f>INDIRECT(ADDRESS(1755,13))+INDIRECT(ADDRESS(1753,14))-INDIRECT(ADDRESS(1754,14))</f>
        <v>0</v>
      </c>
      <c r="O1755">
        <f>INDIRECT(ADDRESS(1755,14))+INDIRECT(ADDRESS(1753,15))-INDIRECT(ADDRESS(1754,15))</f>
        <v>0</v>
      </c>
      <c r="P1755">
        <f>INDIRECT(ADDRESS(1755,15))+INDIRECT(ADDRESS(1753,16))-INDIRECT(ADDRESS(1754,16))</f>
        <v>0</v>
      </c>
      <c r="Q1755">
        <f>INDIRECT(ADDRESS(1755,16))+INDIRECT(ADDRESS(1753,17))-INDIRECT(ADDRESS(1754,17))</f>
        <v>0</v>
      </c>
      <c r="R1755">
        <f>INDIRECT(ADDRESS(1755,17))+INDIRECT(ADDRESS(1753,18))-INDIRECT(ADDRESS(1754,18))</f>
        <v>0</v>
      </c>
      <c r="S1755">
        <f>INDIRECT(ADDRESS(1755,18))+INDIRECT(ADDRESS(1753,19))-INDIRECT(ADDRESS(1754,19))</f>
        <v>0</v>
      </c>
      <c r="T1755">
        <f>INDIRECT(ADDRESS(1755,19))+INDIRECT(ADDRESS(1753,20))-INDIRECT(ADDRESS(1754,20))</f>
        <v>0</v>
      </c>
      <c r="U1755">
        <f>INDIRECT(ADDRESS(1755,20))+INDIRECT(ADDRESS(1753,21))-INDIRECT(ADDRESS(1754,21))</f>
        <v>0</v>
      </c>
      <c r="V1755">
        <f>INDIRECT(ADDRESS(1755,21))+INDIRECT(ADDRESS(1753,22))-INDIRECT(ADDRESS(1754,22))</f>
        <v>0</v>
      </c>
      <c r="W1755">
        <f>INDIRECT(ADDRESS(1755,22))+INDIRECT(ADDRESS(1753,23))-INDIRECT(ADDRESS(1754,23))</f>
        <v>0</v>
      </c>
      <c r="X1755">
        <f>INDIRECT(ADDRESS(1755,23))+INDIRECT(ADDRESS(1753,24))-INDIRECT(ADDRESS(1754,24))</f>
        <v>0</v>
      </c>
      <c r="Y1755">
        <f>INDIRECT(ADDRESS(1755,24))+INDIRECT(ADDRESS(1753,25))-INDIRECT(ADDRESS(1754,25))</f>
        <v>0</v>
      </c>
      <c r="Z1755">
        <f>INDIRECT(ADDRESS(1755,25))+INDIRECT(ADDRESS(1753,26))-INDIRECT(ADDRESS(1754,26))</f>
        <v>0</v>
      </c>
      <c r="AA1755">
        <f>INDIRECT(ADDRESS(1755,26))+INDIRECT(ADDRESS(1753,27))-INDIRECT(ADDRESS(1754,27))</f>
        <v>0</v>
      </c>
      <c r="AB1755">
        <f>INDIRECT(ADDRESS(1755,27))+INDIRECT(ADDRESS(1753,28))-INDIRECT(ADDRESS(1754,28))</f>
        <v>0</v>
      </c>
      <c r="AC1755">
        <f>INDIRECT(ADDRESS(1755,28))+INDIRECT(ADDRESS(1753,29))-INDIRECT(ADDRESS(1754,29))</f>
        <v>0</v>
      </c>
      <c r="AD1755">
        <f>INDIRECT(ADDRESS(1755,29))+INDIRECT(ADDRESS(1753,30))-INDIRECT(ADDRESS(1754,30))</f>
        <v>0</v>
      </c>
      <c r="AE1755">
        <f>INDIRECT(ADDRESS(1755,30))+INDIRECT(ADDRESS(1753,31))-INDIRECT(ADDRESS(1754,31))</f>
        <v>0</v>
      </c>
      <c r="AF1755">
        <f>INDIRECT(ADDRESS(1755,31))+INDIRECT(ADDRESS(1753,32))-INDIRECT(ADDRESS(1754,32))</f>
        <v>0</v>
      </c>
      <c r="AG1755">
        <f>INDIRECT(ADDRESS(1755,32))+INDIRECT(ADDRESS(1753,33))-INDIRECT(ADDRESS(1754,33))</f>
        <v>0</v>
      </c>
      <c r="AH1755">
        <f>INDIRECT(ADDRESS(1755,33))+INDIRECT(ADDRESS(1753,34))-INDIRECT(ADDRESS(1754,34))</f>
        <v>0</v>
      </c>
      <c r="AI1755">
        <f>INDIRECT(ADDRESS(1755,34))+INDIRECT(ADDRESS(1753,35))-INDIRECT(ADDRESS(1754,35))</f>
        <v>0</v>
      </c>
      <c r="AJ1755">
        <f>INDIRECT(ADDRESS(1755,35))+INDIRECT(ADDRESS(1753,36))-INDIRECT(ADDRESS(1754,36))</f>
        <v>0</v>
      </c>
      <c r="AK1755">
        <f>INDIRECT(ADDRESS(1755,36))+INDIRECT(ADDRESS(1753,37))-INDIRECT(ADDRESS(1754,37))</f>
        <v>0</v>
      </c>
      <c r="AL1755">
        <f>INDIRECT(ADDRESS(1755,37))+INDIRECT(ADDRESS(1753,38))-INDIRECT(ADDRESS(1754,38))</f>
        <v>0</v>
      </c>
      <c r="AM1755">
        <f>INDIRECT(ADDRESS(1755,38))+INDIRECT(ADDRESS(1753,39))-INDIRECT(ADDRESS(1754,39))</f>
        <v>0</v>
      </c>
      <c r="AN1755">
        <f>INDIRECT(ADDRESS(1755,39))+INDIRECT(ADDRESS(1753,40))-INDIRECT(ADDRESS(1754,40))</f>
        <v>0</v>
      </c>
      <c r="AO1755">
        <f>SUM(INDIRECT(ADDRESS(1754,8)):INDIRECT(ADDRESS(1754,39)))</f>
        <v>0</v>
      </c>
    </row>
    <row r="1756" spans="1:41">
      <c r="A1756" t="s">
        <v>185</v>
      </c>
      <c r="B1756" t="s">
        <v>827</v>
      </c>
      <c r="C1756" t="s">
        <v>146</v>
      </c>
      <c r="E1756">
        <v>1</v>
      </c>
      <c r="I1756" t="s">
        <v>177</v>
      </c>
    </row>
    <row r="1757" spans="1:41">
      <c r="I1757" t="s">
        <v>178</v>
      </c>
      <c r="J1757">
        <f>IFERROR(VLOOKUP("906-487000-110",B:AB,1+8,0),0)</f>
        <v>0</v>
      </c>
      <c r="K1757">
        <f>IFERROR(VLOOKUP("906-487000-110",B:AB,2+8,0),0)</f>
        <v>0</v>
      </c>
      <c r="L1757">
        <f>IFERROR(VLOOKUP("906-487000-110",B:AB,3+8,0),0)</f>
        <v>0</v>
      </c>
      <c r="M1757">
        <f>IFERROR(VLOOKUP("906-487000-110",B:AB,4+8,0),0)</f>
        <v>0</v>
      </c>
      <c r="N1757">
        <f>IFERROR(VLOOKUP("906-487000-110",B:AB,5+8,0),0)</f>
        <v>0</v>
      </c>
      <c r="O1757">
        <f>IFERROR(VLOOKUP("906-487000-110",B:AB,6+8,0),0)</f>
        <v>0</v>
      </c>
      <c r="P1757">
        <f>IFERROR(VLOOKUP("906-487000-110",B:AB,7+8,0),0)</f>
        <v>0</v>
      </c>
      <c r="Q1757">
        <f>IFERROR(VLOOKUP("906-487000-110",B:AB,8+8,0),0)</f>
        <v>0</v>
      </c>
      <c r="R1757">
        <f>IFERROR(VLOOKUP("906-487000-110",B:AB,9+8,0),0)</f>
        <v>0</v>
      </c>
      <c r="S1757">
        <f>IFERROR(VLOOKUP("906-487000-110",B:AB,10+8,0),0)</f>
        <v>0</v>
      </c>
      <c r="T1757">
        <f>IFERROR(VLOOKUP("906-487000-110",B:AB,11+8,0),0)</f>
        <v>0</v>
      </c>
      <c r="U1757">
        <f>IFERROR(VLOOKUP("906-487000-110",B:AB,12+8,0),0)</f>
        <v>0</v>
      </c>
      <c r="V1757">
        <f>IFERROR(VLOOKUP("906-487000-110",B:AB,13+8,0),0)</f>
        <v>0</v>
      </c>
      <c r="W1757">
        <f>IFERROR(VLOOKUP("906-487000-110",B:AB,14+8,0),0)</f>
        <v>0</v>
      </c>
      <c r="X1757">
        <f>IFERROR(VLOOKUP("906-487000-110",B:AB,15+8,0),0)</f>
        <v>0</v>
      </c>
      <c r="Y1757">
        <f>IFERROR(VLOOKUP("906-487000-110",B:AB,16+8,0),0)</f>
        <v>0</v>
      </c>
      <c r="Z1757">
        <f>IFERROR(VLOOKUP("906-487000-110",B:AB,17+8,0),0)</f>
        <v>0</v>
      </c>
      <c r="AA1757">
        <f>IFERROR(VLOOKUP("906-487000-110",B:AB,18+8,0),0)</f>
        <v>0</v>
      </c>
      <c r="AB1757">
        <f>IFERROR(VLOOKUP("906-487000-110",B:AB,19+8,0),0)</f>
        <v>0</v>
      </c>
      <c r="AC1757">
        <f>IFERROR(VLOOKUP("906-487000-110",B:AB,20+8,0),0)</f>
        <v>0</v>
      </c>
      <c r="AD1757">
        <f>IFERROR(VLOOKUP("906-487000-110",B:AB,21+8,0),0)</f>
        <v>0</v>
      </c>
      <c r="AE1757">
        <f>IFERROR(VLOOKUP("906-487000-110",B:AB,22+8,0),0)</f>
        <v>0</v>
      </c>
      <c r="AF1757">
        <f>IFERROR(VLOOKUP("906-487000-110",B:AB,23+8,0),0)</f>
        <v>0</v>
      </c>
      <c r="AG1757">
        <f>IFERROR(VLOOKUP("906-487000-110",B:AB,24+8,0),0)</f>
        <v>0</v>
      </c>
      <c r="AH1757">
        <f>IFERROR(VLOOKUP("906-487000-110",B:AB,25+8,0),0)</f>
        <v>0</v>
      </c>
      <c r="AI1757">
        <f>IFERROR(VLOOKUP("906-487000-110",B:AB,26+8,0),0)</f>
        <v>0</v>
      </c>
      <c r="AJ1757">
        <f>IFERROR(VLOOKUP("906-487000-110",B:AB,27+8,0),0)</f>
        <v>0</v>
      </c>
      <c r="AK1757">
        <f>IFERROR(VLOOKUP("906-487000-110",B:AB,28+8,0),0)</f>
        <v>0</v>
      </c>
      <c r="AL1757">
        <f>IFERROR(VLOOKUP("906-487000-110",B:AB,29+8,0),0)</f>
        <v>0</v>
      </c>
      <c r="AM1757">
        <f>IFERROR(VLOOKUP("906-487000-110",B:AB,30+8,0),0)</f>
        <v>0</v>
      </c>
      <c r="AN1757">
        <f>IFERROR(VLOOKUP("906-487000-110",B:AB,31+8,0),0)</f>
        <v>0</v>
      </c>
      <c r="AO1757">
        <f>SUN(INDIRECT(ADDRESS(1756,8)):INDIRECT(ADDRESS(1756,39)))</f>
        <v>0</v>
      </c>
    </row>
    <row r="1758" spans="1:41">
      <c r="H1758" t="s">
        <v>179</v>
      </c>
      <c r="J1758">
        <f>INDIRECT(ADDRESS(1758,9))+INDIRECT(ADDRESS(1756,10))-INDIRECT(ADDRESS(1757,10))</f>
        <v>0</v>
      </c>
      <c r="K1758">
        <f>INDIRECT(ADDRESS(1758,10))+INDIRECT(ADDRESS(1756,11))-INDIRECT(ADDRESS(1757,11))</f>
        <v>0</v>
      </c>
      <c r="L1758">
        <f>INDIRECT(ADDRESS(1758,11))+INDIRECT(ADDRESS(1756,12))-INDIRECT(ADDRESS(1757,12))</f>
        <v>0</v>
      </c>
      <c r="M1758">
        <f>INDIRECT(ADDRESS(1758,12))+INDIRECT(ADDRESS(1756,13))-INDIRECT(ADDRESS(1757,13))</f>
        <v>0</v>
      </c>
      <c r="N1758">
        <f>INDIRECT(ADDRESS(1758,13))+INDIRECT(ADDRESS(1756,14))-INDIRECT(ADDRESS(1757,14))</f>
        <v>0</v>
      </c>
      <c r="O1758">
        <f>INDIRECT(ADDRESS(1758,14))+INDIRECT(ADDRESS(1756,15))-INDIRECT(ADDRESS(1757,15))</f>
        <v>0</v>
      </c>
      <c r="P1758">
        <f>INDIRECT(ADDRESS(1758,15))+INDIRECT(ADDRESS(1756,16))-INDIRECT(ADDRESS(1757,16))</f>
        <v>0</v>
      </c>
      <c r="Q1758">
        <f>INDIRECT(ADDRESS(1758,16))+INDIRECT(ADDRESS(1756,17))-INDIRECT(ADDRESS(1757,17))</f>
        <v>0</v>
      </c>
      <c r="R1758">
        <f>INDIRECT(ADDRESS(1758,17))+INDIRECT(ADDRESS(1756,18))-INDIRECT(ADDRESS(1757,18))</f>
        <v>0</v>
      </c>
      <c r="S1758">
        <f>INDIRECT(ADDRESS(1758,18))+INDIRECT(ADDRESS(1756,19))-INDIRECT(ADDRESS(1757,19))</f>
        <v>0</v>
      </c>
      <c r="T1758">
        <f>INDIRECT(ADDRESS(1758,19))+INDIRECT(ADDRESS(1756,20))-INDIRECT(ADDRESS(1757,20))</f>
        <v>0</v>
      </c>
      <c r="U1758">
        <f>INDIRECT(ADDRESS(1758,20))+INDIRECT(ADDRESS(1756,21))-INDIRECT(ADDRESS(1757,21))</f>
        <v>0</v>
      </c>
      <c r="V1758">
        <f>INDIRECT(ADDRESS(1758,21))+INDIRECT(ADDRESS(1756,22))-INDIRECT(ADDRESS(1757,22))</f>
        <v>0</v>
      </c>
      <c r="W1758">
        <f>INDIRECT(ADDRESS(1758,22))+INDIRECT(ADDRESS(1756,23))-INDIRECT(ADDRESS(1757,23))</f>
        <v>0</v>
      </c>
      <c r="X1758">
        <f>INDIRECT(ADDRESS(1758,23))+INDIRECT(ADDRESS(1756,24))-INDIRECT(ADDRESS(1757,24))</f>
        <v>0</v>
      </c>
      <c r="Y1758">
        <f>INDIRECT(ADDRESS(1758,24))+INDIRECT(ADDRESS(1756,25))-INDIRECT(ADDRESS(1757,25))</f>
        <v>0</v>
      </c>
      <c r="Z1758">
        <f>INDIRECT(ADDRESS(1758,25))+INDIRECT(ADDRESS(1756,26))-INDIRECT(ADDRESS(1757,26))</f>
        <v>0</v>
      </c>
      <c r="AA1758">
        <f>INDIRECT(ADDRESS(1758,26))+INDIRECT(ADDRESS(1756,27))-INDIRECT(ADDRESS(1757,27))</f>
        <v>0</v>
      </c>
      <c r="AB1758">
        <f>INDIRECT(ADDRESS(1758,27))+INDIRECT(ADDRESS(1756,28))-INDIRECT(ADDRESS(1757,28))</f>
        <v>0</v>
      </c>
      <c r="AC1758">
        <f>INDIRECT(ADDRESS(1758,28))+INDIRECT(ADDRESS(1756,29))-INDIRECT(ADDRESS(1757,29))</f>
        <v>0</v>
      </c>
      <c r="AD1758">
        <f>INDIRECT(ADDRESS(1758,29))+INDIRECT(ADDRESS(1756,30))-INDIRECT(ADDRESS(1757,30))</f>
        <v>0</v>
      </c>
      <c r="AE1758">
        <f>INDIRECT(ADDRESS(1758,30))+INDIRECT(ADDRESS(1756,31))-INDIRECT(ADDRESS(1757,31))</f>
        <v>0</v>
      </c>
      <c r="AF1758">
        <f>INDIRECT(ADDRESS(1758,31))+INDIRECT(ADDRESS(1756,32))-INDIRECT(ADDRESS(1757,32))</f>
        <v>0</v>
      </c>
      <c r="AG1758">
        <f>INDIRECT(ADDRESS(1758,32))+INDIRECT(ADDRESS(1756,33))-INDIRECT(ADDRESS(1757,33))</f>
        <v>0</v>
      </c>
      <c r="AH1758">
        <f>INDIRECT(ADDRESS(1758,33))+INDIRECT(ADDRESS(1756,34))-INDIRECT(ADDRESS(1757,34))</f>
        <v>0</v>
      </c>
      <c r="AI1758">
        <f>INDIRECT(ADDRESS(1758,34))+INDIRECT(ADDRESS(1756,35))-INDIRECT(ADDRESS(1757,35))</f>
        <v>0</v>
      </c>
      <c r="AJ1758">
        <f>INDIRECT(ADDRESS(1758,35))+INDIRECT(ADDRESS(1756,36))-INDIRECT(ADDRESS(1757,36))</f>
        <v>0</v>
      </c>
      <c r="AK1758">
        <f>INDIRECT(ADDRESS(1758,36))+INDIRECT(ADDRESS(1756,37))-INDIRECT(ADDRESS(1757,37))</f>
        <v>0</v>
      </c>
      <c r="AL1758">
        <f>INDIRECT(ADDRESS(1758,37))+INDIRECT(ADDRESS(1756,38))-INDIRECT(ADDRESS(1757,38))</f>
        <v>0</v>
      </c>
      <c r="AM1758">
        <f>INDIRECT(ADDRESS(1758,38))+INDIRECT(ADDRESS(1756,39))-INDIRECT(ADDRESS(1757,39))</f>
        <v>0</v>
      </c>
      <c r="AN1758">
        <f>INDIRECT(ADDRESS(1758,39))+INDIRECT(ADDRESS(1756,40))-INDIRECT(ADDRESS(1757,40))</f>
        <v>0</v>
      </c>
      <c r="AO1758">
        <f>SUM(INDIRECT(ADDRESS(1757,8)):INDIRECT(ADDRESS(1757,39)))</f>
        <v>0</v>
      </c>
    </row>
    <row r="1759" spans="1:41">
      <c r="A1759" t="s">
        <v>8</v>
      </c>
      <c r="B1759" t="s">
        <v>145</v>
      </c>
      <c r="C1759" t="s">
        <v>146</v>
      </c>
      <c r="E1759">
        <v>1</v>
      </c>
      <c r="I1759" t="s">
        <v>177</v>
      </c>
    </row>
    <row r="1760" spans="1:41">
      <c r="I1760" t="s">
        <v>178</v>
      </c>
      <c r="J1760">
        <f>IFERROR(VLOOKUP("906-442000-110",Out!B:AB,1+8,0),0)</f>
        <v>0</v>
      </c>
      <c r="K1760">
        <f>IFERROR(VLOOKUP("906-442000-110",Out!B:AB,2+8,0),0)</f>
        <v>0</v>
      </c>
      <c r="L1760">
        <f>IFERROR(VLOOKUP("906-442000-110",Out!B:AB,3+8,0),0)</f>
        <v>0</v>
      </c>
      <c r="M1760">
        <f>IFERROR(VLOOKUP("906-442000-110",Out!B:AB,4+8,0),0)</f>
        <v>0</v>
      </c>
      <c r="N1760">
        <f>IFERROR(VLOOKUP("906-442000-110",Out!B:AB,5+8,0),0)</f>
        <v>0</v>
      </c>
      <c r="O1760">
        <f>IFERROR(VLOOKUP("906-442000-110",Out!B:AB,6+8,0),0)</f>
        <v>0</v>
      </c>
      <c r="P1760">
        <f>IFERROR(VLOOKUP("906-442000-110",Out!B:AB,7+8,0),0)</f>
        <v>0</v>
      </c>
      <c r="Q1760">
        <f>IFERROR(VLOOKUP("906-442000-110",Out!B:AB,8+8,0),0)</f>
        <v>0</v>
      </c>
      <c r="R1760">
        <f>IFERROR(VLOOKUP("906-442000-110",Out!B:AB,9+8,0),0)</f>
        <v>0</v>
      </c>
      <c r="S1760">
        <f>IFERROR(VLOOKUP("906-442000-110",Out!B:AB,10+8,0),0)</f>
        <v>0</v>
      </c>
      <c r="T1760">
        <f>IFERROR(VLOOKUP("906-442000-110",Out!B:AB,11+8,0),0)</f>
        <v>0</v>
      </c>
      <c r="U1760">
        <f>IFERROR(VLOOKUP("906-442000-110",Out!B:AB,12+8,0),0)</f>
        <v>0</v>
      </c>
      <c r="V1760">
        <f>IFERROR(VLOOKUP("906-442000-110",Out!B:AB,13+8,0),0)</f>
        <v>0</v>
      </c>
      <c r="W1760">
        <f>IFERROR(VLOOKUP("906-442000-110",Out!B:AB,14+8,0),0)</f>
        <v>0</v>
      </c>
      <c r="X1760">
        <f>IFERROR(VLOOKUP("906-442000-110",Out!B:AB,15+8,0),0)</f>
        <v>0</v>
      </c>
      <c r="Y1760">
        <f>IFERROR(VLOOKUP("906-442000-110",Out!B:AB,16+8,0),0)</f>
        <v>0</v>
      </c>
      <c r="Z1760">
        <f>IFERROR(VLOOKUP("906-442000-110",Out!B:AB,17+8,0),0)</f>
        <v>0</v>
      </c>
      <c r="AA1760">
        <f>IFERROR(VLOOKUP("906-442000-110",Out!B:AB,18+8,0),0)</f>
        <v>0</v>
      </c>
      <c r="AB1760">
        <f>IFERROR(VLOOKUP("906-442000-110",Out!B:AB,19+8,0),0)</f>
        <v>0</v>
      </c>
      <c r="AC1760">
        <f>IFERROR(VLOOKUP("906-442000-110",Out!B:AB,20+8,0),0)</f>
        <v>0</v>
      </c>
      <c r="AD1760">
        <f>IFERROR(VLOOKUP("906-442000-110",Out!B:AB,21+8,0),0)</f>
        <v>0</v>
      </c>
      <c r="AE1760">
        <f>IFERROR(VLOOKUP("906-442000-110",Out!B:AB,22+8,0),0)</f>
        <v>0</v>
      </c>
      <c r="AF1760">
        <f>IFERROR(VLOOKUP("906-442000-110",Out!B:AB,23+8,0),0)</f>
        <v>0</v>
      </c>
      <c r="AG1760">
        <f>IFERROR(VLOOKUP("906-442000-110",Out!B:AB,24+8,0),0)</f>
        <v>0</v>
      </c>
      <c r="AH1760">
        <f>IFERROR(VLOOKUP("906-442000-110",Out!B:AB,25+8,0),0)</f>
        <v>0</v>
      </c>
      <c r="AI1760">
        <f>IFERROR(VLOOKUP("906-442000-110",Out!B:AB,26+8,0),0)</f>
        <v>0</v>
      </c>
      <c r="AJ1760">
        <f>IFERROR(VLOOKUP("906-442000-110",Out!B:AB,27+8,0),0)</f>
        <v>0</v>
      </c>
      <c r="AK1760">
        <f>IFERROR(VLOOKUP("906-442000-110",Out!B:AB,28+8,0),0)</f>
        <v>0</v>
      </c>
      <c r="AL1760">
        <f>IFERROR(VLOOKUP("906-442000-110",Out!B:AB,29+8,0),0)</f>
        <v>0</v>
      </c>
      <c r="AM1760">
        <f>IFERROR(VLOOKUP("906-442000-110",Out!B:AB,30+8,0),0)</f>
        <v>0</v>
      </c>
      <c r="AN1760">
        <f>IFERROR(VLOOKUP("906-442000-110",Out!B:AB,31+8,0),0)</f>
        <v>0</v>
      </c>
      <c r="AO1760">
        <f>SUN(INDIRECT(ADDRESS(1759,8)):INDIRECT(ADDRESS(1759,39)))</f>
        <v>0</v>
      </c>
    </row>
    <row r="1761" spans="1:41">
      <c r="H1761" t="s">
        <v>179</v>
      </c>
      <c r="J1761">
        <f>INDIRECT(ADDRESS(1761,9))+INDIRECT(ADDRESS(1759,10))-INDIRECT(ADDRESS(1760,10))</f>
        <v>0</v>
      </c>
      <c r="K1761">
        <f>INDIRECT(ADDRESS(1761,10))+INDIRECT(ADDRESS(1759,11))-INDIRECT(ADDRESS(1760,11))</f>
        <v>0</v>
      </c>
      <c r="L1761">
        <f>INDIRECT(ADDRESS(1761,11))+INDIRECT(ADDRESS(1759,12))-INDIRECT(ADDRESS(1760,12))</f>
        <v>0</v>
      </c>
      <c r="M1761">
        <f>INDIRECT(ADDRESS(1761,12))+INDIRECT(ADDRESS(1759,13))-INDIRECT(ADDRESS(1760,13))</f>
        <v>0</v>
      </c>
      <c r="N1761">
        <f>INDIRECT(ADDRESS(1761,13))+INDIRECT(ADDRESS(1759,14))-INDIRECT(ADDRESS(1760,14))</f>
        <v>0</v>
      </c>
      <c r="O1761">
        <f>INDIRECT(ADDRESS(1761,14))+INDIRECT(ADDRESS(1759,15))-INDIRECT(ADDRESS(1760,15))</f>
        <v>0</v>
      </c>
      <c r="P1761">
        <f>INDIRECT(ADDRESS(1761,15))+INDIRECT(ADDRESS(1759,16))-INDIRECT(ADDRESS(1760,16))</f>
        <v>0</v>
      </c>
      <c r="Q1761">
        <f>INDIRECT(ADDRESS(1761,16))+INDIRECT(ADDRESS(1759,17))-INDIRECT(ADDRESS(1760,17))</f>
        <v>0</v>
      </c>
      <c r="R1761">
        <f>INDIRECT(ADDRESS(1761,17))+INDIRECT(ADDRESS(1759,18))-INDIRECT(ADDRESS(1760,18))</f>
        <v>0</v>
      </c>
      <c r="S1761">
        <f>INDIRECT(ADDRESS(1761,18))+INDIRECT(ADDRESS(1759,19))-INDIRECT(ADDRESS(1760,19))</f>
        <v>0</v>
      </c>
      <c r="T1761">
        <f>INDIRECT(ADDRESS(1761,19))+INDIRECT(ADDRESS(1759,20))-INDIRECT(ADDRESS(1760,20))</f>
        <v>0</v>
      </c>
      <c r="U1761">
        <f>INDIRECT(ADDRESS(1761,20))+INDIRECT(ADDRESS(1759,21))-INDIRECT(ADDRESS(1760,21))</f>
        <v>0</v>
      </c>
      <c r="V1761">
        <f>INDIRECT(ADDRESS(1761,21))+INDIRECT(ADDRESS(1759,22))-INDIRECT(ADDRESS(1760,22))</f>
        <v>0</v>
      </c>
      <c r="W1761">
        <f>INDIRECT(ADDRESS(1761,22))+INDIRECT(ADDRESS(1759,23))-INDIRECT(ADDRESS(1760,23))</f>
        <v>0</v>
      </c>
      <c r="X1761">
        <f>INDIRECT(ADDRESS(1761,23))+INDIRECT(ADDRESS(1759,24))-INDIRECT(ADDRESS(1760,24))</f>
        <v>0</v>
      </c>
      <c r="Y1761">
        <f>INDIRECT(ADDRESS(1761,24))+INDIRECT(ADDRESS(1759,25))-INDIRECT(ADDRESS(1760,25))</f>
        <v>0</v>
      </c>
      <c r="Z1761">
        <f>INDIRECT(ADDRESS(1761,25))+INDIRECT(ADDRESS(1759,26))-INDIRECT(ADDRESS(1760,26))</f>
        <v>0</v>
      </c>
      <c r="AA1761">
        <f>INDIRECT(ADDRESS(1761,26))+INDIRECT(ADDRESS(1759,27))-INDIRECT(ADDRESS(1760,27))</f>
        <v>0</v>
      </c>
      <c r="AB1761">
        <f>INDIRECT(ADDRESS(1761,27))+INDIRECT(ADDRESS(1759,28))-INDIRECT(ADDRESS(1760,28))</f>
        <v>0</v>
      </c>
      <c r="AC1761">
        <f>INDIRECT(ADDRESS(1761,28))+INDIRECT(ADDRESS(1759,29))-INDIRECT(ADDRESS(1760,29))</f>
        <v>0</v>
      </c>
      <c r="AD1761">
        <f>INDIRECT(ADDRESS(1761,29))+INDIRECT(ADDRESS(1759,30))-INDIRECT(ADDRESS(1760,30))</f>
        <v>0</v>
      </c>
      <c r="AE1761">
        <f>INDIRECT(ADDRESS(1761,30))+INDIRECT(ADDRESS(1759,31))-INDIRECT(ADDRESS(1760,31))</f>
        <v>0</v>
      </c>
      <c r="AF1761">
        <f>INDIRECT(ADDRESS(1761,31))+INDIRECT(ADDRESS(1759,32))-INDIRECT(ADDRESS(1760,32))</f>
        <v>0</v>
      </c>
      <c r="AG1761">
        <f>INDIRECT(ADDRESS(1761,32))+INDIRECT(ADDRESS(1759,33))-INDIRECT(ADDRESS(1760,33))</f>
        <v>0</v>
      </c>
      <c r="AH1761">
        <f>INDIRECT(ADDRESS(1761,33))+INDIRECT(ADDRESS(1759,34))-INDIRECT(ADDRESS(1760,34))</f>
        <v>0</v>
      </c>
      <c r="AI1761">
        <f>INDIRECT(ADDRESS(1761,34))+INDIRECT(ADDRESS(1759,35))-INDIRECT(ADDRESS(1760,35))</f>
        <v>0</v>
      </c>
      <c r="AJ1761">
        <f>INDIRECT(ADDRESS(1761,35))+INDIRECT(ADDRESS(1759,36))-INDIRECT(ADDRESS(1760,36))</f>
        <v>0</v>
      </c>
      <c r="AK1761">
        <f>INDIRECT(ADDRESS(1761,36))+INDIRECT(ADDRESS(1759,37))-INDIRECT(ADDRESS(1760,37))</f>
        <v>0</v>
      </c>
      <c r="AL1761">
        <f>INDIRECT(ADDRESS(1761,37))+INDIRECT(ADDRESS(1759,38))-INDIRECT(ADDRESS(1760,38))</f>
        <v>0</v>
      </c>
      <c r="AM1761">
        <f>INDIRECT(ADDRESS(1761,38))+INDIRECT(ADDRESS(1759,39))-INDIRECT(ADDRESS(1760,39))</f>
        <v>0</v>
      </c>
      <c r="AN1761">
        <f>INDIRECT(ADDRESS(1761,39))+INDIRECT(ADDRESS(1759,40))-INDIRECT(ADDRESS(1760,40))</f>
        <v>0</v>
      </c>
      <c r="AO1761">
        <f>SUM(INDIRECT(ADDRESS(1760,8)):INDIRECT(ADDRESS(1760,39)))</f>
        <v>0</v>
      </c>
    </row>
    <row r="1762" spans="1:41">
      <c r="A1762" t="s">
        <v>180</v>
      </c>
      <c r="B1762" t="s">
        <v>828</v>
      </c>
      <c r="C1762" t="s">
        <v>146</v>
      </c>
      <c r="E1762">
        <v>1</v>
      </c>
      <c r="I1762" t="s">
        <v>177</v>
      </c>
    </row>
    <row r="1763" spans="1:41">
      <c r="I1763" t="s">
        <v>178</v>
      </c>
      <c r="J1763">
        <f>IFERROR(VLOOKUP("906-442000-110",B:AB,1+8,0),0)</f>
        <v>0</v>
      </c>
      <c r="K1763">
        <f>IFERROR(VLOOKUP("906-442000-110",B:AB,2+8,0),0)</f>
        <v>0</v>
      </c>
      <c r="L1763">
        <f>IFERROR(VLOOKUP("906-442000-110",B:AB,3+8,0),0)</f>
        <v>0</v>
      </c>
      <c r="M1763">
        <f>IFERROR(VLOOKUP("906-442000-110",B:AB,4+8,0),0)</f>
        <v>0</v>
      </c>
      <c r="N1763">
        <f>IFERROR(VLOOKUP("906-442000-110",B:AB,5+8,0),0)</f>
        <v>0</v>
      </c>
      <c r="O1763">
        <f>IFERROR(VLOOKUP("906-442000-110",B:AB,6+8,0),0)</f>
        <v>0</v>
      </c>
      <c r="P1763">
        <f>IFERROR(VLOOKUP("906-442000-110",B:AB,7+8,0),0)</f>
        <v>0</v>
      </c>
      <c r="Q1763">
        <f>IFERROR(VLOOKUP("906-442000-110",B:AB,8+8,0),0)</f>
        <v>0</v>
      </c>
      <c r="R1763">
        <f>IFERROR(VLOOKUP("906-442000-110",B:AB,9+8,0),0)</f>
        <v>0</v>
      </c>
      <c r="S1763">
        <f>IFERROR(VLOOKUP("906-442000-110",B:AB,10+8,0),0)</f>
        <v>0</v>
      </c>
      <c r="T1763">
        <f>IFERROR(VLOOKUP("906-442000-110",B:AB,11+8,0),0)</f>
        <v>0</v>
      </c>
      <c r="U1763">
        <f>IFERROR(VLOOKUP("906-442000-110",B:AB,12+8,0),0)</f>
        <v>0</v>
      </c>
      <c r="V1763">
        <f>IFERROR(VLOOKUP("906-442000-110",B:AB,13+8,0),0)</f>
        <v>0</v>
      </c>
      <c r="W1763">
        <f>IFERROR(VLOOKUP("906-442000-110",B:AB,14+8,0),0)</f>
        <v>0</v>
      </c>
      <c r="X1763">
        <f>IFERROR(VLOOKUP("906-442000-110",B:AB,15+8,0),0)</f>
        <v>0</v>
      </c>
      <c r="Y1763">
        <f>IFERROR(VLOOKUP("906-442000-110",B:AB,16+8,0),0)</f>
        <v>0</v>
      </c>
      <c r="Z1763">
        <f>IFERROR(VLOOKUP("906-442000-110",B:AB,17+8,0),0)</f>
        <v>0</v>
      </c>
      <c r="AA1763">
        <f>IFERROR(VLOOKUP("906-442000-110",B:AB,18+8,0),0)</f>
        <v>0</v>
      </c>
      <c r="AB1763">
        <f>IFERROR(VLOOKUP("906-442000-110",B:AB,19+8,0),0)</f>
        <v>0</v>
      </c>
      <c r="AC1763">
        <f>IFERROR(VLOOKUP("906-442000-110",B:AB,20+8,0),0)</f>
        <v>0</v>
      </c>
      <c r="AD1763">
        <f>IFERROR(VLOOKUP("906-442000-110",B:AB,21+8,0),0)</f>
        <v>0</v>
      </c>
      <c r="AE1763">
        <f>IFERROR(VLOOKUP("906-442000-110",B:AB,22+8,0),0)</f>
        <v>0</v>
      </c>
      <c r="AF1763">
        <f>IFERROR(VLOOKUP("906-442000-110",B:AB,23+8,0),0)</f>
        <v>0</v>
      </c>
      <c r="AG1763">
        <f>IFERROR(VLOOKUP("906-442000-110",B:AB,24+8,0),0)</f>
        <v>0</v>
      </c>
      <c r="AH1763">
        <f>IFERROR(VLOOKUP("906-442000-110",B:AB,25+8,0),0)</f>
        <v>0</v>
      </c>
      <c r="AI1763">
        <f>IFERROR(VLOOKUP("906-442000-110",B:AB,26+8,0),0)</f>
        <v>0</v>
      </c>
      <c r="AJ1763">
        <f>IFERROR(VLOOKUP("906-442000-110",B:AB,27+8,0),0)</f>
        <v>0</v>
      </c>
      <c r="AK1763">
        <f>IFERROR(VLOOKUP("906-442000-110",B:AB,28+8,0),0)</f>
        <v>0</v>
      </c>
      <c r="AL1763">
        <f>IFERROR(VLOOKUP("906-442000-110",B:AB,29+8,0),0)</f>
        <v>0</v>
      </c>
      <c r="AM1763">
        <f>IFERROR(VLOOKUP("906-442000-110",B:AB,30+8,0),0)</f>
        <v>0</v>
      </c>
      <c r="AN1763">
        <f>IFERROR(VLOOKUP("906-442000-110",B:AB,31+8,0),0)</f>
        <v>0</v>
      </c>
      <c r="AO1763">
        <f>SUN(INDIRECT(ADDRESS(1762,8)):INDIRECT(ADDRESS(1762,39)))</f>
        <v>0</v>
      </c>
    </row>
    <row r="1764" spans="1:41">
      <c r="H1764" t="s">
        <v>179</v>
      </c>
      <c r="J1764">
        <f>INDIRECT(ADDRESS(1764,9))+INDIRECT(ADDRESS(1762,10))-INDIRECT(ADDRESS(1763,10))</f>
        <v>0</v>
      </c>
      <c r="K1764">
        <f>INDIRECT(ADDRESS(1764,10))+INDIRECT(ADDRESS(1762,11))-INDIRECT(ADDRESS(1763,11))</f>
        <v>0</v>
      </c>
      <c r="L1764">
        <f>INDIRECT(ADDRESS(1764,11))+INDIRECT(ADDRESS(1762,12))-INDIRECT(ADDRESS(1763,12))</f>
        <v>0</v>
      </c>
      <c r="M1764">
        <f>INDIRECT(ADDRESS(1764,12))+INDIRECT(ADDRESS(1762,13))-INDIRECT(ADDRESS(1763,13))</f>
        <v>0</v>
      </c>
      <c r="N1764">
        <f>INDIRECT(ADDRESS(1764,13))+INDIRECT(ADDRESS(1762,14))-INDIRECT(ADDRESS(1763,14))</f>
        <v>0</v>
      </c>
      <c r="O1764">
        <f>INDIRECT(ADDRESS(1764,14))+INDIRECT(ADDRESS(1762,15))-INDIRECT(ADDRESS(1763,15))</f>
        <v>0</v>
      </c>
      <c r="P1764">
        <f>INDIRECT(ADDRESS(1764,15))+INDIRECT(ADDRESS(1762,16))-INDIRECT(ADDRESS(1763,16))</f>
        <v>0</v>
      </c>
      <c r="Q1764">
        <f>INDIRECT(ADDRESS(1764,16))+INDIRECT(ADDRESS(1762,17))-INDIRECT(ADDRESS(1763,17))</f>
        <v>0</v>
      </c>
      <c r="R1764">
        <f>INDIRECT(ADDRESS(1764,17))+INDIRECT(ADDRESS(1762,18))-INDIRECT(ADDRESS(1763,18))</f>
        <v>0</v>
      </c>
      <c r="S1764">
        <f>INDIRECT(ADDRESS(1764,18))+INDIRECT(ADDRESS(1762,19))-INDIRECT(ADDRESS(1763,19))</f>
        <v>0</v>
      </c>
      <c r="T1764">
        <f>INDIRECT(ADDRESS(1764,19))+INDIRECT(ADDRESS(1762,20))-INDIRECT(ADDRESS(1763,20))</f>
        <v>0</v>
      </c>
      <c r="U1764">
        <f>INDIRECT(ADDRESS(1764,20))+INDIRECT(ADDRESS(1762,21))-INDIRECT(ADDRESS(1763,21))</f>
        <v>0</v>
      </c>
      <c r="V1764">
        <f>INDIRECT(ADDRESS(1764,21))+INDIRECT(ADDRESS(1762,22))-INDIRECT(ADDRESS(1763,22))</f>
        <v>0</v>
      </c>
      <c r="W1764">
        <f>INDIRECT(ADDRESS(1764,22))+INDIRECT(ADDRESS(1762,23))-INDIRECT(ADDRESS(1763,23))</f>
        <v>0</v>
      </c>
      <c r="X1764">
        <f>INDIRECT(ADDRESS(1764,23))+INDIRECT(ADDRESS(1762,24))-INDIRECT(ADDRESS(1763,24))</f>
        <v>0</v>
      </c>
      <c r="Y1764">
        <f>INDIRECT(ADDRESS(1764,24))+INDIRECT(ADDRESS(1762,25))-INDIRECT(ADDRESS(1763,25))</f>
        <v>0</v>
      </c>
      <c r="Z1764">
        <f>INDIRECT(ADDRESS(1764,25))+INDIRECT(ADDRESS(1762,26))-INDIRECT(ADDRESS(1763,26))</f>
        <v>0</v>
      </c>
      <c r="AA1764">
        <f>INDIRECT(ADDRESS(1764,26))+INDIRECT(ADDRESS(1762,27))-INDIRECT(ADDRESS(1763,27))</f>
        <v>0</v>
      </c>
      <c r="AB1764">
        <f>INDIRECT(ADDRESS(1764,27))+INDIRECT(ADDRESS(1762,28))-INDIRECT(ADDRESS(1763,28))</f>
        <v>0</v>
      </c>
      <c r="AC1764">
        <f>INDIRECT(ADDRESS(1764,28))+INDIRECT(ADDRESS(1762,29))-INDIRECT(ADDRESS(1763,29))</f>
        <v>0</v>
      </c>
      <c r="AD1764">
        <f>INDIRECT(ADDRESS(1764,29))+INDIRECT(ADDRESS(1762,30))-INDIRECT(ADDRESS(1763,30))</f>
        <v>0</v>
      </c>
      <c r="AE1764">
        <f>INDIRECT(ADDRESS(1764,30))+INDIRECT(ADDRESS(1762,31))-INDIRECT(ADDRESS(1763,31))</f>
        <v>0</v>
      </c>
      <c r="AF1764">
        <f>INDIRECT(ADDRESS(1764,31))+INDIRECT(ADDRESS(1762,32))-INDIRECT(ADDRESS(1763,32))</f>
        <v>0</v>
      </c>
      <c r="AG1764">
        <f>INDIRECT(ADDRESS(1764,32))+INDIRECT(ADDRESS(1762,33))-INDIRECT(ADDRESS(1763,33))</f>
        <v>0</v>
      </c>
      <c r="AH1764">
        <f>INDIRECT(ADDRESS(1764,33))+INDIRECT(ADDRESS(1762,34))-INDIRECT(ADDRESS(1763,34))</f>
        <v>0</v>
      </c>
      <c r="AI1764">
        <f>INDIRECT(ADDRESS(1764,34))+INDIRECT(ADDRESS(1762,35))-INDIRECT(ADDRESS(1763,35))</f>
        <v>0</v>
      </c>
      <c r="AJ1764">
        <f>INDIRECT(ADDRESS(1764,35))+INDIRECT(ADDRESS(1762,36))-INDIRECT(ADDRESS(1763,36))</f>
        <v>0</v>
      </c>
      <c r="AK1764">
        <f>INDIRECT(ADDRESS(1764,36))+INDIRECT(ADDRESS(1762,37))-INDIRECT(ADDRESS(1763,37))</f>
        <v>0</v>
      </c>
      <c r="AL1764">
        <f>INDIRECT(ADDRESS(1764,37))+INDIRECT(ADDRESS(1762,38))-INDIRECT(ADDRESS(1763,38))</f>
        <v>0</v>
      </c>
      <c r="AM1764">
        <f>INDIRECT(ADDRESS(1764,38))+INDIRECT(ADDRESS(1762,39))-INDIRECT(ADDRESS(1763,39))</f>
        <v>0</v>
      </c>
      <c r="AN1764">
        <f>INDIRECT(ADDRESS(1764,39))+INDIRECT(ADDRESS(1762,40))-INDIRECT(ADDRESS(1763,40))</f>
        <v>0</v>
      </c>
      <c r="AO1764">
        <f>SUM(INDIRECT(ADDRESS(1763,8)):INDIRECT(ADDRESS(1763,39)))</f>
        <v>0</v>
      </c>
    </row>
    <row r="1765" spans="1:41">
      <c r="A1765" t="s">
        <v>185</v>
      </c>
      <c r="B1765" t="s">
        <v>828</v>
      </c>
      <c r="C1765" t="s">
        <v>146</v>
      </c>
      <c r="E1765">
        <v>0.33</v>
      </c>
      <c r="I1765" t="s">
        <v>177</v>
      </c>
    </row>
    <row r="1766" spans="1:41">
      <c r="I1766" t="s">
        <v>178</v>
      </c>
      <c r="J1766">
        <f>IFERROR(VLOOKUP("906-442000-110",B:AB,1+8,0),0)</f>
        <v>0</v>
      </c>
      <c r="K1766">
        <f>IFERROR(VLOOKUP("906-442000-110",B:AB,2+8,0),0)</f>
        <v>0</v>
      </c>
      <c r="L1766">
        <f>IFERROR(VLOOKUP("906-442000-110",B:AB,3+8,0),0)</f>
        <v>0</v>
      </c>
      <c r="M1766">
        <f>IFERROR(VLOOKUP("906-442000-110",B:AB,4+8,0),0)</f>
        <v>0</v>
      </c>
      <c r="N1766">
        <f>IFERROR(VLOOKUP("906-442000-110",B:AB,5+8,0),0)</f>
        <v>0</v>
      </c>
      <c r="O1766">
        <f>IFERROR(VLOOKUP("906-442000-110",B:AB,6+8,0),0)</f>
        <v>0</v>
      </c>
      <c r="P1766">
        <f>IFERROR(VLOOKUP("906-442000-110",B:AB,7+8,0),0)</f>
        <v>0</v>
      </c>
      <c r="Q1766">
        <f>IFERROR(VLOOKUP("906-442000-110",B:AB,8+8,0),0)</f>
        <v>0</v>
      </c>
      <c r="R1766">
        <f>IFERROR(VLOOKUP("906-442000-110",B:AB,9+8,0),0)</f>
        <v>0</v>
      </c>
      <c r="S1766">
        <f>IFERROR(VLOOKUP("906-442000-110",B:AB,10+8,0),0)</f>
        <v>0</v>
      </c>
      <c r="T1766">
        <f>IFERROR(VLOOKUP("906-442000-110",B:AB,11+8,0),0)</f>
        <v>0</v>
      </c>
      <c r="U1766">
        <f>IFERROR(VLOOKUP("906-442000-110",B:AB,12+8,0),0)</f>
        <v>0</v>
      </c>
      <c r="V1766">
        <f>IFERROR(VLOOKUP("906-442000-110",B:AB,13+8,0),0)</f>
        <v>0</v>
      </c>
      <c r="W1766">
        <f>IFERROR(VLOOKUP("906-442000-110",B:AB,14+8,0),0)</f>
        <v>0</v>
      </c>
      <c r="X1766">
        <f>IFERROR(VLOOKUP("906-442000-110",B:AB,15+8,0),0)</f>
        <v>0</v>
      </c>
      <c r="Y1766">
        <f>IFERROR(VLOOKUP("906-442000-110",B:AB,16+8,0),0)</f>
        <v>0</v>
      </c>
      <c r="Z1766">
        <f>IFERROR(VLOOKUP("906-442000-110",B:AB,17+8,0),0)</f>
        <v>0</v>
      </c>
      <c r="AA1766">
        <f>IFERROR(VLOOKUP("906-442000-110",B:AB,18+8,0),0)</f>
        <v>0</v>
      </c>
      <c r="AB1766">
        <f>IFERROR(VLOOKUP("906-442000-110",B:AB,19+8,0),0)</f>
        <v>0</v>
      </c>
      <c r="AC1766">
        <f>IFERROR(VLOOKUP("906-442000-110",B:AB,20+8,0),0)</f>
        <v>0</v>
      </c>
      <c r="AD1766">
        <f>IFERROR(VLOOKUP("906-442000-110",B:AB,21+8,0),0)</f>
        <v>0</v>
      </c>
      <c r="AE1766">
        <f>IFERROR(VLOOKUP("906-442000-110",B:AB,22+8,0),0)</f>
        <v>0</v>
      </c>
      <c r="AF1766">
        <f>IFERROR(VLOOKUP("906-442000-110",B:AB,23+8,0),0)</f>
        <v>0</v>
      </c>
      <c r="AG1766">
        <f>IFERROR(VLOOKUP("906-442000-110",B:AB,24+8,0),0)</f>
        <v>0</v>
      </c>
      <c r="AH1766">
        <f>IFERROR(VLOOKUP("906-442000-110",B:AB,25+8,0),0)</f>
        <v>0</v>
      </c>
      <c r="AI1766">
        <f>IFERROR(VLOOKUP("906-442000-110",B:AB,26+8,0),0)</f>
        <v>0</v>
      </c>
      <c r="AJ1766">
        <f>IFERROR(VLOOKUP("906-442000-110",B:AB,27+8,0),0)</f>
        <v>0</v>
      </c>
      <c r="AK1766">
        <f>IFERROR(VLOOKUP("906-442000-110",B:AB,28+8,0),0)</f>
        <v>0</v>
      </c>
      <c r="AL1766">
        <f>IFERROR(VLOOKUP("906-442000-110",B:AB,29+8,0),0)</f>
        <v>0</v>
      </c>
      <c r="AM1766">
        <f>IFERROR(VLOOKUP("906-442000-110",B:AB,30+8,0),0)</f>
        <v>0</v>
      </c>
      <c r="AN1766">
        <f>IFERROR(VLOOKUP("906-442000-110",B:AB,31+8,0),0)</f>
        <v>0</v>
      </c>
      <c r="AO1766">
        <f>SUN(INDIRECT(ADDRESS(1765,8)):INDIRECT(ADDRESS(1765,39)))</f>
        <v>0</v>
      </c>
    </row>
    <row r="1767" spans="1:41">
      <c r="H1767" t="s">
        <v>179</v>
      </c>
      <c r="J1767">
        <f>INDIRECT(ADDRESS(1767,9))+INDIRECT(ADDRESS(1765,10))-INDIRECT(ADDRESS(1766,10))</f>
        <v>0</v>
      </c>
      <c r="K1767">
        <f>INDIRECT(ADDRESS(1767,10))+INDIRECT(ADDRESS(1765,11))-INDIRECT(ADDRESS(1766,11))</f>
        <v>0</v>
      </c>
      <c r="L1767">
        <f>INDIRECT(ADDRESS(1767,11))+INDIRECT(ADDRESS(1765,12))-INDIRECT(ADDRESS(1766,12))</f>
        <v>0</v>
      </c>
      <c r="M1767">
        <f>INDIRECT(ADDRESS(1767,12))+INDIRECT(ADDRESS(1765,13))-INDIRECT(ADDRESS(1766,13))</f>
        <v>0</v>
      </c>
      <c r="N1767">
        <f>INDIRECT(ADDRESS(1767,13))+INDIRECT(ADDRESS(1765,14))-INDIRECT(ADDRESS(1766,14))</f>
        <v>0</v>
      </c>
      <c r="O1767">
        <f>INDIRECT(ADDRESS(1767,14))+INDIRECT(ADDRESS(1765,15))-INDIRECT(ADDRESS(1766,15))</f>
        <v>0</v>
      </c>
      <c r="P1767">
        <f>INDIRECT(ADDRESS(1767,15))+INDIRECT(ADDRESS(1765,16))-INDIRECT(ADDRESS(1766,16))</f>
        <v>0</v>
      </c>
      <c r="Q1767">
        <f>INDIRECT(ADDRESS(1767,16))+INDIRECT(ADDRESS(1765,17))-INDIRECT(ADDRESS(1766,17))</f>
        <v>0</v>
      </c>
      <c r="R1767">
        <f>INDIRECT(ADDRESS(1767,17))+INDIRECT(ADDRESS(1765,18))-INDIRECT(ADDRESS(1766,18))</f>
        <v>0</v>
      </c>
      <c r="S1767">
        <f>INDIRECT(ADDRESS(1767,18))+INDIRECT(ADDRESS(1765,19))-INDIRECT(ADDRESS(1766,19))</f>
        <v>0</v>
      </c>
      <c r="T1767">
        <f>INDIRECT(ADDRESS(1767,19))+INDIRECT(ADDRESS(1765,20))-INDIRECT(ADDRESS(1766,20))</f>
        <v>0</v>
      </c>
      <c r="U1767">
        <f>INDIRECT(ADDRESS(1767,20))+INDIRECT(ADDRESS(1765,21))-INDIRECT(ADDRESS(1766,21))</f>
        <v>0</v>
      </c>
      <c r="V1767">
        <f>INDIRECT(ADDRESS(1767,21))+INDIRECT(ADDRESS(1765,22))-INDIRECT(ADDRESS(1766,22))</f>
        <v>0</v>
      </c>
      <c r="W1767">
        <f>INDIRECT(ADDRESS(1767,22))+INDIRECT(ADDRESS(1765,23))-INDIRECT(ADDRESS(1766,23))</f>
        <v>0</v>
      </c>
      <c r="X1767">
        <f>INDIRECT(ADDRESS(1767,23))+INDIRECT(ADDRESS(1765,24))-INDIRECT(ADDRESS(1766,24))</f>
        <v>0</v>
      </c>
      <c r="Y1767">
        <f>INDIRECT(ADDRESS(1767,24))+INDIRECT(ADDRESS(1765,25))-INDIRECT(ADDRESS(1766,25))</f>
        <v>0</v>
      </c>
      <c r="Z1767">
        <f>INDIRECT(ADDRESS(1767,25))+INDIRECT(ADDRESS(1765,26))-INDIRECT(ADDRESS(1766,26))</f>
        <v>0</v>
      </c>
      <c r="AA1767">
        <f>INDIRECT(ADDRESS(1767,26))+INDIRECT(ADDRESS(1765,27))-INDIRECT(ADDRESS(1766,27))</f>
        <v>0</v>
      </c>
      <c r="AB1767">
        <f>INDIRECT(ADDRESS(1767,27))+INDIRECT(ADDRESS(1765,28))-INDIRECT(ADDRESS(1766,28))</f>
        <v>0</v>
      </c>
      <c r="AC1767">
        <f>INDIRECT(ADDRESS(1767,28))+INDIRECT(ADDRESS(1765,29))-INDIRECT(ADDRESS(1766,29))</f>
        <v>0</v>
      </c>
      <c r="AD1767">
        <f>INDIRECT(ADDRESS(1767,29))+INDIRECT(ADDRESS(1765,30))-INDIRECT(ADDRESS(1766,30))</f>
        <v>0</v>
      </c>
      <c r="AE1767">
        <f>INDIRECT(ADDRESS(1767,30))+INDIRECT(ADDRESS(1765,31))-INDIRECT(ADDRESS(1766,31))</f>
        <v>0</v>
      </c>
      <c r="AF1767">
        <f>INDIRECT(ADDRESS(1767,31))+INDIRECT(ADDRESS(1765,32))-INDIRECT(ADDRESS(1766,32))</f>
        <v>0</v>
      </c>
      <c r="AG1767">
        <f>INDIRECT(ADDRESS(1767,32))+INDIRECT(ADDRESS(1765,33))-INDIRECT(ADDRESS(1766,33))</f>
        <v>0</v>
      </c>
      <c r="AH1767">
        <f>INDIRECT(ADDRESS(1767,33))+INDIRECT(ADDRESS(1765,34))-INDIRECT(ADDRESS(1766,34))</f>
        <v>0</v>
      </c>
      <c r="AI1767">
        <f>INDIRECT(ADDRESS(1767,34))+INDIRECT(ADDRESS(1765,35))-INDIRECT(ADDRESS(1766,35))</f>
        <v>0</v>
      </c>
      <c r="AJ1767">
        <f>INDIRECT(ADDRESS(1767,35))+INDIRECT(ADDRESS(1765,36))-INDIRECT(ADDRESS(1766,36))</f>
        <v>0</v>
      </c>
      <c r="AK1767">
        <f>INDIRECT(ADDRESS(1767,36))+INDIRECT(ADDRESS(1765,37))-INDIRECT(ADDRESS(1766,37))</f>
        <v>0</v>
      </c>
      <c r="AL1767">
        <f>INDIRECT(ADDRESS(1767,37))+INDIRECT(ADDRESS(1765,38))-INDIRECT(ADDRESS(1766,38))</f>
        <v>0</v>
      </c>
      <c r="AM1767">
        <f>INDIRECT(ADDRESS(1767,38))+INDIRECT(ADDRESS(1765,39))-INDIRECT(ADDRESS(1766,39))</f>
        <v>0</v>
      </c>
      <c r="AN1767">
        <f>INDIRECT(ADDRESS(1767,39))+INDIRECT(ADDRESS(1765,40))-INDIRECT(ADDRESS(1766,40))</f>
        <v>0</v>
      </c>
      <c r="AO1767">
        <f>SUM(INDIRECT(ADDRESS(1766,8)):INDIRECT(ADDRESS(1766,39)))</f>
        <v>0</v>
      </c>
    </row>
    <row r="1768" spans="1:41">
      <c r="A1768" t="s">
        <v>185</v>
      </c>
      <c r="B1768" t="s">
        <v>829</v>
      </c>
      <c r="C1768" t="s">
        <v>146</v>
      </c>
      <c r="E1768">
        <v>1</v>
      </c>
      <c r="I1768" t="s">
        <v>177</v>
      </c>
    </row>
    <row r="1769" spans="1:41">
      <c r="I1769" t="s">
        <v>178</v>
      </c>
      <c r="J1769">
        <f>IFERROR(VLOOKUP("906-442000-110",B:AB,1+8,0),0)</f>
        <v>0</v>
      </c>
      <c r="K1769">
        <f>IFERROR(VLOOKUP("906-442000-110",B:AB,2+8,0),0)</f>
        <v>0</v>
      </c>
      <c r="L1769">
        <f>IFERROR(VLOOKUP("906-442000-110",B:AB,3+8,0),0)</f>
        <v>0</v>
      </c>
      <c r="M1769">
        <f>IFERROR(VLOOKUP("906-442000-110",B:AB,4+8,0),0)</f>
        <v>0</v>
      </c>
      <c r="N1769">
        <f>IFERROR(VLOOKUP("906-442000-110",B:AB,5+8,0),0)</f>
        <v>0</v>
      </c>
      <c r="O1769">
        <f>IFERROR(VLOOKUP("906-442000-110",B:AB,6+8,0),0)</f>
        <v>0</v>
      </c>
      <c r="P1769">
        <f>IFERROR(VLOOKUP("906-442000-110",B:AB,7+8,0),0)</f>
        <v>0</v>
      </c>
      <c r="Q1769">
        <f>IFERROR(VLOOKUP("906-442000-110",B:AB,8+8,0),0)</f>
        <v>0</v>
      </c>
      <c r="R1769">
        <f>IFERROR(VLOOKUP("906-442000-110",B:AB,9+8,0),0)</f>
        <v>0</v>
      </c>
      <c r="S1769">
        <f>IFERROR(VLOOKUP("906-442000-110",B:AB,10+8,0),0)</f>
        <v>0</v>
      </c>
      <c r="T1769">
        <f>IFERROR(VLOOKUP("906-442000-110",B:AB,11+8,0),0)</f>
        <v>0</v>
      </c>
      <c r="U1769">
        <f>IFERROR(VLOOKUP("906-442000-110",B:AB,12+8,0),0)</f>
        <v>0</v>
      </c>
      <c r="V1769">
        <f>IFERROR(VLOOKUP("906-442000-110",B:AB,13+8,0),0)</f>
        <v>0</v>
      </c>
      <c r="W1769">
        <f>IFERROR(VLOOKUP("906-442000-110",B:AB,14+8,0),0)</f>
        <v>0</v>
      </c>
      <c r="X1769">
        <f>IFERROR(VLOOKUP("906-442000-110",B:AB,15+8,0),0)</f>
        <v>0</v>
      </c>
      <c r="Y1769">
        <f>IFERROR(VLOOKUP("906-442000-110",B:AB,16+8,0),0)</f>
        <v>0</v>
      </c>
      <c r="Z1769">
        <f>IFERROR(VLOOKUP("906-442000-110",B:AB,17+8,0),0)</f>
        <v>0</v>
      </c>
      <c r="AA1769">
        <f>IFERROR(VLOOKUP("906-442000-110",B:AB,18+8,0),0)</f>
        <v>0</v>
      </c>
      <c r="AB1769">
        <f>IFERROR(VLOOKUP("906-442000-110",B:AB,19+8,0),0)</f>
        <v>0</v>
      </c>
      <c r="AC1769">
        <f>IFERROR(VLOOKUP("906-442000-110",B:AB,20+8,0),0)</f>
        <v>0</v>
      </c>
      <c r="AD1769">
        <f>IFERROR(VLOOKUP("906-442000-110",B:AB,21+8,0),0)</f>
        <v>0</v>
      </c>
      <c r="AE1769">
        <f>IFERROR(VLOOKUP("906-442000-110",B:AB,22+8,0),0)</f>
        <v>0</v>
      </c>
      <c r="AF1769">
        <f>IFERROR(VLOOKUP("906-442000-110",B:AB,23+8,0),0)</f>
        <v>0</v>
      </c>
      <c r="AG1769">
        <f>IFERROR(VLOOKUP("906-442000-110",B:AB,24+8,0),0)</f>
        <v>0</v>
      </c>
      <c r="AH1769">
        <f>IFERROR(VLOOKUP("906-442000-110",B:AB,25+8,0),0)</f>
        <v>0</v>
      </c>
      <c r="AI1769">
        <f>IFERROR(VLOOKUP("906-442000-110",B:AB,26+8,0),0)</f>
        <v>0</v>
      </c>
      <c r="AJ1769">
        <f>IFERROR(VLOOKUP("906-442000-110",B:AB,27+8,0),0)</f>
        <v>0</v>
      </c>
      <c r="AK1769">
        <f>IFERROR(VLOOKUP("906-442000-110",B:AB,28+8,0),0)</f>
        <v>0</v>
      </c>
      <c r="AL1769">
        <f>IFERROR(VLOOKUP("906-442000-110",B:AB,29+8,0),0)</f>
        <v>0</v>
      </c>
      <c r="AM1769">
        <f>IFERROR(VLOOKUP("906-442000-110",B:AB,30+8,0),0)</f>
        <v>0</v>
      </c>
      <c r="AN1769">
        <f>IFERROR(VLOOKUP("906-442000-110",B:AB,31+8,0),0)</f>
        <v>0</v>
      </c>
      <c r="AO1769">
        <f>SUN(INDIRECT(ADDRESS(1768,8)):INDIRECT(ADDRESS(1768,39)))</f>
        <v>0</v>
      </c>
    </row>
    <row r="1770" spans="1:41">
      <c r="H1770" t="s">
        <v>179</v>
      </c>
      <c r="J1770">
        <f>INDIRECT(ADDRESS(1770,9))+INDIRECT(ADDRESS(1768,10))-INDIRECT(ADDRESS(1769,10))</f>
        <v>0</v>
      </c>
      <c r="K1770">
        <f>INDIRECT(ADDRESS(1770,10))+INDIRECT(ADDRESS(1768,11))-INDIRECT(ADDRESS(1769,11))</f>
        <v>0</v>
      </c>
      <c r="L1770">
        <f>INDIRECT(ADDRESS(1770,11))+INDIRECT(ADDRESS(1768,12))-INDIRECT(ADDRESS(1769,12))</f>
        <v>0</v>
      </c>
      <c r="M1770">
        <f>INDIRECT(ADDRESS(1770,12))+INDIRECT(ADDRESS(1768,13))-INDIRECT(ADDRESS(1769,13))</f>
        <v>0</v>
      </c>
      <c r="N1770">
        <f>INDIRECT(ADDRESS(1770,13))+INDIRECT(ADDRESS(1768,14))-INDIRECT(ADDRESS(1769,14))</f>
        <v>0</v>
      </c>
      <c r="O1770">
        <f>INDIRECT(ADDRESS(1770,14))+INDIRECT(ADDRESS(1768,15))-INDIRECT(ADDRESS(1769,15))</f>
        <v>0</v>
      </c>
      <c r="P1770">
        <f>INDIRECT(ADDRESS(1770,15))+INDIRECT(ADDRESS(1768,16))-INDIRECT(ADDRESS(1769,16))</f>
        <v>0</v>
      </c>
      <c r="Q1770">
        <f>INDIRECT(ADDRESS(1770,16))+INDIRECT(ADDRESS(1768,17))-INDIRECT(ADDRESS(1769,17))</f>
        <v>0</v>
      </c>
      <c r="R1770">
        <f>INDIRECT(ADDRESS(1770,17))+INDIRECT(ADDRESS(1768,18))-INDIRECT(ADDRESS(1769,18))</f>
        <v>0</v>
      </c>
      <c r="S1770">
        <f>INDIRECT(ADDRESS(1770,18))+INDIRECT(ADDRESS(1768,19))-INDIRECT(ADDRESS(1769,19))</f>
        <v>0</v>
      </c>
      <c r="T1770">
        <f>INDIRECT(ADDRESS(1770,19))+INDIRECT(ADDRESS(1768,20))-INDIRECT(ADDRESS(1769,20))</f>
        <v>0</v>
      </c>
      <c r="U1770">
        <f>INDIRECT(ADDRESS(1770,20))+INDIRECT(ADDRESS(1768,21))-INDIRECT(ADDRESS(1769,21))</f>
        <v>0</v>
      </c>
      <c r="V1770">
        <f>INDIRECT(ADDRESS(1770,21))+INDIRECT(ADDRESS(1768,22))-INDIRECT(ADDRESS(1769,22))</f>
        <v>0</v>
      </c>
      <c r="W1770">
        <f>INDIRECT(ADDRESS(1770,22))+INDIRECT(ADDRESS(1768,23))-INDIRECT(ADDRESS(1769,23))</f>
        <v>0</v>
      </c>
      <c r="X1770">
        <f>INDIRECT(ADDRESS(1770,23))+INDIRECT(ADDRESS(1768,24))-INDIRECT(ADDRESS(1769,24))</f>
        <v>0</v>
      </c>
      <c r="Y1770">
        <f>INDIRECT(ADDRESS(1770,24))+INDIRECT(ADDRESS(1768,25))-INDIRECT(ADDRESS(1769,25))</f>
        <v>0</v>
      </c>
      <c r="Z1770">
        <f>INDIRECT(ADDRESS(1770,25))+INDIRECT(ADDRESS(1768,26))-INDIRECT(ADDRESS(1769,26))</f>
        <v>0</v>
      </c>
      <c r="AA1770">
        <f>INDIRECT(ADDRESS(1770,26))+INDIRECT(ADDRESS(1768,27))-INDIRECT(ADDRESS(1769,27))</f>
        <v>0</v>
      </c>
      <c r="AB1770">
        <f>INDIRECT(ADDRESS(1770,27))+INDIRECT(ADDRESS(1768,28))-INDIRECT(ADDRESS(1769,28))</f>
        <v>0</v>
      </c>
      <c r="AC1770">
        <f>INDIRECT(ADDRESS(1770,28))+INDIRECT(ADDRESS(1768,29))-INDIRECT(ADDRESS(1769,29))</f>
        <v>0</v>
      </c>
      <c r="AD1770">
        <f>INDIRECT(ADDRESS(1770,29))+INDIRECT(ADDRESS(1768,30))-INDIRECT(ADDRESS(1769,30))</f>
        <v>0</v>
      </c>
      <c r="AE1770">
        <f>INDIRECT(ADDRESS(1770,30))+INDIRECT(ADDRESS(1768,31))-INDIRECT(ADDRESS(1769,31))</f>
        <v>0</v>
      </c>
      <c r="AF1770">
        <f>INDIRECT(ADDRESS(1770,31))+INDIRECT(ADDRESS(1768,32))-INDIRECT(ADDRESS(1769,32))</f>
        <v>0</v>
      </c>
      <c r="AG1770">
        <f>INDIRECT(ADDRESS(1770,32))+INDIRECT(ADDRESS(1768,33))-INDIRECT(ADDRESS(1769,33))</f>
        <v>0</v>
      </c>
      <c r="AH1770">
        <f>INDIRECT(ADDRESS(1770,33))+INDIRECT(ADDRESS(1768,34))-INDIRECT(ADDRESS(1769,34))</f>
        <v>0</v>
      </c>
      <c r="AI1770">
        <f>INDIRECT(ADDRESS(1770,34))+INDIRECT(ADDRESS(1768,35))-INDIRECT(ADDRESS(1769,35))</f>
        <v>0</v>
      </c>
      <c r="AJ1770">
        <f>INDIRECT(ADDRESS(1770,35))+INDIRECT(ADDRESS(1768,36))-INDIRECT(ADDRESS(1769,36))</f>
        <v>0</v>
      </c>
      <c r="AK1770">
        <f>INDIRECT(ADDRESS(1770,36))+INDIRECT(ADDRESS(1768,37))-INDIRECT(ADDRESS(1769,37))</f>
        <v>0</v>
      </c>
      <c r="AL1770">
        <f>INDIRECT(ADDRESS(1770,37))+INDIRECT(ADDRESS(1768,38))-INDIRECT(ADDRESS(1769,38))</f>
        <v>0</v>
      </c>
      <c r="AM1770">
        <f>INDIRECT(ADDRESS(1770,38))+INDIRECT(ADDRESS(1768,39))-INDIRECT(ADDRESS(1769,39))</f>
        <v>0</v>
      </c>
      <c r="AN1770">
        <f>INDIRECT(ADDRESS(1770,39))+INDIRECT(ADDRESS(1768,40))-INDIRECT(ADDRESS(1769,40))</f>
        <v>0</v>
      </c>
      <c r="AO1770">
        <f>SUM(INDIRECT(ADDRESS(1769,8)):INDIRECT(ADDRESS(1769,39)))</f>
        <v>0</v>
      </c>
    </row>
    <row r="1771" spans="1:41">
      <c r="A1771" t="s">
        <v>8</v>
      </c>
      <c r="B1771" t="s">
        <v>147</v>
      </c>
      <c r="C1771" t="s">
        <v>146</v>
      </c>
      <c r="E1771">
        <v>1</v>
      </c>
      <c r="I1771" t="s">
        <v>177</v>
      </c>
    </row>
    <row r="1772" spans="1:41">
      <c r="I1772" t="s">
        <v>178</v>
      </c>
      <c r="J1772">
        <f>IFERROR(VLOOKUP("906-442000-210",Out!B:AB,1+8,0),0)</f>
        <v>0</v>
      </c>
      <c r="K1772">
        <f>IFERROR(VLOOKUP("906-442000-210",Out!B:AB,2+8,0),0)</f>
        <v>0</v>
      </c>
      <c r="L1772">
        <f>IFERROR(VLOOKUP("906-442000-210",Out!B:AB,3+8,0),0)</f>
        <v>0</v>
      </c>
      <c r="M1772">
        <f>IFERROR(VLOOKUP("906-442000-210",Out!B:AB,4+8,0),0)</f>
        <v>0</v>
      </c>
      <c r="N1772">
        <f>IFERROR(VLOOKUP("906-442000-210",Out!B:AB,5+8,0),0)</f>
        <v>0</v>
      </c>
      <c r="O1772">
        <f>IFERROR(VLOOKUP("906-442000-210",Out!B:AB,6+8,0),0)</f>
        <v>0</v>
      </c>
      <c r="P1772">
        <f>IFERROR(VLOOKUP("906-442000-210",Out!B:AB,7+8,0),0)</f>
        <v>0</v>
      </c>
      <c r="Q1772">
        <f>IFERROR(VLOOKUP("906-442000-210",Out!B:AB,8+8,0),0)</f>
        <v>0</v>
      </c>
      <c r="R1772">
        <f>IFERROR(VLOOKUP("906-442000-210",Out!B:AB,9+8,0),0)</f>
        <v>0</v>
      </c>
      <c r="S1772">
        <f>IFERROR(VLOOKUP("906-442000-210",Out!B:AB,10+8,0),0)</f>
        <v>0</v>
      </c>
      <c r="T1772">
        <f>IFERROR(VLOOKUP("906-442000-210",Out!B:AB,11+8,0),0)</f>
        <v>0</v>
      </c>
      <c r="U1772">
        <f>IFERROR(VLOOKUP("906-442000-210",Out!B:AB,12+8,0),0)</f>
        <v>0</v>
      </c>
      <c r="V1772">
        <f>IFERROR(VLOOKUP("906-442000-210",Out!B:AB,13+8,0),0)</f>
        <v>0</v>
      </c>
      <c r="W1772">
        <f>IFERROR(VLOOKUP("906-442000-210",Out!B:AB,14+8,0),0)</f>
        <v>0</v>
      </c>
      <c r="X1772">
        <f>IFERROR(VLOOKUP("906-442000-210",Out!B:AB,15+8,0),0)</f>
        <v>0</v>
      </c>
      <c r="Y1772">
        <f>IFERROR(VLOOKUP("906-442000-210",Out!B:AB,16+8,0),0)</f>
        <v>0</v>
      </c>
      <c r="Z1772">
        <f>IFERROR(VLOOKUP("906-442000-210",Out!B:AB,17+8,0),0)</f>
        <v>0</v>
      </c>
      <c r="AA1772">
        <f>IFERROR(VLOOKUP("906-442000-210",Out!B:AB,18+8,0),0)</f>
        <v>0</v>
      </c>
      <c r="AB1772">
        <f>IFERROR(VLOOKUP("906-442000-210",Out!B:AB,19+8,0),0)</f>
        <v>0</v>
      </c>
      <c r="AC1772">
        <f>IFERROR(VLOOKUP("906-442000-210",Out!B:AB,20+8,0),0)</f>
        <v>0</v>
      </c>
      <c r="AD1772">
        <f>IFERROR(VLOOKUP("906-442000-210",Out!B:AB,21+8,0),0)</f>
        <v>0</v>
      </c>
      <c r="AE1772">
        <f>IFERROR(VLOOKUP("906-442000-210",Out!B:AB,22+8,0),0)</f>
        <v>0</v>
      </c>
      <c r="AF1772">
        <f>IFERROR(VLOOKUP("906-442000-210",Out!B:AB,23+8,0),0)</f>
        <v>0</v>
      </c>
      <c r="AG1772">
        <f>IFERROR(VLOOKUP("906-442000-210",Out!B:AB,24+8,0),0)</f>
        <v>0</v>
      </c>
      <c r="AH1772">
        <f>IFERROR(VLOOKUP("906-442000-210",Out!B:AB,25+8,0),0)</f>
        <v>0</v>
      </c>
      <c r="AI1772">
        <f>IFERROR(VLOOKUP("906-442000-210",Out!B:AB,26+8,0),0)</f>
        <v>0</v>
      </c>
      <c r="AJ1772">
        <f>IFERROR(VLOOKUP("906-442000-210",Out!B:AB,27+8,0),0)</f>
        <v>0</v>
      </c>
      <c r="AK1772">
        <f>IFERROR(VLOOKUP("906-442000-210",Out!B:AB,28+8,0),0)</f>
        <v>0</v>
      </c>
      <c r="AL1772">
        <f>IFERROR(VLOOKUP("906-442000-210",Out!B:AB,29+8,0),0)</f>
        <v>0</v>
      </c>
      <c r="AM1772">
        <f>IFERROR(VLOOKUP("906-442000-210",Out!B:AB,30+8,0),0)</f>
        <v>0</v>
      </c>
      <c r="AN1772">
        <f>IFERROR(VLOOKUP("906-442000-210",Out!B:AB,31+8,0),0)</f>
        <v>0</v>
      </c>
      <c r="AO1772">
        <f>SUN(INDIRECT(ADDRESS(1771,8)):INDIRECT(ADDRESS(1771,39)))</f>
        <v>0</v>
      </c>
    </row>
    <row r="1773" spans="1:41">
      <c r="H1773" t="s">
        <v>179</v>
      </c>
      <c r="J1773">
        <f>INDIRECT(ADDRESS(1773,9))+INDIRECT(ADDRESS(1771,10))-INDIRECT(ADDRESS(1772,10))</f>
        <v>0</v>
      </c>
      <c r="K1773">
        <f>INDIRECT(ADDRESS(1773,10))+INDIRECT(ADDRESS(1771,11))-INDIRECT(ADDRESS(1772,11))</f>
        <v>0</v>
      </c>
      <c r="L1773">
        <f>INDIRECT(ADDRESS(1773,11))+INDIRECT(ADDRESS(1771,12))-INDIRECT(ADDRESS(1772,12))</f>
        <v>0</v>
      </c>
      <c r="M1773">
        <f>INDIRECT(ADDRESS(1773,12))+INDIRECT(ADDRESS(1771,13))-INDIRECT(ADDRESS(1772,13))</f>
        <v>0</v>
      </c>
      <c r="N1773">
        <f>INDIRECT(ADDRESS(1773,13))+INDIRECT(ADDRESS(1771,14))-INDIRECT(ADDRESS(1772,14))</f>
        <v>0</v>
      </c>
      <c r="O1773">
        <f>INDIRECT(ADDRESS(1773,14))+INDIRECT(ADDRESS(1771,15))-INDIRECT(ADDRESS(1772,15))</f>
        <v>0</v>
      </c>
      <c r="P1773">
        <f>INDIRECT(ADDRESS(1773,15))+INDIRECT(ADDRESS(1771,16))-INDIRECT(ADDRESS(1772,16))</f>
        <v>0</v>
      </c>
      <c r="Q1773">
        <f>INDIRECT(ADDRESS(1773,16))+INDIRECT(ADDRESS(1771,17))-INDIRECT(ADDRESS(1772,17))</f>
        <v>0</v>
      </c>
      <c r="R1773">
        <f>INDIRECT(ADDRESS(1773,17))+INDIRECT(ADDRESS(1771,18))-INDIRECT(ADDRESS(1772,18))</f>
        <v>0</v>
      </c>
      <c r="S1773">
        <f>INDIRECT(ADDRESS(1773,18))+INDIRECT(ADDRESS(1771,19))-INDIRECT(ADDRESS(1772,19))</f>
        <v>0</v>
      </c>
      <c r="T1773">
        <f>INDIRECT(ADDRESS(1773,19))+INDIRECT(ADDRESS(1771,20))-INDIRECT(ADDRESS(1772,20))</f>
        <v>0</v>
      </c>
      <c r="U1773">
        <f>INDIRECT(ADDRESS(1773,20))+INDIRECT(ADDRESS(1771,21))-INDIRECT(ADDRESS(1772,21))</f>
        <v>0</v>
      </c>
      <c r="V1773">
        <f>INDIRECT(ADDRESS(1773,21))+INDIRECT(ADDRESS(1771,22))-INDIRECT(ADDRESS(1772,22))</f>
        <v>0</v>
      </c>
      <c r="W1773">
        <f>INDIRECT(ADDRESS(1773,22))+INDIRECT(ADDRESS(1771,23))-INDIRECT(ADDRESS(1772,23))</f>
        <v>0</v>
      </c>
      <c r="X1773">
        <f>INDIRECT(ADDRESS(1773,23))+INDIRECT(ADDRESS(1771,24))-INDIRECT(ADDRESS(1772,24))</f>
        <v>0</v>
      </c>
      <c r="Y1773">
        <f>INDIRECT(ADDRESS(1773,24))+INDIRECT(ADDRESS(1771,25))-INDIRECT(ADDRESS(1772,25))</f>
        <v>0</v>
      </c>
      <c r="Z1773">
        <f>INDIRECT(ADDRESS(1773,25))+INDIRECT(ADDRESS(1771,26))-INDIRECT(ADDRESS(1772,26))</f>
        <v>0</v>
      </c>
      <c r="AA1773">
        <f>INDIRECT(ADDRESS(1773,26))+INDIRECT(ADDRESS(1771,27))-INDIRECT(ADDRESS(1772,27))</f>
        <v>0</v>
      </c>
      <c r="AB1773">
        <f>INDIRECT(ADDRESS(1773,27))+INDIRECT(ADDRESS(1771,28))-INDIRECT(ADDRESS(1772,28))</f>
        <v>0</v>
      </c>
      <c r="AC1773">
        <f>INDIRECT(ADDRESS(1773,28))+INDIRECT(ADDRESS(1771,29))-INDIRECT(ADDRESS(1772,29))</f>
        <v>0</v>
      </c>
      <c r="AD1773">
        <f>INDIRECT(ADDRESS(1773,29))+INDIRECT(ADDRESS(1771,30))-INDIRECT(ADDRESS(1772,30))</f>
        <v>0</v>
      </c>
      <c r="AE1773">
        <f>INDIRECT(ADDRESS(1773,30))+INDIRECT(ADDRESS(1771,31))-INDIRECT(ADDRESS(1772,31))</f>
        <v>0</v>
      </c>
      <c r="AF1773">
        <f>INDIRECT(ADDRESS(1773,31))+INDIRECT(ADDRESS(1771,32))-INDIRECT(ADDRESS(1772,32))</f>
        <v>0</v>
      </c>
      <c r="AG1773">
        <f>INDIRECT(ADDRESS(1773,32))+INDIRECT(ADDRESS(1771,33))-INDIRECT(ADDRESS(1772,33))</f>
        <v>0</v>
      </c>
      <c r="AH1773">
        <f>INDIRECT(ADDRESS(1773,33))+INDIRECT(ADDRESS(1771,34))-INDIRECT(ADDRESS(1772,34))</f>
        <v>0</v>
      </c>
      <c r="AI1773">
        <f>INDIRECT(ADDRESS(1773,34))+INDIRECT(ADDRESS(1771,35))-INDIRECT(ADDRESS(1772,35))</f>
        <v>0</v>
      </c>
      <c r="AJ1773">
        <f>INDIRECT(ADDRESS(1773,35))+INDIRECT(ADDRESS(1771,36))-INDIRECT(ADDRESS(1772,36))</f>
        <v>0</v>
      </c>
      <c r="AK1773">
        <f>INDIRECT(ADDRESS(1773,36))+INDIRECT(ADDRESS(1771,37))-INDIRECT(ADDRESS(1772,37))</f>
        <v>0</v>
      </c>
      <c r="AL1773">
        <f>INDIRECT(ADDRESS(1773,37))+INDIRECT(ADDRESS(1771,38))-INDIRECT(ADDRESS(1772,38))</f>
        <v>0</v>
      </c>
      <c r="AM1773">
        <f>INDIRECT(ADDRESS(1773,38))+INDIRECT(ADDRESS(1771,39))-INDIRECT(ADDRESS(1772,39))</f>
        <v>0</v>
      </c>
      <c r="AN1773">
        <f>INDIRECT(ADDRESS(1773,39))+INDIRECT(ADDRESS(1771,40))-INDIRECT(ADDRESS(1772,40))</f>
        <v>0</v>
      </c>
      <c r="AO1773">
        <f>SUM(INDIRECT(ADDRESS(1772,8)):INDIRECT(ADDRESS(1772,39)))</f>
        <v>0</v>
      </c>
    </row>
    <row r="1774" spans="1:41">
      <c r="A1774" t="s">
        <v>180</v>
      </c>
      <c r="B1774" t="s">
        <v>830</v>
      </c>
      <c r="C1774" t="s">
        <v>146</v>
      </c>
      <c r="E1774">
        <v>1</v>
      </c>
      <c r="I1774" t="s">
        <v>177</v>
      </c>
    </row>
    <row r="1775" spans="1:41">
      <c r="I1775" t="s">
        <v>178</v>
      </c>
      <c r="J1775">
        <f>IFERROR(VLOOKUP("906-442000-210",B:AB,1+8,0),0)</f>
        <v>0</v>
      </c>
      <c r="K1775">
        <f>IFERROR(VLOOKUP("906-442000-210",B:AB,2+8,0),0)</f>
        <v>0</v>
      </c>
      <c r="L1775">
        <f>IFERROR(VLOOKUP("906-442000-210",B:AB,3+8,0),0)</f>
        <v>0</v>
      </c>
      <c r="M1775">
        <f>IFERROR(VLOOKUP("906-442000-210",B:AB,4+8,0),0)</f>
        <v>0</v>
      </c>
      <c r="N1775">
        <f>IFERROR(VLOOKUP("906-442000-210",B:AB,5+8,0),0)</f>
        <v>0</v>
      </c>
      <c r="O1775">
        <f>IFERROR(VLOOKUP("906-442000-210",B:AB,6+8,0),0)</f>
        <v>0</v>
      </c>
      <c r="P1775">
        <f>IFERROR(VLOOKUP("906-442000-210",B:AB,7+8,0),0)</f>
        <v>0</v>
      </c>
      <c r="Q1775">
        <f>IFERROR(VLOOKUP("906-442000-210",B:AB,8+8,0),0)</f>
        <v>0</v>
      </c>
      <c r="R1775">
        <f>IFERROR(VLOOKUP("906-442000-210",B:AB,9+8,0),0)</f>
        <v>0</v>
      </c>
      <c r="S1775">
        <f>IFERROR(VLOOKUP("906-442000-210",B:AB,10+8,0),0)</f>
        <v>0</v>
      </c>
      <c r="T1775">
        <f>IFERROR(VLOOKUP("906-442000-210",B:AB,11+8,0),0)</f>
        <v>0</v>
      </c>
      <c r="U1775">
        <f>IFERROR(VLOOKUP("906-442000-210",B:AB,12+8,0),0)</f>
        <v>0</v>
      </c>
      <c r="V1775">
        <f>IFERROR(VLOOKUP("906-442000-210",B:AB,13+8,0),0)</f>
        <v>0</v>
      </c>
      <c r="W1775">
        <f>IFERROR(VLOOKUP("906-442000-210",B:AB,14+8,0),0)</f>
        <v>0</v>
      </c>
      <c r="X1775">
        <f>IFERROR(VLOOKUP("906-442000-210",B:AB,15+8,0),0)</f>
        <v>0</v>
      </c>
      <c r="Y1775">
        <f>IFERROR(VLOOKUP("906-442000-210",B:AB,16+8,0),0)</f>
        <v>0</v>
      </c>
      <c r="Z1775">
        <f>IFERROR(VLOOKUP("906-442000-210",B:AB,17+8,0),0)</f>
        <v>0</v>
      </c>
      <c r="AA1775">
        <f>IFERROR(VLOOKUP("906-442000-210",B:AB,18+8,0),0)</f>
        <v>0</v>
      </c>
      <c r="AB1775">
        <f>IFERROR(VLOOKUP("906-442000-210",B:AB,19+8,0),0)</f>
        <v>0</v>
      </c>
      <c r="AC1775">
        <f>IFERROR(VLOOKUP("906-442000-210",B:AB,20+8,0),0)</f>
        <v>0</v>
      </c>
      <c r="AD1775">
        <f>IFERROR(VLOOKUP("906-442000-210",B:AB,21+8,0),0)</f>
        <v>0</v>
      </c>
      <c r="AE1775">
        <f>IFERROR(VLOOKUP("906-442000-210",B:AB,22+8,0),0)</f>
        <v>0</v>
      </c>
      <c r="AF1775">
        <f>IFERROR(VLOOKUP("906-442000-210",B:AB,23+8,0),0)</f>
        <v>0</v>
      </c>
      <c r="AG1775">
        <f>IFERROR(VLOOKUP("906-442000-210",B:AB,24+8,0),0)</f>
        <v>0</v>
      </c>
      <c r="AH1775">
        <f>IFERROR(VLOOKUP("906-442000-210",B:AB,25+8,0),0)</f>
        <v>0</v>
      </c>
      <c r="AI1775">
        <f>IFERROR(VLOOKUP("906-442000-210",B:AB,26+8,0),0)</f>
        <v>0</v>
      </c>
      <c r="AJ1775">
        <f>IFERROR(VLOOKUP("906-442000-210",B:AB,27+8,0),0)</f>
        <v>0</v>
      </c>
      <c r="AK1775">
        <f>IFERROR(VLOOKUP("906-442000-210",B:AB,28+8,0),0)</f>
        <v>0</v>
      </c>
      <c r="AL1775">
        <f>IFERROR(VLOOKUP("906-442000-210",B:AB,29+8,0),0)</f>
        <v>0</v>
      </c>
      <c r="AM1775">
        <f>IFERROR(VLOOKUP("906-442000-210",B:AB,30+8,0),0)</f>
        <v>0</v>
      </c>
      <c r="AN1775">
        <f>IFERROR(VLOOKUP("906-442000-210",B:AB,31+8,0),0)</f>
        <v>0</v>
      </c>
      <c r="AO1775">
        <f>SUN(INDIRECT(ADDRESS(1774,8)):INDIRECT(ADDRESS(1774,39)))</f>
        <v>0</v>
      </c>
    </row>
    <row r="1776" spans="1:41">
      <c r="H1776" t="s">
        <v>179</v>
      </c>
      <c r="J1776">
        <f>INDIRECT(ADDRESS(1776,9))+INDIRECT(ADDRESS(1774,10))-INDIRECT(ADDRESS(1775,10))</f>
        <v>0</v>
      </c>
      <c r="K1776">
        <f>INDIRECT(ADDRESS(1776,10))+INDIRECT(ADDRESS(1774,11))-INDIRECT(ADDRESS(1775,11))</f>
        <v>0</v>
      </c>
      <c r="L1776">
        <f>INDIRECT(ADDRESS(1776,11))+INDIRECT(ADDRESS(1774,12))-INDIRECT(ADDRESS(1775,12))</f>
        <v>0</v>
      </c>
      <c r="M1776">
        <f>INDIRECT(ADDRESS(1776,12))+INDIRECT(ADDRESS(1774,13))-INDIRECT(ADDRESS(1775,13))</f>
        <v>0</v>
      </c>
      <c r="N1776">
        <f>INDIRECT(ADDRESS(1776,13))+INDIRECT(ADDRESS(1774,14))-INDIRECT(ADDRESS(1775,14))</f>
        <v>0</v>
      </c>
      <c r="O1776">
        <f>INDIRECT(ADDRESS(1776,14))+INDIRECT(ADDRESS(1774,15))-INDIRECT(ADDRESS(1775,15))</f>
        <v>0</v>
      </c>
      <c r="P1776">
        <f>INDIRECT(ADDRESS(1776,15))+INDIRECT(ADDRESS(1774,16))-INDIRECT(ADDRESS(1775,16))</f>
        <v>0</v>
      </c>
      <c r="Q1776">
        <f>INDIRECT(ADDRESS(1776,16))+INDIRECT(ADDRESS(1774,17))-INDIRECT(ADDRESS(1775,17))</f>
        <v>0</v>
      </c>
      <c r="R1776">
        <f>INDIRECT(ADDRESS(1776,17))+INDIRECT(ADDRESS(1774,18))-INDIRECT(ADDRESS(1775,18))</f>
        <v>0</v>
      </c>
      <c r="S1776">
        <f>INDIRECT(ADDRESS(1776,18))+INDIRECT(ADDRESS(1774,19))-INDIRECT(ADDRESS(1775,19))</f>
        <v>0</v>
      </c>
      <c r="T1776">
        <f>INDIRECT(ADDRESS(1776,19))+INDIRECT(ADDRESS(1774,20))-INDIRECT(ADDRESS(1775,20))</f>
        <v>0</v>
      </c>
      <c r="U1776">
        <f>INDIRECT(ADDRESS(1776,20))+INDIRECT(ADDRESS(1774,21))-INDIRECT(ADDRESS(1775,21))</f>
        <v>0</v>
      </c>
      <c r="V1776">
        <f>INDIRECT(ADDRESS(1776,21))+INDIRECT(ADDRESS(1774,22))-INDIRECT(ADDRESS(1775,22))</f>
        <v>0</v>
      </c>
      <c r="W1776">
        <f>INDIRECT(ADDRESS(1776,22))+INDIRECT(ADDRESS(1774,23))-INDIRECT(ADDRESS(1775,23))</f>
        <v>0</v>
      </c>
      <c r="X1776">
        <f>INDIRECT(ADDRESS(1776,23))+INDIRECT(ADDRESS(1774,24))-INDIRECT(ADDRESS(1775,24))</f>
        <v>0</v>
      </c>
      <c r="Y1776">
        <f>INDIRECT(ADDRESS(1776,24))+INDIRECT(ADDRESS(1774,25))-INDIRECT(ADDRESS(1775,25))</f>
        <v>0</v>
      </c>
      <c r="Z1776">
        <f>INDIRECT(ADDRESS(1776,25))+INDIRECT(ADDRESS(1774,26))-INDIRECT(ADDRESS(1775,26))</f>
        <v>0</v>
      </c>
      <c r="AA1776">
        <f>INDIRECT(ADDRESS(1776,26))+INDIRECT(ADDRESS(1774,27))-INDIRECT(ADDRESS(1775,27))</f>
        <v>0</v>
      </c>
      <c r="AB1776">
        <f>INDIRECT(ADDRESS(1776,27))+INDIRECT(ADDRESS(1774,28))-INDIRECT(ADDRESS(1775,28))</f>
        <v>0</v>
      </c>
      <c r="AC1776">
        <f>INDIRECT(ADDRESS(1776,28))+INDIRECT(ADDRESS(1774,29))-INDIRECT(ADDRESS(1775,29))</f>
        <v>0</v>
      </c>
      <c r="AD1776">
        <f>INDIRECT(ADDRESS(1776,29))+INDIRECT(ADDRESS(1774,30))-INDIRECT(ADDRESS(1775,30))</f>
        <v>0</v>
      </c>
      <c r="AE1776">
        <f>INDIRECT(ADDRESS(1776,30))+INDIRECT(ADDRESS(1774,31))-INDIRECT(ADDRESS(1775,31))</f>
        <v>0</v>
      </c>
      <c r="AF1776">
        <f>INDIRECT(ADDRESS(1776,31))+INDIRECT(ADDRESS(1774,32))-INDIRECT(ADDRESS(1775,32))</f>
        <v>0</v>
      </c>
      <c r="AG1776">
        <f>INDIRECT(ADDRESS(1776,32))+INDIRECT(ADDRESS(1774,33))-INDIRECT(ADDRESS(1775,33))</f>
        <v>0</v>
      </c>
      <c r="AH1776">
        <f>INDIRECT(ADDRESS(1776,33))+INDIRECT(ADDRESS(1774,34))-INDIRECT(ADDRESS(1775,34))</f>
        <v>0</v>
      </c>
      <c r="AI1776">
        <f>INDIRECT(ADDRESS(1776,34))+INDIRECT(ADDRESS(1774,35))-INDIRECT(ADDRESS(1775,35))</f>
        <v>0</v>
      </c>
      <c r="AJ1776">
        <f>INDIRECT(ADDRESS(1776,35))+INDIRECT(ADDRESS(1774,36))-INDIRECT(ADDRESS(1775,36))</f>
        <v>0</v>
      </c>
      <c r="AK1776">
        <f>INDIRECT(ADDRESS(1776,36))+INDIRECT(ADDRESS(1774,37))-INDIRECT(ADDRESS(1775,37))</f>
        <v>0</v>
      </c>
      <c r="AL1776">
        <f>INDIRECT(ADDRESS(1776,37))+INDIRECT(ADDRESS(1774,38))-INDIRECT(ADDRESS(1775,38))</f>
        <v>0</v>
      </c>
      <c r="AM1776">
        <f>INDIRECT(ADDRESS(1776,38))+INDIRECT(ADDRESS(1774,39))-INDIRECT(ADDRESS(1775,39))</f>
        <v>0</v>
      </c>
      <c r="AN1776">
        <f>INDIRECT(ADDRESS(1776,39))+INDIRECT(ADDRESS(1774,40))-INDIRECT(ADDRESS(1775,40))</f>
        <v>0</v>
      </c>
      <c r="AO1776">
        <f>SUM(INDIRECT(ADDRESS(1775,8)):INDIRECT(ADDRESS(1775,39)))</f>
        <v>0</v>
      </c>
    </row>
    <row r="1777" spans="1:41">
      <c r="A1777" t="s">
        <v>185</v>
      </c>
      <c r="B1777" t="s">
        <v>830</v>
      </c>
      <c r="C1777" t="s">
        <v>146</v>
      </c>
      <c r="E1777">
        <v>0.33</v>
      </c>
      <c r="I1777" t="s">
        <v>177</v>
      </c>
    </row>
    <row r="1778" spans="1:41">
      <c r="I1778" t="s">
        <v>178</v>
      </c>
      <c r="J1778">
        <f>IFERROR(VLOOKUP("906-442000-210",B:AB,1+8,0),0)</f>
        <v>0</v>
      </c>
      <c r="K1778">
        <f>IFERROR(VLOOKUP("906-442000-210",B:AB,2+8,0),0)</f>
        <v>0</v>
      </c>
      <c r="L1778">
        <f>IFERROR(VLOOKUP("906-442000-210",B:AB,3+8,0),0)</f>
        <v>0</v>
      </c>
      <c r="M1778">
        <f>IFERROR(VLOOKUP("906-442000-210",B:AB,4+8,0),0)</f>
        <v>0</v>
      </c>
      <c r="N1778">
        <f>IFERROR(VLOOKUP("906-442000-210",B:AB,5+8,0),0)</f>
        <v>0</v>
      </c>
      <c r="O1778">
        <f>IFERROR(VLOOKUP("906-442000-210",B:AB,6+8,0),0)</f>
        <v>0</v>
      </c>
      <c r="P1778">
        <f>IFERROR(VLOOKUP("906-442000-210",B:AB,7+8,0),0)</f>
        <v>0</v>
      </c>
      <c r="Q1778">
        <f>IFERROR(VLOOKUP("906-442000-210",B:AB,8+8,0),0)</f>
        <v>0</v>
      </c>
      <c r="R1778">
        <f>IFERROR(VLOOKUP("906-442000-210",B:AB,9+8,0),0)</f>
        <v>0</v>
      </c>
      <c r="S1778">
        <f>IFERROR(VLOOKUP("906-442000-210",B:AB,10+8,0),0)</f>
        <v>0</v>
      </c>
      <c r="T1778">
        <f>IFERROR(VLOOKUP("906-442000-210",B:AB,11+8,0),0)</f>
        <v>0</v>
      </c>
      <c r="U1778">
        <f>IFERROR(VLOOKUP("906-442000-210",B:AB,12+8,0),0)</f>
        <v>0</v>
      </c>
      <c r="V1778">
        <f>IFERROR(VLOOKUP("906-442000-210",B:AB,13+8,0),0)</f>
        <v>0</v>
      </c>
      <c r="W1778">
        <f>IFERROR(VLOOKUP("906-442000-210",B:AB,14+8,0),0)</f>
        <v>0</v>
      </c>
      <c r="X1778">
        <f>IFERROR(VLOOKUP("906-442000-210",B:AB,15+8,0),0)</f>
        <v>0</v>
      </c>
      <c r="Y1778">
        <f>IFERROR(VLOOKUP("906-442000-210",B:AB,16+8,0),0)</f>
        <v>0</v>
      </c>
      <c r="Z1778">
        <f>IFERROR(VLOOKUP("906-442000-210",B:AB,17+8,0),0)</f>
        <v>0</v>
      </c>
      <c r="AA1778">
        <f>IFERROR(VLOOKUP("906-442000-210",B:AB,18+8,0),0)</f>
        <v>0</v>
      </c>
      <c r="AB1778">
        <f>IFERROR(VLOOKUP("906-442000-210",B:AB,19+8,0),0)</f>
        <v>0</v>
      </c>
      <c r="AC1778">
        <f>IFERROR(VLOOKUP("906-442000-210",B:AB,20+8,0),0)</f>
        <v>0</v>
      </c>
      <c r="AD1778">
        <f>IFERROR(VLOOKUP("906-442000-210",B:AB,21+8,0),0)</f>
        <v>0</v>
      </c>
      <c r="AE1778">
        <f>IFERROR(VLOOKUP("906-442000-210",B:AB,22+8,0),0)</f>
        <v>0</v>
      </c>
      <c r="AF1778">
        <f>IFERROR(VLOOKUP("906-442000-210",B:AB,23+8,0),0)</f>
        <v>0</v>
      </c>
      <c r="AG1778">
        <f>IFERROR(VLOOKUP("906-442000-210",B:AB,24+8,0),0)</f>
        <v>0</v>
      </c>
      <c r="AH1778">
        <f>IFERROR(VLOOKUP("906-442000-210",B:AB,25+8,0),0)</f>
        <v>0</v>
      </c>
      <c r="AI1778">
        <f>IFERROR(VLOOKUP("906-442000-210",B:AB,26+8,0),0)</f>
        <v>0</v>
      </c>
      <c r="AJ1778">
        <f>IFERROR(VLOOKUP("906-442000-210",B:AB,27+8,0),0)</f>
        <v>0</v>
      </c>
      <c r="AK1778">
        <f>IFERROR(VLOOKUP("906-442000-210",B:AB,28+8,0),0)</f>
        <v>0</v>
      </c>
      <c r="AL1778">
        <f>IFERROR(VLOOKUP("906-442000-210",B:AB,29+8,0),0)</f>
        <v>0</v>
      </c>
      <c r="AM1778">
        <f>IFERROR(VLOOKUP("906-442000-210",B:AB,30+8,0),0)</f>
        <v>0</v>
      </c>
      <c r="AN1778">
        <f>IFERROR(VLOOKUP("906-442000-210",B:AB,31+8,0),0)</f>
        <v>0</v>
      </c>
      <c r="AO1778">
        <f>SUN(INDIRECT(ADDRESS(1777,8)):INDIRECT(ADDRESS(1777,39)))</f>
        <v>0</v>
      </c>
    </row>
    <row r="1779" spans="1:41">
      <c r="H1779" t="s">
        <v>179</v>
      </c>
      <c r="J1779">
        <f>INDIRECT(ADDRESS(1779,9))+INDIRECT(ADDRESS(1777,10))-INDIRECT(ADDRESS(1778,10))</f>
        <v>0</v>
      </c>
      <c r="K1779">
        <f>INDIRECT(ADDRESS(1779,10))+INDIRECT(ADDRESS(1777,11))-INDIRECT(ADDRESS(1778,11))</f>
        <v>0</v>
      </c>
      <c r="L1779">
        <f>INDIRECT(ADDRESS(1779,11))+INDIRECT(ADDRESS(1777,12))-INDIRECT(ADDRESS(1778,12))</f>
        <v>0</v>
      </c>
      <c r="M1779">
        <f>INDIRECT(ADDRESS(1779,12))+INDIRECT(ADDRESS(1777,13))-INDIRECT(ADDRESS(1778,13))</f>
        <v>0</v>
      </c>
      <c r="N1779">
        <f>INDIRECT(ADDRESS(1779,13))+INDIRECT(ADDRESS(1777,14))-INDIRECT(ADDRESS(1778,14))</f>
        <v>0</v>
      </c>
      <c r="O1779">
        <f>INDIRECT(ADDRESS(1779,14))+INDIRECT(ADDRESS(1777,15))-INDIRECT(ADDRESS(1778,15))</f>
        <v>0</v>
      </c>
      <c r="P1779">
        <f>INDIRECT(ADDRESS(1779,15))+INDIRECT(ADDRESS(1777,16))-INDIRECT(ADDRESS(1778,16))</f>
        <v>0</v>
      </c>
      <c r="Q1779">
        <f>INDIRECT(ADDRESS(1779,16))+INDIRECT(ADDRESS(1777,17))-INDIRECT(ADDRESS(1778,17))</f>
        <v>0</v>
      </c>
      <c r="R1779">
        <f>INDIRECT(ADDRESS(1779,17))+INDIRECT(ADDRESS(1777,18))-INDIRECT(ADDRESS(1778,18))</f>
        <v>0</v>
      </c>
      <c r="S1779">
        <f>INDIRECT(ADDRESS(1779,18))+INDIRECT(ADDRESS(1777,19))-INDIRECT(ADDRESS(1778,19))</f>
        <v>0</v>
      </c>
      <c r="T1779">
        <f>INDIRECT(ADDRESS(1779,19))+INDIRECT(ADDRESS(1777,20))-INDIRECT(ADDRESS(1778,20))</f>
        <v>0</v>
      </c>
      <c r="U1779">
        <f>INDIRECT(ADDRESS(1779,20))+INDIRECT(ADDRESS(1777,21))-INDIRECT(ADDRESS(1778,21))</f>
        <v>0</v>
      </c>
      <c r="V1779">
        <f>INDIRECT(ADDRESS(1779,21))+INDIRECT(ADDRESS(1777,22))-INDIRECT(ADDRESS(1778,22))</f>
        <v>0</v>
      </c>
      <c r="W1779">
        <f>INDIRECT(ADDRESS(1779,22))+INDIRECT(ADDRESS(1777,23))-INDIRECT(ADDRESS(1778,23))</f>
        <v>0</v>
      </c>
      <c r="X1779">
        <f>INDIRECT(ADDRESS(1779,23))+INDIRECT(ADDRESS(1777,24))-INDIRECT(ADDRESS(1778,24))</f>
        <v>0</v>
      </c>
      <c r="Y1779">
        <f>INDIRECT(ADDRESS(1779,24))+INDIRECT(ADDRESS(1777,25))-INDIRECT(ADDRESS(1778,25))</f>
        <v>0</v>
      </c>
      <c r="Z1779">
        <f>INDIRECT(ADDRESS(1779,25))+INDIRECT(ADDRESS(1777,26))-INDIRECT(ADDRESS(1778,26))</f>
        <v>0</v>
      </c>
      <c r="AA1779">
        <f>INDIRECT(ADDRESS(1779,26))+INDIRECT(ADDRESS(1777,27))-INDIRECT(ADDRESS(1778,27))</f>
        <v>0</v>
      </c>
      <c r="AB1779">
        <f>INDIRECT(ADDRESS(1779,27))+INDIRECT(ADDRESS(1777,28))-INDIRECT(ADDRESS(1778,28))</f>
        <v>0</v>
      </c>
      <c r="AC1779">
        <f>INDIRECT(ADDRESS(1779,28))+INDIRECT(ADDRESS(1777,29))-INDIRECT(ADDRESS(1778,29))</f>
        <v>0</v>
      </c>
      <c r="AD1779">
        <f>INDIRECT(ADDRESS(1779,29))+INDIRECT(ADDRESS(1777,30))-INDIRECT(ADDRESS(1778,30))</f>
        <v>0</v>
      </c>
      <c r="AE1779">
        <f>INDIRECT(ADDRESS(1779,30))+INDIRECT(ADDRESS(1777,31))-INDIRECT(ADDRESS(1778,31))</f>
        <v>0</v>
      </c>
      <c r="AF1779">
        <f>INDIRECT(ADDRESS(1779,31))+INDIRECT(ADDRESS(1777,32))-INDIRECT(ADDRESS(1778,32))</f>
        <v>0</v>
      </c>
      <c r="AG1779">
        <f>INDIRECT(ADDRESS(1779,32))+INDIRECT(ADDRESS(1777,33))-INDIRECT(ADDRESS(1778,33))</f>
        <v>0</v>
      </c>
      <c r="AH1779">
        <f>INDIRECT(ADDRESS(1779,33))+INDIRECT(ADDRESS(1777,34))-INDIRECT(ADDRESS(1778,34))</f>
        <v>0</v>
      </c>
      <c r="AI1779">
        <f>INDIRECT(ADDRESS(1779,34))+INDIRECT(ADDRESS(1777,35))-INDIRECT(ADDRESS(1778,35))</f>
        <v>0</v>
      </c>
      <c r="AJ1779">
        <f>INDIRECT(ADDRESS(1779,35))+INDIRECT(ADDRESS(1777,36))-INDIRECT(ADDRESS(1778,36))</f>
        <v>0</v>
      </c>
      <c r="AK1779">
        <f>INDIRECT(ADDRESS(1779,36))+INDIRECT(ADDRESS(1777,37))-INDIRECT(ADDRESS(1778,37))</f>
        <v>0</v>
      </c>
      <c r="AL1779">
        <f>INDIRECT(ADDRESS(1779,37))+INDIRECT(ADDRESS(1777,38))-INDIRECT(ADDRESS(1778,38))</f>
        <v>0</v>
      </c>
      <c r="AM1779">
        <f>INDIRECT(ADDRESS(1779,38))+INDIRECT(ADDRESS(1777,39))-INDIRECT(ADDRESS(1778,39))</f>
        <v>0</v>
      </c>
      <c r="AN1779">
        <f>INDIRECT(ADDRESS(1779,39))+INDIRECT(ADDRESS(1777,40))-INDIRECT(ADDRESS(1778,40))</f>
        <v>0</v>
      </c>
      <c r="AO1779">
        <f>SUM(INDIRECT(ADDRESS(1778,8)):INDIRECT(ADDRESS(1778,39)))</f>
        <v>0</v>
      </c>
    </row>
    <row r="1780" spans="1:41">
      <c r="A1780" t="s">
        <v>185</v>
      </c>
      <c r="B1780" t="s">
        <v>829</v>
      </c>
      <c r="C1780" t="s">
        <v>146</v>
      </c>
      <c r="E1780">
        <v>1</v>
      </c>
      <c r="I1780" t="s">
        <v>177</v>
      </c>
    </row>
    <row r="1781" spans="1:41">
      <c r="I1781" t="s">
        <v>178</v>
      </c>
      <c r="J1781">
        <f>IFERROR(VLOOKUP("906-442000-210",B:AB,1+8,0),0)</f>
        <v>0</v>
      </c>
      <c r="K1781">
        <f>IFERROR(VLOOKUP("906-442000-210",B:AB,2+8,0),0)</f>
        <v>0</v>
      </c>
      <c r="L1781">
        <f>IFERROR(VLOOKUP("906-442000-210",B:AB,3+8,0),0)</f>
        <v>0</v>
      </c>
      <c r="M1781">
        <f>IFERROR(VLOOKUP("906-442000-210",B:AB,4+8,0),0)</f>
        <v>0</v>
      </c>
      <c r="N1781">
        <f>IFERROR(VLOOKUP("906-442000-210",B:AB,5+8,0),0)</f>
        <v>0</v>
      </c>
      <c r="O1781">
        <f>IFERROR(VLOOKUP("906-442000-210",B:AB,6+8,0),0)</f>
        <v>0</v>
      </c>
      <c r="P1781">
        <f>IFERROR(VLOOKUP("906-442000-210",B:AB,7+8,0),0)</f>
        <v>0</v>
      </c>
      <c r="Q1781">
        <f>IFERROR(VLOOKUP("906-442000-210",B:AB,8+8,0),0)</f>
        <v>0</v>
      </c>
      <c r="R1781">
        <f>IFERROR(VLOOKUP("906-442000-210",B:AB,9+8,0),0)</f>
        <v>0</v>
      </c>
      <c r="S1781">
        <f>IFERROR(VLOOKUP("906-442000-210",B:AB,10+8,0),0)</f>
        <v>0</v>
      </c>
      <c r="T1781">
        <f>IFERROR(VLOOKUP("906-442000-210",B:AB,11+8,0),0)</f>
        <v>0</v>
      </c>
      <c r="U1781">
        <f>IFERROR(VLOOKUP("906-442000-210",B:AB,12+8,0),0)</f>
        <v>0</v>
      </c>
      <c r="V1781">
        <f>IFERROR(VLOOKUP("906-442000-210",B:AB,13+8,0),0)</f>
        <v>0</v>
      </c>
      <c r="W1781">
        <f>IFERROR(VLOOKUP("906-442000-210",B:AB,14+8,0),0)</f>
        <v>0</v>
      </c>
      <c r="X1781">
        <f>IFERROR(VLOOKUP("906-442000-210",B:AB,15+8,0),0)</f>
        <v>0</v>
      </c>
      <c r="Y1781">
        <f>IFERROR(VLOOKUP("906-442000-210",B:AB,16+8,0),0)</f>
        <v>0</v>
      </c>
      <c r="Z1781">
        <f>IFERROR(VLOOKUP("906-442000-210",B:AB,17+8,0),0)</f>
        <v>0</v>
      </c>
      <c r="AA1781">
        <f>IFERROR(VLOOKUP("906-442000-210",B:AB,18+8,0),0)</f>
        <v>0</v>
      </c>
      <c r="AB1781">
        <f>IFERROR(VLOOKUP("906-442000-210",B:AB,19+8,0),0)</f>
        <v>0</v>
      </c>
      <c r="AC1781">
        <f>IFERROR(VLOOKUP("906-442000-210",B:AB,20+8,0),0)</f>
        <v>0</v>
      </c>
      <c r="AD1781">
        <f>IFERROR(VLOOKUP("906-442000-210",B:AB,21+8,0),0)</f>
        <v>0</v>
      </c>
      <c r="AE1781">
        <f>IFERROR(VLOOKUP("906-442000-210",B:AB,22+8,0),0)</f>
        <v>0</v>
      </c>
      <c r="AF1781">
        <f>IFERROR(VLOOKUP("906-442000-210",B:AB,23+8,0),0)</f>
        <v>0</v>
      </c>
      <c r="AG1781">
        <f>IFERROR(VLOOKUP("906-442000-210",B:AB,24+8,0),0)</f>
        <v>0</v>
      </c>
      <c r="AH1781">
        <f>IFERROR(VLOOKUP("906-442000-210",B:AB,25+8,0),0)</f>
        <v>0</v>
      </c>
      <c r="AI1781">
        <f>IFERROR(VLOOKUP("906-442000-210",B:AB,26+8,0),0)</f>
        <v>0</v>
      </c>
      <c r="AJ1781">
        <f>IFERROR(VLOOKUP("906-442000-210",B:AB,27+8,0),0)</f>
        <v>0</v>
      </c>
      <c r="AK1781">
        <f>IFERROR(VLOOKUP("906-442000-210",B:AB,28+8,0),0)</f>
        <v>0</v>
      </c>
      <c r="AL1781">
        <f>IFERROR(VLOOKUP("906-442000-210",B:AB,29+8,0),0)</f>
        <v>0</v>
      </c>
      <c r="AM1781">
        <f>IFERROR(VLOOKUP("906-442000-210",B:AB,30+8,0),0)</f>
        <v>0</v>
      </c>
      <c r="AN1781">
        <f>IFERROR(VLOOKUP("906-442000-210",B:AB,31+8,0),0)</f>
        <v>0</v>
      </c>
      <c r="AO1781">
        <f>SUN(INDIRECT(ADDRESS(1780,8)):INDIRECT(ADDRESS(1780,39)))</f>
        <v>0</v>
      </c>
    </row>
    <row r="1782" spans="1:41">
      <c r="H1782" t="s">
        <v>179</v>
      </c>
      <c r="J1782">
        <f>INDIRECT(ADDRESS(1782,9))+INDIRECT(ADDRESS(1780,10))-INDIRECT(ADDRESS(1781,10))</f>
        <v>0</v>
      </c>
      <c r="K1782">
        <f>INDIRECT(ADDRESS(1782,10))+INDIRECT(ADDRESS(1780,11))-INDIRECT(ADDRESS(1781,11))</f>
        <v>0</v>
      </c>
      <c r="L1782">
        <f>INDIRECT(ADDRESS(1782,11))+INDIRECT(ADDRESS(1780,12))-INDIRECT(ADDRESS(1781,12))</f>
        <v>0</v>
      </c>
      <c r="M1782">
        <f>INDIRECT(ADDRESS(1782,12))+INDIRECT(ADDRESS(1780,13))-INDIRECT(ADDRESS(1781,13))</f>
        <v>0</v>
      </c>
      <c r="N1782">
        <f>INDIRECT(ADDRESS(1782,13))+INDIRECT(ADDRESS(1780,14))-INDIRECT(ADDRESS(1781,14))</f>
        <v>0</v>
      </c>
      <c r="O1782">
        <f>INDIRECT(ADDRESS(1782,14))+INDIRECT(ADDRESS(1780,15))-INDIRECT(ADDRESS(1781,15))</f>
        <v>0</v>
      </c>
      <c r="P1782">
        <f>INDIRECT(ADDRESS(1782,15))+INDIRECT(ADDRESS(1780,16))-INDIRECT(ADDRESS(1781,16))</f>
        <v>0</v>
      </c>
      <c r="Q1782">
        <f>INDIRECT(ADDRESS(1782,16))+INDIRECT(ADDRESS(1780,17))-INDIRECT(ADDRESS(1781,17))</f>
        <v>0</v>
      </c>
      <c r="R1782">
        <f>INDIRECT(ADDRESS(1782,17))+INDIRECT(ADDRESS(1780,18))-INDIRECT(ADDRESS(1781,18))</f>
        <v>0</v>
      </c>
      <c r="S1782">
        <f>INDIRECT(ADDRESS(1782,18))+INDIRECT(ADDRESS(1780,19))-INDIRECT(ADDRESS(1781,19))</f>
        <v>0</v>
      </c>
      <c r="T1782">
        <f>INDIRECT(ADDRESS(1782,19))+INDIRECT(ADDRESS(1780,20))-INDIRECT(ADDRESS(1781,20))</f>
        <v>0</v>
      </c>
      <c r="U1782">
        <f>INDIRECT(ADDRESS(1782,20))+INDIRECT(ADDRESS(1780,21))-INDIRECT(ADDRESS(1781,21))</f>
        <v>0</v>
      </c>
      <c r="V1782">
        <f>INDIRECT(ADDRESS(1782,21))+INDIRECT(ADDRESS(1780,22))-INDIRECT(ADDRESS(1781,22))</f>
        <v>0</v>
      </c>
      <c r="W1782">
        <f>INDIRECT(ADDRESS(1782,22))+INDIRECT(ADDRESS(1780,23))-INDIRECT(ADDRESS(1781,23))</f>
        <v>0</v>
      </c>
      <c r="X1782">
        <f>INDIRECT(ADDRESS(1782,23))+INDIRECT(ADDRESS(1780,24))-INDIRECT(ADDRESS(1781,24))</f>
        <v>0</v>
      </c>
      <c r="Y1782">
        <f>INDIRECT(ADDRESS(1782,24))+INDIRECT(ADDRESS(1780,25))-INDIRECT(ADDRESS(1781,25))</f>
        <v>0</v>
      </c>
      <c r="Z1782">
        <f>INDIRECT(ADDRESS(1782,25))+INDIRECT(ADDRESS(1780,26))-INDIRECT(ADDRESS(1781,26))</f>
        <v>0</v>
      </c>
      <c r="AA1782">
        <f>INDIRECT(ADDRESS(1782,26))+INDIRECT(ADDRESS(1780,27))-INDIRECT(ADDRESS(1781,27))</f>
        <v>0</v>
      </c>
      <c r="AB1782">
        <f>INDIRECT(ADDRESS(1782,27))+INDIRECT(ADDRESS(1780,28))-INDIRECT(ADDRESS(1781,28))</f>
        <v>0</v>
      </c>
      <c r="AC1782">
        <f>INDIRECT(ADDRESS(1782,28))+INDIRECT(ADDRESS(1780,29))-INDIRECT(ADDRESS(1781,29))</f>
        <v>0</v>
      </c>
      <c r="AD1782">
        <f>INDIRECT(ADDRESS(1782,29))+INDIRECT(ADDRESS(1780,30))-INDIRECT(ADDRESS(1781,30))</f>
        <v>0</v>
      </c>
      <c r="AE1782">
        <f>INDIRECT(ADDRESS(1782,30))+INDIRECT(ADDRESS(1780,31))-INDIRECT(ADDRESS(1781,31))</f>
        <v>0</v>
      </c>
      <c r="AF1782">
        <f>INDIRECT(ADDRESS(1782,31))+INDIRECT(ADDRESS(1780,32))-INDIRECT(ADDRESS(1781,32))</f>
        <v>0</v>
      </c>
      <c r="AG1782">
        <f>INDIRECT(ADDRESS(1782,32))+INDIRECT(ADDRESS(1780,33))-INDIRECT(ADDRESS(1781,33))</f>
        <v>0</v>
      </c>
      <c r="AH1782">
        <f>INDIRECT(ADDRESS(1782,33))+INDIRECT(ADDRESS(1780,34))-INDIRECT(ADDRESS(1781,34))</f>
        <v>0</v>
      </c>
      <c r="AI1782">
        <f>INDIRECT(ADDRESS(1782,34))+INDIRECT(ADDRESS(1780,35))-INDIRECT(ADDRESS(1781,35))</f>
        <v>0</v>
      </c>
      <c r="AJ1782">
        <f>INDIRECT(ADDRESS(1782,35))+INDIRECT(ADDRESS(1780,36))-INDIRECT(ADDRESS(1781,36))</f>
        <v>0</v>
      </c>
      <c r="AK1782">
        <f>INDIRECT(ADDRESS(1782,36))+INDIRECT(ADDRESS(1780,37))-INDIRECT(ADDRESS(1781,37))</f>
        <v>0</v>
      </c>
      <c r="AL1782">
        <f>INDIRECT(ADDRESS(1782,37))+INDIRECT(ADDRESS(1780,38))-INDIRECT(ADDRESS(1781,38))</f>
        <v>0</v>
      </c>
      <c r="AM1782">
        <f>INDIRECT(ADDRESS(1782,38))+INDIRECT(ADDRESS(1780,39))-INDIRECT(ADDRESS(1781,39))</f>
        <v>0</v>
      </c>
      <c r="AN1782">
        <f>INDIRECT(ADDRESS(1782,39))+INDIRECT(ADDRESS(1780,40))-INDIRECT(ADDRESS(1781,40))</f>
        <v>0</v>
      </c>
      <c r="AO1782">
        <f>SUM(INDIRECT(ADDRESS(1781,8)):INDIRECT(ADDRESS(1781,39)))</f>
        <v>0</v>
      </c>
    </row>
    <row r="1783" spans="1:41">
      <c r="A1783" t="s">
        <v>8</v>
      </c>
      <c r="B1783" t="s">
        <v>148</v>
      </c>
      <c r="C1783" t="s">
        <v>149</v>
      </c>
      <c r="E1783" t="s">
        <v>150</v>
      </c>
      <c r="I1783" t="s">
        <v>177</v>
      </c>
    </row>
    <row r="1784" spans="1:41">
      <c r="I1784" t="s">
        <v>178</v>
      </c>
      <c r="J1784">
        <f>IFERROR(VLOOKUP("906-443000-210",Out!B:AB,1+8,0),0)</f>
        <v>0</v>
      </c>
      <c r="K1784">
        <f>IFERROR(VLOOKUP("906-443000-210",Out!B:AB,2+8,0),0)</f>
        <v>0</v>
      </c>
      <c r="L1784">
        <f>IFERROR(VLOOKUP("906-443000-210",Out!B:AB,3+8,0),0)</f>
        <v>0</v>
      </c>
      <c r="M1784">
        <f>IFERROR(VLOOKUP("906-443000-210",Out!B:AB,4+8,0),0)</f>
        <v>0</v>
      </c>
      <c r="N1784">
        <f>IFERROR(VLOOKUP("906-443000-210",Out!B:AB,5+8,0),0)</f>
        <v>0</v>
      </c>
      <c r="O1784">
        <f>IFERROR(VLOOKUP("906-443000-210",Out!B:AB,6+8,0),0)</f>
        <v>0</v>
      </c>
      <c r="P1784">
        <f>IFERROR(VLOOKUP("906-443000-210",Out!B:AB,7+8,0),0)</f>
        <v>0</v>
      </c>
      <c r="Q1784">
        <f>IFERROR(VLOOKUP("906-443000-210",Out!B:AB,8+8,0),0)</f>
        <v>0</v>
      </c>
      <c r="R1784">
        <f>IFERROR(VLOOKUP("906-443000-210",Out!B:AB,9+8,0),0)</f>
        <v>0</v>
      </c>
      <c r="S1784">
        <f>IFERROR(VLOOKUP("906-443000-210",Out!B:AB,10+8,0),0)</f>
        <v>0</v>
      </c>
      <c r="T1784">
        <f>IFERROR(VLOOKUP("906-443000-210",Out!B:AB,11+8,0),0)</f>
        <v>0</v>
      </c>
      <c r="U1784">
        <f>IFERROR(VLOOKUP("906-443000-210",Out!B:AB,12+8,0),0)</f>
        <v>0</v>
      </c>
      <c r="V1784">
        <f>IFERROR(VLOOKUP("906-443000-210",Out!B:AB,13+8,0),0)</f>
        <v>0</v>
      </c>
      <c r="W1784">
        <f>IFERROR(VLOOKUP("906-443000-210",Out!B:AB,14+8,0),0)</f>
        <v>0</v>
      </c>
      <c r="X1784">
        <f>IFERROR(VLOOKUP("906-443000-210",Out!B:AB,15+8,0),0)</f>
        <v>0</v>
      </c>
      <c r="Y1784">
        <f>IFERROR(VLOOKUP("906-443000-210",Out!B:AB,16+8,0),0)</f>
        <v>0</v>
      </c>
      <c r="Z1784">
        <f>IFERROR(VLOOKUP("906-443000-210",Out!B:AB,17+8,0),0)</f>
        <v>0</v>
      </c>
      <c r="AA1784">
        <f>IFERROR(VLOOKUP("906-443000-210",Out!B:AB,18+8,0),0)</f>
        <v>0</v>
      </c>
      <c r="AB1784">
        <f>IFERROR(VLOOKUP("906-443000-210",Out!B:AB,19+8,0),0)</f>
        <v>0</v>
      </c>
      <c r="AC1784">
        <f>IFERROR(VLOOKUP("906-443000-210",Out!B:AB,20+8,0),0)</f>
        <v>0</v>
      </c>
      <c r="AD1784">
        <f>IFERROR(VLOOKUP("906-443000-210",Out!B:AB,21+8,0),0)</f>
        <v>0</v>
      </c>
      <c r="AE1784">
        <f>IFERROR(VLOOKUP("906-443000-210",Out!B:AB,22+8,0),0)</f>
        <v>0</v>
      </c>
      <c r="AF1784">
        <f>IFERROR(VLOOKUP("906-443000-210",Out!B:AB,23+8,0),0)</f>
        <v>0</v>
      </c>
      <c r="AG1784">
        <f>IFERROR(VLOOKUP("906-443000-210",Out!B:AB,24+8,0),0)</f>
        <v>0</v>
      </c>
      <c r="AH1784">
        <f>IFERROR(VLOOKUP("906-443000-210",Out!B:AB,25+8,0),0)</f>
        <v>0</v>
      </c>
      <c r="AI1784">
        <f>IFERROR(VLOOKUP("906-443000-210",Out!B:AB,26+8,0),0)</f>
        <v>0</v>
      </c>
      <c r="AJ1784">
        <f>IFERROR(VLOOKUP("906-443000-210",Out!B:AB,27+8,0),0)</f>
        <v>0</v>
      </c>
      <c r="AK1784">
        <f>IFERROR(VLOOKUP("906-443000-210",Out!B:AB,28+8,0),0)</f>
        <v>0</v>
      </c>
      <c r="AL1784">
        <f>IFERROR(VLOOKUP("906-443000-210",Out!B:AB,29+8,0),0)</f>
        <v>0</v>
      </c>
      <c r="AM1784">
        <f>IFERROR(VLOOKUP("906-443000-210",Out!B:AB,30+8,0),0)</f>
        <v>0</v>
      </c>
      <c r="AN1784">
        <f>IFERROR(VLOOKUP("906-443000-210",Out!B:AB,31+8,0),0)</f>
        <v>0</v>
      </c>
      <c r="AO1784">
        <f>SUN(INDIRECT(ADDRESS(1783,8)):INDIRECT(ADDRESS(1783,39)))</f>
        <v>0</v>
      </c>
    </row>
    <row r="1785" spans="1:41">
      <c r="H1785" t="s">
        <v>179</v>
      </c>
      <c r="J1785">
        <f>INDIRECT(ADDRESS(1785,9))+INDIRECT(ADDRESS(1783,10))-INDIRECT(ADDRESS(1784,10))</f>
        <v>0</v>
      </c>
      <c r="K1785">
        <f>INDIRECT(ADDRESS(1785,10))+INDIRECT(ADDRESS(1783,11))-INDIRECT(ADDRESS(1784,11))</f>
        <v>0</v>
      </c>
      <c r="L1785">
        <f>INDIRECT(ADDRESS(1785,11))+INDIRECT(ADDRESS(1783,12))-INDIRECT(ADDRESS(1784,12))</f>
        <v>0</v>
      </c>
      <c r="M1785">
        <f>INDIRECT(ADDRESS(1785,12))+INDIRECT(ADDRESS(1783,13))-INDIRECT(ADDRESS(1784,13))</f>
        <v>0</v>
      </c>
      <c r="N1785">
        <f>INDIRECT(ADDRESS(1785,13))+INDIRECT(ADDRESS(1783,14))-INDIRECT(ADDRESS(1784,14))</f>
        <v>0</v>
      </c>
      <c r="O1785">
        <f>INDIRECT(ADDRESS(1785,14))+INDIRECT(ADDRESS(1783,15))-INDIRECT(ADDRESS(1784,15))</f>
        <v>0</v>
      </c>
      <c r="P1785">
        <f>INDIRECT(ADDRESS(1785,15))+INDIRECT(ADDRESS(1783,16))-INDIRECT(ADDRESS(1784,16))</f>
        <v>0</v>
      </c>
      <c r="Q1785">
        <f>INDIRECT(ADDRESS(1785,16))+INDIRECT(ADDRESS(1783,17))-INDIRECT(ADDRESS(1784,17))</f>
        <v>0</v>
      </c>
      <c r="R1785">
        <f>INDIRECT(ADDRESS(1785,17))+INDIRECT(ADDRESS(1783,18))-INDIRECT(ADDRESS(1784,18))</f>
        <v>0</v>
      </c>
      <c r="S1785">
        <f>INDIRECT(ADDRESS(1785,18))+INDIRECT(ADDRESS(1783,19))-INDIRECT(ADDRESS(1784,19))</f>
        <v>0</v>
      </c>
      <c r="T1785">
        <f>INDIRECT(ADDRESS(1785,19))+INDIRECT(ADDRESS(1783,20))-INDIRECT(ADDRESS(1784,20))</f>
        <v>0</v>
      </c>
      <c r="U1785">
        <f>INDIRECT(ADDRESS(1785,20))+INDIRECT(ADDRESS(1783,21))-INDIRECT(ADDRESS(1784,21))</f>
        <v>0</v>
      </c>
      <c r="V1785">
        <f>INDIRECT(ADDRESS(1785,21))+INDIRECT(ADDRESS(1783,22))-INDIRECT(ADDRESS(1784,22))</f>
        <v>0</v>
      </c>
      <c r="W1785">
        <f>INDIRECT(ADDRESS(1785,22))+INDIRECT(ADDRESS(1783,23))-INDIRECT(ADDRESS(1784,23))</f>
        <v>0</v>
      </c>
      <c r="X1785">
        <f>INDIRECT(ADDRESS(1785,23))+INDIRECT(ADDRESS(1783,24))-INDIRECT(ADDRESS(1784,24))</f>
        <v>0</v>
      </c>
      <c r="Y1785">
        <f>INDIRECT(ADDRESS(1785,24))+INDIRECT(ADDRESS(1783,25))-INDIRECT(ADDRESS(1784,25))</f>
        <v>0</v>
      </c>
      <c r="Z1785">
        <f>INDIRECT(ADDRESS(1785,25))+INDIRECT(ADDRESS(1783,26))-INDIRECT(ADDRESS(1784,26))</f>
        <v>0</v>
      </c>
      <c r="AA1785">
        <f>INDIRECT(ADDRESS(1785,26))+INDIRECT(ADDRESS(1783,27))-INDIRECT(ADDRESS(1784,27))</f>
        <v>0</v>
      </c>
      <c r="AB1785">
        <f>INDIRECT(ADDRESS(1785,27))+INDIRECT(ADDRESS(1783,28))-INDIRECT(ADDRESS(1784,28))</f>
        <v>0</v>
      </c>
      <c r="AC1785">
        <f>INDIRECT(ADDRESS(1785,28))+INDIRECT(ADDRESS(1783,29))-INDIRECT(ADDRESS(1784,29))</f>
        <v>0</v>
      </c>
      <c r="AD1785">
        <f>INDIRECT(ADDRESS(1785,29))+INDIRECT(ADDRESS(1783,30))-INDIRECT(ADDRESS(1784,30))</f>
        <v>0</v>
      </c>
      <c r="AE1785">
        <f>INDIRECT(ADDRESS(1785,30))+INDIRECT(ADDRESS(1783,31))-INDIRECT(ADDRESS(1784,31))</f>
        <v>0</v>
      </c>
      <c r="AF1785">
        <f>INDIRECT(ADDRESS(1785,31))+INDIRECT(ADDRESS(1783,32))-INDIRECT(ADDRESS(1784,32))</f>
        <v>0</v>
      </c>
      <c r="AG1785">
        <f>INDIRECT(ADDRESS(1785,32))+INDIRECT(ADDRESS(1783,33))-INDIRECT(ADDRESS(1784,33))</f>
        <v>0</v>
      </c>
      <c r="AH1785">
        <f>INDIRECT(ADDRESS(1785,33))+INDIRECT(ADDRESS(1783,34))-INDIRECT(ADDRESS(1784,34))</f>
        <v>0</v>
      </c>
      <c r="AI1785">
        <f>INDIRECT(ADDRESS(1785,34))+INDIRECT(ADDRESS(1783,35))-INDIRECT(ADDRESS(1784,35))</f>
        <v>0</v>
      </c>
      <c r="AJ1785">
        <f>INDIRECT(ADDRESS(1785,35))+INDIRECT(ADDRESS(1783,36))-INDIRECT(ADDRESS(1784,36))</f>
        <v>0</v>
      </c>
      <c r="AK1785">
        <f>INDIRECT(ADDRESS(1785,36))+INDIRECT(ADDRESS(1783,37))-INDIRECT(ADDRESS(1784,37))</f>
        <v>0</v>
      </c>
      <c r="AL1785">
        <f>INDIRECT(ADDRESS(1785,37))+INDIRECT(ADDRESS(1783,38))-INDIRECT(ADDRESS(1784,38))</f>
        <v>0</v>
      </c>
      <c r="AM1785">
        <f>INDIRECT(ADDRESS(1785,38))+INDIRECT(ADDRESS(1783,39))-INDIRECT(ADDRESS(1784,39))</f>
        <v>0</v>
      </c>
      <c r="AN1785">
        <f>INDIRECT(ADDRESS(1785,39))+INDIRECT(ADDRESS(1783,40))-INDIRECT(ADDRESS(1784,40))</f>
        <v>0</v>
      </c>
      <c r="AO1785">
        <f>SUM(INDIRECT(ADDRESS(1784,8)):INDIRECT(ADDRESS(1784,39)))</f>
        <v>0</v>
      </c>
    </row>
    <row r="1786" spans="1:41">
      <c r="A1786" t="s">
        <v>180</v>
      </c>
      <c r="B1786" t="s">
        <v>831</v>
      </c>
      <c r="C1786" t="s">
        <v>832</v>
      </c>
      <c r="E1786">
        <v>1</v>
      </c>
      <c r="I1786" t="s">
        <v>177</v>
      </c>
    </row>
    <row r="1787" spans="1:41">
      <c r="I1787" t="s">
        <v>178</v>
      </c>
      <c r="J1787">
        <f>IFERROR(VLOOKUP("906-443000-210",B:AB,1+8,0),0)</f>
        <v>0</v>
      </c>
      <c r="K1787">
        <f>IFERROR(VLOOKUP("906-443000-210",B:AB,2+8,0),0)</f>
        <v>0</v>
      </c>
      <c r="L1787">
        <f>IFERROR(VLOOKUP("906-443000-210",B:AB,3+8,0),0)</f>
        <v>0</v>
      </c>
      <c r="M1787">
        <f>IFERROR(VLOOKUP("906-443000-210",B:AB,4+8,0),0)</f>
        <v>0</v>
      </c>
      <c r="N1787">
        <f>IFERROR(VLOOKUP("906-443000-210",B:AB,5+8,0),0)</f>
        <v>0</v>
      </c>
      <c r="O1787">
        <f>IFERROR(VLOOKUP("906-443000-210",B:AB,6+8,0),0)</f>
        <v>0</v>
      </c>
      <c r="P1787">
        <f>IFERROR(VLOOKUP("906-443000-210",B:AB,7+8,0),0)</f>
        <v>0</v>
      </c>
      <c r="Q1787">
        <f>IFERROR(VLOOKUP("906-443000-210",B:AB,8+8,0),0)</f>
        <v>0</v>
      </c>
      <c r="R1787">
        <f>IFERROR(VLOOKUP("906-443000-210",B:AB,9+8,0),0)</f>
        <v>0</v>
      </c>
      <c r="S1787">
        <f>IFERROR(VLOOKUP("906-443000-210",B:AB,10+8,0),0)</f>
        <v>0</v>
      </c>
      <c r="T1787">
        <f>IFERROR(VLOOKUP("906-443000-210",B:AB,11+8,0),0)</f>
        <v>0</v>
      </c>
      <c r="U1787">
        <f>IFERROR(VLOOKUP("906-443000-210",B:AB,12+8,0),0)</f>
        <v>0</v>
      </c>
      <c r="V1787">
        <f>IFERROR(VLOOKUP("906-443000-210",B:AB,13+8,0),0)</f>
        <v>0</v>
      </c>
      <c r="W1787">
        <f>IFERROR(VLOOKUP("906-443000-210",B:AB,14+8,0),0)</f>
        <v>0</v>
      </c>
      <c r="X1787">
        <f>IFERROR(VLOOKUP("906-443000-210",B:AB,15+8,0),0)</f>
        <v>0</v>
      </c>
      <c r="Y1787">
        <f>IFERROR(VLOOKUP("906-443000-210",B:AB,16+8,0),0)</f>
        <v>0</v>
      </c>
      <c r="Z1787">
        <f>IFERROR(VLOOKUP("906-443000-210",B:AB,17+8,0),0)</f>
        <v>0</v>
      </c>
      <c r="AA1787">
        <f>IFERROR(VLOOKUP("906-443000-210",B:AB,18+8,0),0)</f>
        <v>0</v>
      </c>
      <c r="AB1787">
        <f>IFERROR(VLOOKUP("906-443000-210",B:AB,19+8,0),0)</f>
        <v>0</v>
      </c>
      <c r="AC1787">
        <f>IFERROR(VLOOKUP("906-443000-210",B:AB,20+8,0),0)</f>
        <v>0</v>
      </c>
      <c r="AD1787">
        <f>IFERROR(VLOOKUP("906-443000-210",B:AB,21+8,0),0)</f>
        <v>0</v>
      </c>
      <c r="AE1787">
        <f>IFERROR(VLOOKUP("906-443000-210",B:AB,22+8,0),0)</f>
        <v>0</v>
      </c>
      <c r="AF1787">
        <f>IFERROR(VLOOKUP("906-443000-210",B:AB,23+8,0),0)</f>
        <v>0</v>
      </c>
      <c r="AG1787">
        <f>IFERROR(VLOOKUP("906-443000-210",B:AB,24+8,0),0)</f>
        <v>0</v>
      </c>
      <c r="AH1787">
        <f>IFERROR(VLOOKUP("906-443000-210",B:AB,25+8,0),0)</f>
        <v>0</v>
      </c>
      <c r="AI1787">
        <f>IFERROR(VLOOKUP("906-443000-210",B:AB,26+8,0),0)</f>
        <v>0</v>
      </c>
      <c r="AJ1787">
        <f>IFERROR(VLOOKUP("906-443000-210",B:AB,27+8,0),0)</f>
        <v>0</v>
      </c>
      <c r="AK1787">
        <f>IFERROR(VLOOKUP("906-443000-210",B:AB,28+8,0),0)</f>
        <v>0</v>
      </c>
      <c r="AL1787">
        <f>IFERROR(VLOOKUP("906-443000-210",B:AB,29+8,0),0)</f>
        <v>0</v>
      </c>
      <c r="AM1787">
        <f>IFERROR(VLOOKUP("906-443000-210",B:AB,30+8,0),0)</f>
        <v>0</v>
      </c>
      <c r="AN1787">
        <f>IFERROR(VLOOKUP("906-443000-210",B:AB,31+8,0),0)</f>
        <v>0</v>
      </c>
      <c r="AO1787">
        <f>SUN(INDIRECT(ADDRESS(1786,8)):INDIRECT(ADDRESS(1786,39)))</f>
        <v>0</v>
      </c>
    </row>
    <row r="1788" spans="1:41">
      <c r="H1788" t="s">
        <v>179</v>
      </c>
      <c r="J1788">
        <f>INDIRECT(ADDRESS(1788,9))+INDIRECT(ADDRESS(1786,10))-INDIRECT(ADDRESS(1787,10))</f>
        <v>0</v>
      </c>
      <c r="K1788">
        <f>INDIRECT(ADDRESS(1788,10))+INDIRECT(ADDRESS(1786,11))-INDIRECT(ADDRESS(1787,11))</f>
        <v>0</v>
      </c>
      <c r="L1788">
        <f>INDIRECT(ADDRESS(1788,11))+INDIRECT(ADDRESS(1786,12))-INDIRECT(ADDRESS(1787,12))</f>
        <v>0</v>
      </c>
      <c r="M1788">
        <f>INDIRECT(ADDRESS(1788,12))+INDIRECT(ADDRESS(1786,13))-INDIRECT(ADDRESS(1787,13))</f>
        <v>0</v>
      </c>
      <c r="N1788">
        <f>INDIRECT(ADDRESS(1788,13))+INDIRECT(ADDRESS(1786,14))-INDIRECT(ADDRESS(1787,14))</f>
        <v>0</v>
      </c>
      <c r="O1788">
        <f>INDIRECT(ADDRESS(1788,14))+INDIRECT(ADDRESS(1786,15))-INDIRECT(ADDRESS(1787,15))</f>
        <v>0</v>
      </c>
      <c r="P1788">
        <f>INDIRECT(ADDRESS(1788,15))+INDIRECT(ADDRESS(1786,16))-INDIRECT(ADDRESS(1787,16))</f>
        <v>0</v>
      </c>
      <c r="Q1788">
        <f>INDIRECT(ADDRESS(1788,16))+INDIRECT(ADDRESS(1786,17))-INDIRECT(ADDRESS(1787,17))</f>
        <v>0</v>
      </c>
      <c r="R1788">
        <f>INDIRECT(ADDRESS(1788,17))+INDIRECT(ADDRESS(1786,18))-INDIRECT(ADDRESS(1787,18))</f>
        <v>0</v>
      </c>
      <c r="S1788">
        <f>INDIRECT(ADDRESS(1788,18))+INDIRECT(ADDRESS(1786,19))-INDIRECT(ADDRESS(1787,19))</f>
        <v>0</v>
      </c>
      <c r="T1788">
        <f>INDIRECT(ADDRESS(1788,19))+INDIRECT(ADDRESS(1786,20))-INDIRECT(ADDRESS(1787,20))</f>
        <v>0</v>
      </c>
      <c r="U1788">
        <f>INDIRECT(ADDRESS(1788,20))+INDIRECT(ADDRESS(1786,21))-INDIRECT(ADDRESS(1787,21))</f>
        <v>0</v>
      </c>
      <c r="V1788">
        <f>INDIRECT(ADDRESS(1788,21))+INDIRECT(ADDRESS(1786,22))-INDIRECT(ADDRESS(1787,22))</f>
        <v>0</v>
      </c>
      <c r="W1788">
        <f>INDIRECT(ADDRESS(1788,22))+INDIRECT(ADDRESS(1786,23))-INDIRECT(ADDRESS(1787,23))</f>
        <v>0</v>
      </c>
      <c r="X1788">
        <f>INDIRECT(ADDRESS(1788,23))+INDIRECT(ADDRESS(1786,24))-INDIRECT(ADDRESS(1787,24))</f>
        <v>0</v>
      </c>
      <c r="Y1788">
        <f>INDIRECT(ADDRESS(1788,24))+INDIRECT(ADDRESS(1786,25))-INDIRECT(ADDRESS(1787,25))</f>
        <v>0</v>
      </c>
      <c r="Z1788">
        <f>INDIRECT(ADDRESS(1788,25))+INDIRECT(ADDRESS(1786,26))-INDIRECT(ADDRESS(1787,26))</f>
        <v>0</v>
      </c>
      <c r="AA1788">
        <f>INDIRECT(ADDRESS(1788,26))+INDIRECT(ADDRESS(1786,27))-INDIRECT(ADDRESS(1787,27))</f>
        <v>0</v>
      </c>
      <c r="AB1788">
        <f>INDIRECT(ADDRESS(1788,27))+INDIRECT(ADDRESS(1786,28))-INDIRECT(ADDRESS(1787,28))</f>
        <v>0</v>
      </c>
      <c r="AC1788">
        <f>INDIRECT(ADDRESS(1788,28))+INDIRECT(ADDRESS(1786,29))-INDIRECT(ADDRESS(1787,29))</f>
        <v>0</v>
      </c>
      <c r="AD1788">
        <f>INDIRECT(ADDRESS(1788,29))+INDIRECT(ADDRESS(1786,30))-INDIRECT(ADDRESS(1787,30))</f>
        <v>0</v>
      </c>
      <c r="AE1788">
        <f>INDIRECT(ADDRESS(1788,30))+INDIRECT(ADDRESS(1786,31))-INDIRECT(ADDRESS(1787,31))</f>
        <v>0</v>
      </c>
      <c r="AF1788">
        <f>INDIRECT(ADDRESS(1788,31))+INDIRECT(ADDRESS(1786,32))-INDIRECT(ADDRESS(1787,32))</f>
        <v>0</v>
      </c>
      <c r="AG1788">
        <f>INDIRECT(ADDRESS(1788,32))+INDIRECT(ADDRESS(1786,33))-INDIRECT(ADDRESS(1787,33))</f>
        <v>0</v>
      </c>
      <c r="AH1788">
        <f>INDIRECT(ADDRESS(1788,33))+INDIRECT(ADDRESS(1786,34))-INDIRECT(ADDRESS(1787,34))</f>
        <v>0</v>
      </c>
      <c r="AI1788">
        <f>INDIRECT(ADDRESS(1788,34))+INDIRECT(ADDRESS(1786,35))-INDIRECT(ADDRESS(1787,35))</f>
        <v>0</v>
      </c>
      <c r="AJ1788">
        <f>INDIRECT(ADDRESS(1788,35))+INDIRECT(ADDRESS(1786,36))-INDIRECT(ADDRESS(1787,36))</f>
        <v>0</v>
      </c>
      <c r="AK1788">
        <f>INDIRECT(ADDRESS(1788,36))+INDIRECT(ADDRESS(1786,37))-INDIRECT(ADDRESS(1787,37))</f>
        <v>0</v>
      </c>
      <c r="AL1788">
        <f>INDIRECT(ADDRESS(1788,37))+INDIRECT(ADDRESS(1786,38))-INDIRECT(ADDRESS(1787,38))</f>
        <v>0</v>
      </c>
      <c r="AM1788">
        <f>INDIRECT(ADDRESS(1788,38))+INDIRECT(ADDRESS(1786,39))-INDIRECT(ADDRESS(1787,39))</f>
        <v>0</v>
      </c>
      <c r="AN1788">
        <f>INDIRECT(ADDRESS(1788,39))+INDIRECT(ADDRESS(1786,40))-INDIRECT(ADDRESS(1787,40))</f>
        <v>0</v>
      </c>
      <c r="AO1788">
        <f>SUM(INDIRECT(ADDRESS(1787,8)):INDIRECT(ADDRESS(1787,39)))</f>
        <v>0</v>
      </c>
    </row>
    <row r="1789" spans="1:41">
      <c r="A1789" t="s">
        <v>185</v>
      </c>
      <c r="B1789" t="s">
        <v>833</v>
      </c>
      <c r="C1789" t="s">
        <v>834</v>
      </c>
      <c r="E1789">
        <v>1</v>
      </c>
      <c r="I1789" t="s">
        <v>177</v>
      </c>
    </row>
    <row r="1790" spans="1:41">
      <c r="I1790" t="s">
        <v>178</v>
      </c>
      <c r="J1790">
        <f>IFERROR(VLOOKUP("906-443000-210",B:AB,1+8,0),0)</f>
        <v>0</v>
      </c>
      <c r="K1790">
        <f>IFERROR(VLOOKUP("906-443000-210",B:AB,2+8,0),0)</f>
        <v>0</v>
      </c>
      <c r="L1790">
        <f>IFERROR(VLOOKUP("906-443000-210",B:AB,3+8,0),0)</f>
        <v>0</v>
      </c>
      <c r="M1790">
        <f>IFERROR(VLOOKUP("906-443000-210",B:AB,4+8,0),0)</f>
        <v>0</v>
      </c>
      <c r="N1790">
        <f>IFERROR(VLOOKUP("906-443000-210",B:AB,5+8,0),0)</f>
        <v>0</v>
      </c>
      <c r="O1790">
        <f>IFERROR(VLOOKUP("906-443000-210",B:AB,6+8,0),0)</f>
        <v>0</v>
      </c>
      <c r="P1790">
        <f>IFERROR(VLOOKUP("906-443000-210",B:AB,7+8,0),0)</f>
        <v>0</v>
      </c>
      <c r="Q1790">
        <f>IFERROR(VLOOKUP("906-443000-210",B:AB,8+8,0),0)</f>
        <v>0</v>
      </c>
      <c r="R1790">
        <f>IFERROR(VLOOKUP("906-443000-210",B:AB,9+8,0),0)</f>
        <v>0</v>
      </c>
      <c r="S1790">
        <f>IFERROR(VLOOKUP("906-443000-210",B:AB,10+8,0),0)</f>
        <v>0</v>
      </c>
      <c r="T1790">
        <f>IFERROR(VLOOKUP("906-443000-210",B:AB,11+8,0),0)</f>
        <v>0</v>
      </c>
      <c r="U1790">
        <f>IFERROR(VLOOKUP("906-443000-210",B:AB,12+8,0),0)</f>
        <v>0</v>
      </c>
      <c r="V1790">
        <f>IFERROR(VLOOKUP("906-443000-210",B:AB,13+8,0),0)</f>
        <v>0</v>
      </c>
      <c r="W1790">
        <f>IFERROR(VLOOKUP("906-443000-210",B:AB,14+8,0),0)</f>
        <v>0</v>
      </c>
      <c r="X1790">
        <f>IFERROR(VLOOKUP("906-443000-210",B:AB,15+8,0),0)</f>
        <v>0</v>
      </c>
      <c r="Y1790">
        <f>IFERROR(VLOOKUP("906-443000-210",B:AB,16+8,0),0)</f>
        <v>0</v>
      </c>
      <c r="Z1790">
        <f>IFERROR(VLOOKUP("906-443000-210",B:AB,17+8,0),0)</f>
        <v>0</v>
      </c>
      <c r="AA1790">
        <f>IFERROR(VLOOKUP("906-443000-210",B:AB,18+8,0),0)</f>
        <v>0</v>
      </c>
      <c r="AB1790">
        <f>IFERROR(VLOOKUP("906-443000-210",B:AB,19+8,0),0)</f>
        <v>0</v>
      </c>
      <c r="AC1790">
        <f>IFERROR(VLOOKUP("906-443000-210",B:AB,20+8,0),0)</f>
        <v>0</v>
      </c>
      <c r="AD1790">
        <f>IFERROR(VLOOKUP("906-443000-210",B:AB,21+8,0),0)</f>
        <v>0</v>
      </c>
      <c r="AE1790">
        <f>IFERROR(VLOOKUP("906-443000-210",B:AB,22+8,0),0)</f>
        <v>0</v>
      </c>
      <c r="AF1790">
        <f>IFERROR(VLOOKUP("906-443000-210",B:AB,23+8,0),0)</f>
        <v>0</v>
      </c>
      <c r="AG1790">
        <f>IFERROR(VLOOKUP("906-443000-210",B:AB,24+8,0),0)</f>
        <v>0</v>
      </c>
      <c r="AH1790">
        <f>IFERROR(VLOOKUP("906-443000-210",B:AB,25+8,0),0)</f>
        <v>0</v>
      </c>
      <c r="AI1790">
        <f>IFERROR(VLOOKUP("906-443000-210",B:AB,26+8,0),0)</f>
        <v>0</v>
      </c>
      <c r="AJ1790">
        <f>IFERROR(VLOOKUP("906-443000-210",B:AB,27+8,0),0)</f>
        <v>0</v>
      </c>
      <c r="AK1790">
        <f>IFERROR(VLOOKUP("906-443000-210",B:AB,28+8,0),0)</f>
        <v>0</v>
      </c>
      <c r="AL1790">
        <f>IFERROR(VLOOKUP("906-443000-210",B:AB,29+8,0),0)</f>
        <v>0</v>
      </c>
      <c r="AM1790">
        <f>IFERROR(VLOOKUP("906-443000-210",B:AB,30+8,0),0)</f>
        <v>0</v>
      </c>
      <c r="AN1790">
        <f>IFERROR(VLOOKUP("906-443000-210",B:AB,31+8,0),0)</f>
        <v>0</v>
      </c>
      <c r="AO1790">
        <f>SUN(INDIRECT(ADDRESS(1789,8)):INDIRECT(ADDRESS(1789,39)))</f>
        <v>0</v>
      </c>
    </row>
    <row r="1791" spans="1:41">
      <c r="H1791" t="s">
        <v>179</v>
      </c>
      <c r="J1791">
        <f>INDIRECT(ADDRESS(1791,9))+INDIRECT(ADDRESS(1789,10))-INDIRECT(ADDRESS(1790,10))</f>
        <v>0</v>
      </c>
      <c r="K1791">
        <f>INDIRECT(ADDRESS(1791,10))+INDIRECT(ADDRESS(1789,11))-INDIRECT(ADDRESS(1790,11))</f>
        <v>0</v>
      </c>
      <c r="L1791">
        <f>INDIRECT(ADDRESS(1791,11))+INDIRECT(ADDRESS(1789,12))-INDIRECT(ADDRESS(1790,12))</f>
        <v>0</v>
      </c>
      <c r="M1791">
        <f>INDIRECT(ADDRESS(1791,12))+INDIRECT(ADDRESS(1789,13))-INDIRECT(ADDRESS(1790,13))</f>
        <v>0</v>
      </c>
      <c r="N1791">
        <f>INDIRECT(ADDRESS(1791,13))+INDIRECT(ADDRESS(1789,14))-INDIRECT(ADDRESS(1790,14))</f>
        <v>0</v>
      </c>
      <c r="O1791">
        <f>INDIRECT(ADDRESS(1791,14))+INDIRECT(ADDRESS(1789,15))-INDIRECT(ADDRESS(1790,15))</f>
        <v>0</v>
      </c>
      <c r="P1791">
        <f>INDIRECT(ADDRESS(1791,15))+INDIRECT(ADDRESS(1789,16))-INDIRECT(ADDRESS(1790,16))</f>
        <v>0</v>
      </c>
      <c r="Q1791">
        <f>INDIRECT(ADDRESS(1791,16))+INDIRECT(ADDRESS(1789,17))-INDIRECT(ADDRESS(1790,17))</f>
        <v>0</v>
      </c>
      <c r="R1791">
        <f>INDIRECT(ADDRESS(1791,17))+INDIRECT(ADDRESS(1789,18))-INDIRECT(ADDRESS(1790,18))</f>
        <v>0</v>
      </c>
      <c r="S1791">
        <f>INDIRECT(ADDRESS(1791,18))+INDIRECT(ADDRESS(1789,19))-INDIRECT(ADDRESS(1790,19))</f>
        <v>0</v>
      </c>
      <c r="T1791">
        <f>INDIRECT(ADDRESS(1791,19))+INDIRECT(ADDRESS(1789,20))-INDIRECT(ADDRESS(1790,20))</f>
        <v>0</v>
      </c>
      <c r="U1791">
        <f>INDIRECT(ADDRESS(1791,20))+INDIRECT(ADDRESS(1789,21))-INDIRECT(ADDRESS(1790,21))</f>
        <v>0</v>
      </c>
      <c r="V1791">
        <f>INDIRECT(ADDRESS(1791,21))+INDIRECT(ADDRESS(1789,22))-INDIRECT(ADDRESS(1790,22))</f>
        <v>0</v>
      </c>
      <c r="W1791">
        <f>INDIRECT(ADDRESS(1791,22))+INDIRECT(ADDRESS(1789,23))-INDIRECT(ADDRESS(1790,23))</f>
        <v>0</v>
      </c>
      <c r="X1791">
        <f>INDIRECT(ADDRESS(1791,23))+INDIRECT(ADDRESS(1789,24))-INDIRECT(ADDRESS(1790,24))</f>
        <v>0</v>
      </c>
      <c r="Y1791">
        <f>INDIRECT(ADDRESS(1791,24))+INDIRECT(ADDRESS(1789,25))-INDIRECT(ADDRESS(1790,25))</f>
        <v>0</v>
      </c>
      <c r="Z1791">
        <f>INDIRECT(ADDRESS(1791,25))+INDIRECT(ADDRESS(1789,26))-INDIRECT(ADDRESS(1790,26))</f>
        <v>0</v>
      </c>
      <c r="AA1791">
        <f>INDIRECT(ADDRESS(1791,26))+INDIRECT(ADDRESS(1789,27))-INDIRECT(ADDRESS(1790,27))</f>
        <v>0</v>
      </c>
      <c r="AB1791">
        <f>INDIRECT(ADDRESS(1791,27))+INDIRECT(ADDRESS(1789,28))-INDIRECT(ADDRESS(1790,28))</f>
        <v>0</v>
      </c>
      <c r="AC1791">
        <f>INDIRECT(ADDRESS(1791,28))+INDIRECT(ADDRESS(1789,29))-INDIRECT(ADDRESS(1790,29))</f>
        <v>0</v>
      </c>
      <c r="AD1791">
        <f>INDIRECT(ADDRESS(1791,29))+INDIRECT(ADDRESS(1789,30))-INDIRECT(ADDRESS(1790,30))</f>
        <v>0</v>
      </c>
      <c r="AE1791">
        <f>INDIRECT(ADDRESS(1791,30))+INDIRECT(ADDRESS(1789,31))-INDIRECT(ADDRESS(1790,31))</f>
        <v>0</v>
      </c>
      <c r="AF1791">
        <f>INDIRECT(ADDRESS(1791,31))+INDIRECT(ADDRESS(1789,32))-INDIRECT(ADDRESS(1790,32))</f>
        <v>0</v>
      </c>
      <c r="AG1791">
        <f>INDIRECT(ADDRESS(1791,32))+INDIRECT(ADDRESS(1789,33))-INDIRECT(ADDRESS(1790,33))</f>
        <v>0</v>
      </c>
      <c r="AH1791">
        <f>INDIRECT(ADDRESS(1791,33))+INDIRECT(ADDRESS(1789,34))-INDIRECT(ADDRESS(1790,34))</f>
        <v>0</v>
      </c>
      <c r="AI1791">
        <f>INDIRECT(ADDRESS(1791,34))+INDIRECT(ADDRESS(1789,35))-INDIRECT(ADDRESS(1790,35))</f>
        <v>0</v>
      </c>
      <c r="AJ1791">
        <f>INDIRECT(ADDRESS(1791,35))+INDIRECT(ADDRESS(1789,36))-INDIRECT(ADDRESS(1790,36))</f>
        <v>0</v>
      </c>
      <c r="AK1791">
        <f>INDIRECT(ADDRESS(1791,36))+INDIRECT(ADDRESS(1789,37))-INDIRECT(ADDRESS(1790,37))</f>
        <v>0</v>
      </c>
      <c r="AL1791">
        <f>INDIRECT(ADDRESS(1791,37))+INDIRECT(ADDRESS(1789,38))-INDIRECT(ADDRESS(1790,38))</f>
        <v>0</v>
      </c>
      <c r="AM1791">
        <f>INDIRECT(ADDRESS(1791,38))+INDIRECT(ADDRESS(1789,39))-INDIRECT(ADDRESS(1790,39))</f>
        <v>0</v>
      </c>
      <c r="AN1791">
        <f>INDIRECT(ADDRESS(1791,39))+INDIRECT(ADDRESS(1789,40))-INDIRECT(ADDRESS(1790,40))</f>
        <v>0</v>
      </c>
      <c r="AO1791">
        <f>SUM(INDIRECT(ADDRESS(1790,8)):INDIRECT(ADDRESS(1790,39)))</f>
        <v>0</v>
      </c>
    </row>
    <row r="1792" spans="1:41">
      <c r="A1792" t="s">
        <v>185</v>
      </c>
      <c r="B1792" t="s">
        <v>835</v>
      </c>
      <c r="C1792" t="s">
        <v>836</v>
      </c>
      <c r="E1792">
        <v>0.25</v>
      </c>
      <c r="I1792" t="s">
        <v>177</v>
      </c>
    </row>
    <row r="1793" spans="1:41">
      <c r="I1793" t="s">
        <v>178</v>
      </c>
      <c r="J1793">
        <f>IFERROR(VLOOKUP("906-443000-210",B:AB,1+8,0),0)</f>
        <v>0</v>
      </c>
      <c r="K1793">
        <f>IFERROR(VLOOKUP("906-443000-210",B:AB,2+8,0),0)</f>
        <v>0</v>
      </c>
      <c r="L1793">
        <f>IFERROR(VLOOKUP("906-443000-210",B:AB,3+8,0),0)</f>
        <v>0</v>
      </c>
      <c r="M1793">
        <f>IFERROR(VLOOKUP("906-443000-210",B:AB,4+8,0),0)</f>
        <v>0</v>
      </c>
      <c r="N1793">
        <f>IFERROR(VLOOKUP("906-443000-210",B:AB,5+8,0),0)</f>
        <v>0</v>
      </c>
      <c r="O1793">
        <f>IFERROR(VLOOKUP("906-443000-210",B:AB,6+8,0),0)</f>
        <v>0</v>
      </c>
      <c r="P1793">
        <f>IFERROR(VLOOKUP("906-443000-210",B:AB,7+8,0),0)</f>
        <v>0</v>
      </c>
      <c r="Q1793">
        <f>IFERROR(VLOOKUP("906-443000-210",B:AB,8+8,0),0)</f>
        <v>0</v>
      </c>
      <c r="R1793">
        <f>IFERROR(VLOOKUP("906-443000-210",B:AB,9+8,0),0)</f>
        <v>0</v>
      </c>
      <c r="S1793">
        <f>IFERROR(VLOOKUP("906-443000-210",B:AB,10+8,0),0)</f>
        <v>0</v>
      </c>
      <c r="T1793">
        <f>IFERROR(VLOOKUP("906-443000-210",B:AB,11+8,0),0)</f>
        <v>0</v>
      </c>
      <c r="U1793">
        <f>IFERROR(VLOOKUP("906-443000-210",B:AB,12+8,0),0)</f>
        <v>0</v>
      </c>
      <c r="V1793">
        <f>IFERROR(VLOOKUP("906-443000-210",B:AB,13+8,0),0)</f>
        <v>0</v>
      </c>
      <c r="W1793">
        <f>IFERROR(VLOOKUP("906-443000-210",B:AB,14+8,0),0)</f>
        <v>0</v>
      </c>
      <c r="X1793">
        <f>IFERROR(VLOOKUP("906-443000-210",B:AB,15+8,0),0)</f>
        <v>0</v>
      </c>
      <c r="Y1793">
        <f>IFERROR(VLOOKUP("906-443000-210",B:AB,16+8,0),0)</f>
        <v>0</v>
      </c>
      <c r="Z1793">
        <f>IFERROR(VLOOKUP("906-443000-210",B:AB,17+8,0),0)</f>
        <v>0</v>
      </c>
      <c r="AA1793">
        <f>IFERROR(VLOOKUP("906-443000-210",B:AB,18+8,0),0)</f>
        <v>0</v>
      </c>
      <c r="AB1793">
        <f>IFERROR(VLOOKUP("906-443000-210",B:AB,19+8,0),0)</f>
        <v>0</v>
      </c>
      <c r="AC1793">
        <f>IFERROR(VLOOKUP("906-443000-210",B:AB,20+8,0),0)</f>
        <v>0</v>
      </c>
      <c r="AD1793">
        <f>IFERROR(VLOOKUP("906-443000-210",B:AB,21+8,0),0)</f>
        <v>0</v>
      </c>
      <c r="AE1793">
        <f>IFERROR(VLOOKUP("906-443000-210",B:AB,22+8,0),0)</f>
        <v>0</v>
      </c>
      <c r="AF1793">
        <f>IFERROR(VLOOKUP("906-443000-210",B:AB,23+8,0),0)</f>
        <v>0</v>
      </c>
      <c r="AG1793">
        <f>IFERROR(VLOOKUP("906-443000-210",B:AB,24+8,0),0)</f>
        <v>0</v>
      </c>
      <c r="AH1793">
        <f>IFERROR(VLOOKUP("906-443000-210",B:AB,25+8,0),0)</f>
        <v>0</v>
      </c>
      <c r="AI1793">
        <f>IFERROR(VLOOKUP("906-443000-210",B:AB,26+8,0),0)</f>
        <v>0</v>
      </c>
      <c r="AJ1793">
        <f>IFERROR(VLOOKUP("906-443000-210",B:AB,27+8,0),0)</f>
        <v>0</v>
      </c>
      <c r="AK1793">
        <f>IFERROR(VLOOKUP("906-443000-210",B:AB,28+8,0),0)</f>
        <v>0</v>
      </c>
      <c r="AL1793">
        <f>IFERROR(VLOOKUP("906-443000-210",B:AB,29+8,0),0)</f>
        <v>0</v>
      </c>
      <c r="AM1793">
        <f>IFERROR(VLOOKUP("906-443000-210",B:AB,30+8,0),0)</f>
        <v>0</v>
      </c>
      <c r="AN1793">
        <f>IFERROR(VLOOKUP("906-443000-210",B:AB,31+8,0),0)</f>
        <v>0</v>
      </c>
      <c r="AO1793">
        <f>SUN(INDIRECT(ADDRESS(1792,8)):INDIRECT(ADDRESS(1792,39)))</f>
        <v>0</v>
      </c>
    </row>
    <row r="1794" spans="1:41">
      <c r="H1794" t="s">
        <v>179</v>
      </c>
      <c r="J1794">
        <f>INDIRECT(ADDRESS(1794,9))+INDIRECT(ADDRESS(1792,10))-INDIRECT(ADDRESS(1793,10))</f>
        <v>0</v>
      </c>
      <c r="K1794">
        <f>INDIRECT(ADDRESS(1794,10))+INDIRECT(ADDRESS(1792,11))-INDIRECT(ADDRESS(1793,11))</f>
        <v>0</v>
      </c>
      <c r="L1794">
        <f>INDIRECT(ADDRESS(1794,11))+INDIRECT(ADDRESS(1792,12))-INDIRECT(ADDRESS(1793,12))</f>
        <v>0</v>
      </c>
      <c r="M1794">
        <f>INDIRECT(ADDRESS(1794,12))+INDIRECT(ADDRESS(1792,13))-INDIRECT(ADDRESS(1793,13))</f>
        <v>0</v>
      </c>
      <c r="N1794">
        <f>INDIRECT(ADDRESS(1794,13))+INDIRECT(ADDRESS(1792,14))-INDIRECT(ADDRESS(1793,14))</f>
        <v>0</v>
      </c>
      <c r="O1794">
        <f>INDIRECT(ADDRESS(1794,14))+INDIRECT(ADDRESS(1792,15))-INDIRECT(ADDRESS(1793,15))</f>
        <v>0</v>
      </c>
      <c r="P1794">
        <f>INDIRECT(ADDRESS(1794,15))+INDIRECT(ADDRESS(1792,16))-INDIRECT(ADDRESS(1793,16))</f>
        <v>0</v>
      </c>
      <c r="Q1794">
        <f>INDIRECT(ADDRESS(1794,16))+INDIRECT(ADDRESS(1792,17))-INDIRECT(ADDRESS(1793,17))</f>
        <v>0</v>
      </c>
      <c r="R1794">
        <f>INDIRECT(ADDRESS(1794,17))+INDIRECT(ADDRESS(1792,18))-INDIRECT(ADDRESS(1793,18))</f>
        <v>0</v>
      </c>
      <c r="S1794">
        <f>INDIRECT(ADDRESS(1794,18))+INDIRECT(ADDRESS(1792,19))-INDIRECT(ADDRESS(1793,19))</f>
        <v>0</v>
      </c>
      <c r="T1794">
        <f>INDIRECT(ADDRESS(1794,19))+INDIRECT(ADDRESS(1792,20))-INDIRECT(ADDRESS(1793,20))</f>
        <v>0</v>
      </c>
      <c r="U1794">
        <f>INDIRECT(ADDRESS(1794,20))+INDIRECT(ADDRESS(1792,21))-INDIRECT(ADDRESS(1793,21))</f>
        <v>0</v>
      </c>
      <c r="V1794">
        <f>INDIRECT(ADDRESS(1794,21))+INDIRECT(ADDRESS(1792,22))-INDIRECT(ADDRESS(1793,22))</f>
        <v>0</v>
      </c>
      <c r="W1794">
        <f>INDIRECT(ADDRESS(1794,22))+INDIRECT(ADDRESS(1792,23))-INDIRECT(ADDRESS(1793,23))</f>
        <v>0</v>
      </c>
      <c r="X1794">
        <f>INDIRECT(ADDRESS(1794,23))+INDIRECT(ADDRESS(1792,24))-INDIRECT(ADDRESS(1793,24))</f>
        <v>0</v>
      </c>
      <c r="Y1794">
        <f>INDIRECT(ADDRESS(1794,24))+INDIRECT(ADDRESS(1792,25))-INDIRECT(ADDRESS(1793,25))</f>
        <v>0</v>
      </c>
      <c r="Z1794">
        <f>INDIRECT(ADDRESS(1794,25))+INDIRECT(ADDRESS(1792,26))-INDIRECT(ADDRESS(1793,26))</f>
        <v>0</v>
      </c>
      <c r="AA1794">
        <f>INDIRECT(ADDRESS(1794,26))+INDIRECT(ADDRESS(1792,27))-INDIRECT(ADDRESS(1793,27))</f>
        <v>0</v>
      </c>
      <c r="AB1794">
        <f>INDIRECT(ADDRESS(1794,27))+INDIRECT(ADDRESS(1792,28))-INDIRECT(ADDRESS(1793,28))</f>
        <v>0</v>
      </c>
      <c r="AC1794">
        <f>INDIRECT(ADDRESS(1794,28))+INDIRECT(ADDRESS(1792,29))-INDIRECT(ADDRESS(1793,29))</f>
        <v>0</v>
      </c>
      <c r="AD1794">
        <f>INDIRECT(ADDRESS(1794,29))+INDIRECT(ADDRESS(1792,30))-INDIRECT(ADDRESS(1793,30))</f>
        <v>0</v>
      </c>
      <c r="AE1794">
        <f>INDIRECT(ADDRESS(1794,30))+INDIRECT(ADDRESS(1792,31))-INDIRECT(ADDRESS(1793,31))</f>
        <v>0</v>
      </c>
      <c r="AF1794">
        <f>INDIRECT(ADDRESS(1794,31))+INDIRECT(ADDRESS(1792,32))-INDIRECT(ADDRESS(1793,32))</f>
        <v>0</v>
      </c>
      <c r="AG1794">
        <f>INDIRECT(ADDRESS(1794,32))+INDIRECT(ADDRESS(1792,33))-INDIRECT(ADDRESS(1793,33))</f>
        <v>0</v>
      </c>
      <c r="AH1794">
        <f>INDIRECT(ADDRESS(1794,33))+INDIRECT(ADDRESS(1792,34))-INDIRECT(ADDRESS(1793,34))</f>
        <v>0</v>
      </c>
      <c r="AI1794">
        <f>INDIRECT(ADDRESS(1794,34))+INDIRECT(ADDRESS(1792,35))-INDIRECT(ADDRESS(1793,35))</f>
        <v>0</v>
      </c>
      <c r="AJ1794">
        <f>INDIRECT(ADDRESS(1794,35))+INDIRECT(ADDRESS(1792,36))-INDIRECT(ADDRESS(1793,36))</f>
        <v>0</v>
      </c>
      <c r="AK1794">
        <f>INDIRECT(ADDRESS(1794,36))+INDIRECT(ADDRESS(1792,37))-INDIRECT(ADDRESS(1793,37))</f>
        <v>0</v>
      </c>
      <c r="AL1794">
        <f>INDIRECT(ADDRESS(1794,37))+INDIRECT(ADDRESS(1792,38))-INDIRECT(ADDRESS(1793,38))</f>
        <v>0</v>
      </c>
      <c r="AM1794">
        <f>INDIRECT(ADDRESS(1794,38))+INDIRECT(ADDRESS(1792,39))-INDIRECT(ADDRESS(1793,39))</f>
        <v>0</v>
      </c>
      <c r="AN1794">
        <f>INDIRECT(ADDRESS(1794,39))+INDIRECT(ADDRESS(1792,40))-INDIRECT(ADDRESS(1793,40))</f>
        <v>0</v>
      </c>
      <c r="AO1794">
        <f>SUM(INDIRECT(ADDRESS(1793,8)):INDIRECT(ADDRESS(1793,39)))</f>
        <v>0</v>
      </c>
    </row>
    <row r="1795" spans="1:41">
      <c r="A1795" t="s">
        <v>8</v>
      </c>
      <c r="B1795" t="s">
        <v>148</v>
      </c>
      <c r="C1795" t="s">
        <v>151</v>
      </c>
      <c r="E1795">
        <v>0.25</v>
      </c>
      <c r="I1795" t="s">
        <v>177</v>
      </c>
    </row>
    <row r="1796" spans="1:41">
      <c r="I1796" t="s">
        <v>178</v>
      </c>
      <c r="J1796">
        <f>IFERROR(VLOOKUP("906-443000-210",Out!B:AB,1+8,0),0)</f>
        <v>0</v>
      </c>
      <c r="K1796">
        <f>IFERROR(VLOOKUP("906-443000-210",Out!B:AB,2+8,0),0)</f>
        <v>0</v>
      </c>
      <c r="L1796">
        <f>IFERROR(VLOOKUP("906-443000-210",Out!B:AB,3+8,0),0)</f>
        <v>0</v>
      </c>
      <c r="M1796">
        <f>IFERROR(VLOOKUP("906-443000-210",Out!B:AB,4+8,0),0)</f>
        <v>0</v>
      </c>
      <c r="N1796">
        <f>IFERROR(VLOOKUP("906-443000-210",Out!B:AB,5+8,0),0)</f>
        <v>0</v>
      </c>
      <c r="O1796">
        <f>IFERROR(VLOOKUP("906-443000-210",Out!B:AB,6+8,0),0)</f>
        <v>0</v>
      </c>
      <c r="P1796">
        <f>IFERROR(VLOOKUP("906-443000-210",Out!B:AB,7+8,0),0)</f>
        <v>0</v>
      </c>
      <c r="Q1796">
        <f>IFERROR(VLOOKUP("906-443000-210",Out!B:AB,8+8,0),0)</f>
        <v>0</v>
      </c>
      <c r="R1796">
        <f>IFERROR(VLOOKUP("906-443000-210",Out!B:AB,9+8,0),0)</f>
        <v>0</v>
      </c>
      <c r="S1796">
        <f>IFERROR(VLOOKUP("906-443000-210",Out!B:AB,10+8,0),0)</f>
        <v>0</v>
      </c>
      <c r="T1796">
        <f>IFERROR(VLOOKUP("906-443000-210",Out!B:AB,11+8,0),0)</f>
        <v>0</v>
      </c>
      <c r="U1796">
        <f>IFERROR(VLOOKUP("906-443000-210",Out!B:AB,12+8,0),0)</f>
        <v>0</v>
      </c>
      <c r="V1796">
        <f>IFERROR(VLOOKUP("906-443000-210",Out!B:AB,13+8,0),0)</f>
        <v>0</v>
      </c>
      <c r="W1796">
        <f>IFERROR(VLOOKUP("906-443000-210",Out!B:AB,14+8,0),0)</f>
        <v>0</v>
      </c>
      <c r="X1796">
        <f>IFERROR(VLOOKUP("906-443000-210",Out!B:AB,15+8,0),0)</f>
        <v>0</v>
      </c>
      <c r="Y1796">
        <f>IFERROR(VLOOKUP("906-443000-210",Out!B:AB,16+8,0),0)</f>
        <v>0</v>
      </c>
      <c r="Z1796">
        <f>IFERROR(VLOOKUP("906-443000-210",Out!B:AB,17+8,0),0)</f>
        <v>0</v>
      </c>
      <c r="AA1796">
        <f>IFERROR(VLOOKUP("906-443000-210",Out!B:AB,18+8,0),0)</f>
        <v>0</v>
      </c>
      <c r="AB1796">
        <f>IFERROR(VLOOKUP("906-443000-210",Out!B:AB,19+8,0),0)</f>
        <v>0</v>
      </c>
      <c r="AC1796">
        <f>IFERROR(VLOOKUP("906-443000-210",Out!B:AB,20+8,0),0)</f>
        <v>0</v>
      </c>
      <c r="AD1796">
        <f>IFERROR(VLOOKUP("906-443000-210",Out!B:AB,21+8,0),0)</f>
        <v>0</v>
      </c>
      <c r="AE1796">
        <f>IFERROR(VLOOKUP("906-443000-210",Out!B:AB,22+8,0),0)</f>
        <v>0</v>
      </c>
      <c r="AF1796">
        <f>IFERROR(VLOOKUP("906-443000-210",Out!B:AB,23+8,0),0)</f>
        <v>0</v>
      </c>
      <c r="AG1796">
        <f>IFERROR(VLOOKUP("906-443000-210",Out!B:AB,24+8,0),0)</f>
        <v>0</v>
      </c>
      <c r="AH1796">
        <f>IFERROR(VLOOKUP("906-443000-210",Out!B:AB,25+8,0),0)</f>
        <v>0</v>
      </c>
      <c r="AI1796">
        <f>IFERROR(VLOOKUP("906-443000-210",Out!B:AB,26+8,0),0)</f>
        <v>0</v>
      </c>
      <c r="AJ1796">
        <f>IFERROR(VLOOKUP("906-443000-210",Out!B:AB,27+8,0),0)</f>
        <v>0</v>
      </c>
      <c r="AK1796">
        <f>IFERROR(VLOOKUP("906-443000-210",Out!B:AB,28+8,0),0)</f>
        <v>0</v>
      </c>
      <c r="AL1796">
        <f>IFERROR(VLOOKUP("906-443000-210",Out!B:AB,29+8,0),0)</f>
        <v>0</v>
      </c>
      <c r="AM1796">
        <f>IFERROR(VLOOKUP("906-443000-210",Out!B:AB,30+8,0),0)</f>
        <v>0</v>
      </c>
      <c r="AN1796">
        <f>IFERROR(VLOOKUP("906-443000-210",Out!B:AB,31+8,0),0)</f>
        <v>0</v>
      </c>
      <c r="AO1796">
        <f>SUN(INDIRECT(ADDRESS(1795,8)):INDIRECT(ADDRESS(1795,39)))</f>
        <v>0</v>
      </c>
    </row>
    <row r="1797" spans="1:41">
      <c r="H1797" t="s">
        <v>179</v>
      </c>
      <c r="J1797">
        <f>INDIRECT(ADDRESS(1797,9))+INDIRECT(ADDRESS(1795,10))-INDIRECT(ADDRESS(1796,10))</f>
        <v>0</v>
      </c>
      <c r="K1797">
        <f>INDIRECT(ADDRESS(1797,10))+INDIRECT(ADDRESS(1795,11))-INDIRECT(ADDRESS(1796,11))</f>
        <v>0</v>
      </c>
      <c r="L1797">
        <f>INDIRECT(ADDRESS(1797,11))+INDIRECT(ADDRESS(1795,12))-INDIRECT(ADDRESS(1796,12))</f>
        <v>0</v>
      </c>
      <c r="M1797">
        <f>INDIRECT(ADDRESS(1797,12))+INDIRECT(ADDRESS(1795,13))-INDIRECT(ADDRESS(1796,13))</f>
        <v>0</v>
      </c>
      <c r="N1797">
        <f>INDIRECT(ADDRESS(1797,13))+INDIRECT(ADDRESS(1795,14))-INDIRECT(ADDRESS(1796,14))</f>
        <v>0</v>
      </c>
      <c r="O1797">
        <f>INDIRECT(ADDRESS(1797,14))+INDIRECT(ADDRESS(1795,15))-INDIRECT(ADDRESS(1796,15))</f>
        <v>0</v>
      </c>
      <c r="P1797">
        <f>INDIRECT(ADDRESS(1797,15))+INDIRECT(ADDRESS(1795,16))-INDIRECT(ADDRESS(1796,16))</f>
        <v>0</v>
      </c>
      <c r="Q1797">
        <f>INDIRECT(ADDRESS(1797,16))+INDIRECT(ADDRESS(1795,17))-INDIRECT(ADDRESS(1796,17))</f>
        <v>0</v>
      </c>
      <c r="R1797">
        <f>INDIRECT(ADDRESS(1797,17))+INDIRECT(ADDRESS(1795,18))-INDIRECT(ADDRESS(1796,18))</f>
        <v>0</v>
      </c>
      <c r="S1797">
        <f>INDIRECT(ADDRESS(1797,18))+INDIRECT(ADDRESS(1795,19))-INDIRECT(ADDRESS(1796,19))</f>
        <v>0</v>
      </c>
      <c r="T1797">
        <f>INDIRECT(ADDRESS(1797,19))+INDIRECT(ADDRESS(1795,20))-INDIRECT(ADDRESS(1796,20))</f>
        <v>0</v>
      </c>
      <c r="U1797">
        <f>INDIRECT(ADDRESS(1797,20))+INDIRECT(ADDRESS(1795,21))-INDIRECT(ADDRESS(1796,21))</f>
        <v>0</v>
      </c>
      <c r="V1797">
        <f>INDIRECT(ADDRESS(1797,21))+INDIRECT(ADDRESS(1795,22))-INDIRECT(ADDRESS(1796,22))</f>
        <v>0</v>
      </c>
      <c r="W1797">
        <f>INDIRECT(ADDRESS(1797,22))+INDIRECT(ADDRESS(1795,23))-INDIRECT(ADDRESS(1796,23))</f>
        <v>0</v>
      </c>
      <c r="X1797">
        <f>INDIRECT(ADDRESS(1797,23))+INDIRECT(ADDRESS(1795,24))-INDIRECT(ADDRESS(1796,24))</f>
        <v>0</v>
      </c>
      <c r="Y1797">
        <f>INDIRECT(ADDRESS(1797,24))+INDIRECT(ADDRESS(1795,25))-INDIRECT(ADDRESS(1796,25))</f>
        <v>0</v>
      </c>
      <c r="Z1797">
        <f>INDIRECT(ADDRESS(1797,25))+INDIRECT(ADDRESS(1795,26))-INDIRECT(ADDRESS(1796,26))</f>
        <v>0</v>
      </c>
      <c r="AA1797">
        <f>INDIRECT(ADDRESS(1797,26))+INDIRECT(ADDRESS(1795,27))-INDIRECT(ADDRESS(1796,27))</f>
        <v>0</v>
      </c>
      <c r="AB1797">
        <f>INDIRECT(ADDRESS(1797,27))+INDIRECT(ADDRESS(1795,28))-INDIRECT(ADDRESS(1796,28))</f>
        <v>0</v>
      </c>
      <c r="AC1797">
        <f>INDIRECT(ADDRESS(1797,28))+INDIRECT(ADDRESS(1795,29))-INDIRECT(ADDRESS(1796,29))</f>
        <v>0</v>
      </c>
      <c r="AD1797">
        <f>INDIRECT(ADDRESS(1797,29))+INDIRECT(ADDRESS(1795,30))-INDIRECT(ADDRESS(1796,30))</f>
        <v>0</v>
      </c>
      <c r="AE1797">
        <f>INDIRECT(ADDRESS(1797,30))+INDIRECT(ADDRESS(1795,31))-INDIRECT(ADDRESS(1796,31))</f>
        <v>0</v>
      </c>
      <c r="AF1797">
        <f>INDIRECT(ADDRESS(1797,31))+INDIRECT(ADDRESS(1795,32))-INDIRECT(ADDRESS(1796,32))</f>
        <v>0</v>
      </c>
      <c r="AG1797">
        <f>INDIRECT(ADDRESS(1797,32))+INDIRECT(ADDRESS(1795,33))-INDIRECT(ADDRESS(1796,33))</f>
        <v>0</v>
      </c>
      <c r="AH1797">
        <f>INDIRECT(ADDRESS(1797,33))+INDIRECT(ADDRESS(1795,34))-INDIRECT(ADDRESS(1796,34))</f>
        <v>0</v>
      </c>
      <c r="AI1797">
        <f>INDIRECT(ADDRESS(1797,34))+INDIRECT(ADDRESS(1795,35))-INDIRECT(ADDRESS(1796,35))</f>
        <v>0</v>
      </c>
      <c r="AJ1797">
        <f>INDIRECT(ADDRESS(1797,35))+INDIRECT(ADDRESS(1795,36))-INDIRECT(ADDRESS(1796,36))</f>
        <v>0</v>
      </c>
      <c r="AK1797">
        <f>INDIRECT(ADDRESS(1797,36))+INDIRECT(ADDRESS(1795,37))-INDIRECT(ADDRESS(1796,37))</f>
        <v>0</v>
      </c>
      <c r="AL1797">
        <f>INDIRECT(ADDRESS(1797,37))+INDIRECT(ADDRESS(1795,38))-INDIRECT(ADDRESS(1796,38))</f>
        <v>0</v>
      </c>
      <c r="AM1797">
        <f>INDIRECT(ADDRESS(1797,38))+INDIRECT(ADDRESS(1795,39))-INDIRECT(ADDRESS(1796,39))</f>
        <v>0</v>
      </c>
      <c r="AN1797">
        <f>INDIRECT(ADDRESS(1797,39))+INDIRECT(ADDRESS(1795,40))-INDIRECT(ADDRESS(1796,40))</f>
        <v>0</v>
      </c>
      <c r="AO1797">
        <f>SUM(INDIRECT(ADDRESS(1796,8)):INDIRECT(ADDRESS(1796,39)))</f>
        <v>0</v>
      </c>
    </row>
    <row r="1798" spans="1:41">
      <c r="A1798" t="s">
        <v>180</v>
      </c>
      <c r="B1798" t="s">
        <v>837</v>
      </c>
      <c r="C1798" t="s">
        <v>832</v>
      </c>
      <c r="E1798">
        <v>1</v>
      </c>
      <c r="I1798" t="s">
        <v>177</v>
      </c>
    </row>
    <row r="1799" spans="1:41">
      <c r="I1799" t="s">
        <v>178</v>
      </c>
      <c r="J1799">
        <f>IFERROR(VLOOKUP("906-443000-210",B:AB,1+8,0),0)</f>
        <v>0</v>
      </c>
      <c r="K1799">
        <f>IFERROR(VLOOKUP("906-443000-210",B:AB,2+8,0),0)</f>
        <v>0</v>
      </c>
      <c r="L1799">
        <f>IFERROR(VLOOKUP("906-443000-210",B:AB,3+8,0),0)</f>
        <v>0</v>
      </c>
      <c r="M1799">
        <f>IFERROR(VLOOKUP("906-443000-210",B:AB,4+8,0),0)</f>
        <v>0</v>
      </c>
      <c r="N1799">
        <f>IFERROR(VLOOKUP("906-443000-210",B:AB,5+8,0),0)</f>
        <v>0</v>
      </c>
      <c r="O1799">
        <f>IFERROR(VLOOKUP("906-443000-210",B:AB,6+8,0),0)</f>
        <v>0</v>
      </c>
      <c r="P1799">
        <f>IFERROR(VLOOKUP("906-443000-210",B:AB,7+8,0),0)</f>
        <v>0</v>
      </c>
      <c r="Q1799">
        <f>IFERROR(VLOOKUP("906-443000-210",B:AB,8+8,0),0)</f>
        <v>0</v>
      </c>
      <c r="R1799">
        <f>IFERROR(VLOOKUP("906-443000-210",B:AB,9+8,0),0)</f>
        <v>0</v>
      </c>
      <c r="S1799">
        <f>IFERROR(VLOOKUP("906-443000-210",B:AB,10+8,0),0)</f>
        <v>0</v>
      </c>
      <c r="T1799">
        <f>IFERROR(VLOOKUP("906-443000-210",B:AB,11+8,0),0)</f>
        <v>0</v>
      </c>
      <c r="U1799">
        <f>IFERROR(VLOOKUP("906-443000-210",B:AB,12+8,0),0)</f>
        <v>0</v>
      </c>
      <c r="V1799">
        <f>IFERROR(VLOOKUP("906-443000-210",B:AB,13+8,0),0)</f>
        <v>0</v>
      </c>
      <c r="W1799">
        <f>IFERROR(VLOOKUP("906-443000-210",B:AB,14+8,0),0)</f>
        <v>0</v>
      </c>
      <c r="X1799">
        <f>IFERROR(VLOOKUP("906-443000-210",B:AB,15+8,0),0)</f>
        <v>0</v>
      </c>
      <c r="Y1799">
        <f>IFERROR(VLOOKUP("906-443000-210",B:AB,16+8,0),0)</f>
        <v>0</v>
      </c>
      <c r="Z1799">
        <f>IFERROR(VLOOKUP("906-443000-210",B:AB,17+8,0),0)</f>
        <v>0</v>
      </c>
      <c r="AA1799">
        <f>IFERROR(VLOOKUP("906-443000-210",B:AB,18+8,0),0)</f>
        <v>0</v>
      </c>
      <c r="AB1799">
        <f>IFERROR(VLOOKUP("906-443000-210",B:AB,19+8,0),0)</f>
        <v>0</v>
      </c>
      <c r="AC1799">
        <f>IFERROR(VLOOKUP("906-443000-210",B:AB,20+8,0),0)</f>
        <v>0</v>
      </c>
      <c r="AD1799">
        <f>IFERROR(VLOOKUP("906-443000-210",B:AB,21+8,0),0)</f>
        <v>0</v>
      </c>
      <c r="AE1799">
        <f>IFERROR(VLOOKUP("906-443000-210",B:AB,22+8,0),0)</f>
        <v>0</v>
      </c>
      <c r="AF1799">
        <f>IFERROR(VLOOKUP("906-443000-210",B:AB,23+8,0),0)</f>
        <v>0</v>
      </c>
      <c r="AG1799">
        <f>IFERROR(VLOOKUP("906-443000-210",B:AB,24+8,0),0)</f>
        <v>0</v>
      </c>
      <c r="AH1799">
        <f>IFERROR(VLOOKUP("906-443000-210",B:AB,25+8,0),0)</f>
        <v>0</v>
      </c>
      <c r="AI1799">
        <f>IFERROR(VLOOKUP("906-443000-210",B:AB,26+8,0),0)</f>
        <v>0</v>
      </c>
      <c r="AJ1799">
        <f>IFERROR(VLOOKUP("906-443000-210",B:AB,27+8,0),0)</f>
        <v>0</v>
      </c>
      <c r="AK1799">
        <f>IFERROR(VLOOKUP("906-443000-210",B:AB,28+8,0),0)</f>
        <v>0</v>
      </c>
      <c r="AL1799">
        <f>IFERROR(VLOOKUP("906-443000-210",B:AB,29+8,0),0)</f>
        <v>0</v>
      </c>
      <c r="AM1799">
        <f>IFERROR(VLOOKUP("906-443000-210",B:AB,30+8,0),0)</f>
        <v>0</v>
      </c>
      <c r="AN1799">
        <f>IFERROR(VLOOKUP("906-443000-210",B:AB,31+8,0),0)</f>
        <v>0</v>
      </c>
      <c r="AO1799">
        <f>SUN(INDIRECT(ADDRESS(1798,8)):INDIRECT(ADDRESS(1798,39)))</f>
        <v>0</v>
      </c>
    </row>
    <row r="1800" spans="1:41">
      <c r="H1800" t="s">
        <v>179</v>
      </c>
      <c r="J1800">
        <f>INDIRECT(ADDRESS(1800,9))+INDIRECT(ADDRESS(1798,10))-INDIRECT(ADDRESS(1799,10))</f>
        <v>0</v>
      </c>
      <c r="K1800">
        <f>INDIRECT(ADDRESS(1800,10))+INDIRECT(ADDRESS(1798,11))-INDIRECT(ADDRESS(1799,11))</f>
        <v>0</v>
      </c>
      <c r="L1800">
        <f>INDIRECT(ADDRESS(1800,11))+INDIRECT(ADDRESS(1798,12))-INDIRECT(ADDRESS(1799,12))</f>
        <v>0</v>
      </c>
      <c r="M1800">
        <f>INDIRECT(ADDRESS(1800,12))+INDIRECT(ADDRESS(1798,13))-INDIRECT(ADDRESS(1799,13))</f>
        <v>0</v>
      </c>
      <c r="N1800">
        <f>INDIRECT(ADDRESS(1800,13))+INDIRECT(ADDRESS(1798,14))-INDIRECT(ADDRESS(1799,14))</f>
        <v>0</v>
      </c>
      <c r="O1800">
        <f>INDIRECT(ADDRESS(1800,14))+INDIRECT(ADDRESS(1798,15))-INDIRECT(ADDRESS(1799,15))</f>
        <v>0</v>
      </c>
      <c r="P1800">
        <f>INDIRECT(ADDRESS(1800,15))+INDIRECT(ADDRESS(1798,16))-INDIRECT(ADDRESS(1799,16))</f>
        <v>0</v>
      </c>
      <c r="Q1800">
        <f>INDIRECT(ADDRESS(1800,16))+INDIRECT(ADDRESS(1798,17))-INDIRECT(ADDRESS(1799,17))</f>
        <v>0</v>
      </c>
      <c r="R1800">
        <f>INDIRECT(ADDRESS(1800,17))+INDIRECT(ADDRESS(1798,18))-INDIRECT(ADDRESS(1799,18))</f>
        <v>0</v>
      </c>
      <c r="S1800">
        <f>INDIRECT(ADDRESS(1800,18))+INDIRECT(ADDRESS(1798,19))-INDIRECT(ADDRESS(1799,19))</f>
        <v>0</v>
      </c>
      <c r="T1800">
        <f>INDIRECT(ADDRESS(1800,19))+INDIRECT(ADDRESS(1798,20))-INDIRECT(ADDRESS(1799,20))</f>
        <v>0</v>
      </c>
      <c r="U1800">
        <f>INDIRECT(ADDRESS(1800,20))+INDIRECT(ADDRESS(1798,21))-INDIRECT(ADDRESS(1799,21))</f>
        <v>0</v>
      </c>
      <c r="V1800">
        <f>INDIRECT(ADDRESS(1800,21))+INDIRECT(ADDRESS(1798,22))-INDIRECT(ADDRESS(1799,22))</f>
        <v>0</v>
      </c>
      <c r="W1800">
        <f>INDIRECT(ADDRESS(1800,22))+INDIRECT(ADDRESS(1798,23))-INDIRECT(ADDRESS(1799,23))</f>
        <v>0</v>
      </c>
      <c r="X1800">
        <f>INDIRECT(ADDRESS(1800,23))+INDIRECT(ADDRESS(1798,24))-INDIRECT(ADDRESS(1799,24))</f>
        <v>0</v>
      </c>
      <c r="Y1800">
        <f>INDIRECT(ADDRESS(1800,24))+INDIRECT(ADDRESS(1798,25))-INDIRECT(ADDRESS(1799,25))</f>
        <v>0</v>
      </c>
      <c r="Z1800">
        <f>INDIRECT(ADDRESS(1800,25))+INDIRECT(ADDRESS(1798,26))-INDIRECT(ADDRESS(1799,26))</f>
        <v>0</v>
      </c>
      <c r="AA1800">
        <f>INDIRECT(ADDRESS(1800,26))+INDIRECT(ADDRESS(1798,27))-INDIRECT(ADDRESS(1799,27))</f>
        <v>0</v>
      </c>
      <c r="AB1800">
        <f>INDIRECT(ADDRESS(1800,27))+INDIRECT(ADDRESS(1798,28))-INDIRECT(ADDRESS(1799,28))</f>
        <v>0</v>
      </c>
      <c r="AC1800">
        <f>INDIRECT(ADDRESS(1800,28))+INDIRECT(ADDRESS(1798,29))-INDIRECT(ADDRESS(1799,29))</f>
        <v>0</v>
      </c>
      <c r="AD1800">
        <f>INDIRECT(ADDRESS(1800,29))+INDIRECT(ADDRESS(1798,30))-INDIRECT(ADDRESS(1799,30))</f>
        <v>0</v>
      </c>
      <c r="AE1800">
        <f>INDIRECT(ADDRESS(1800,30))+INDIRECT(ADDRESS(1798,31))-INDIRECT(ADDRESS(1799,31))</f>
        <v>0</v>
      </c>
      <c r="AF1800">
        <f>INDIRECT(ADDRESS(1800,31))+INDIRECT(ADDRESS(1798,32))-INDIRECT(ADDRESS(1799,32))</f>
        <v>0</v>
      </c>
      <c r="AG1800">
        <f>INDIRECT(ADDRESS(1800,32))+INDIRECT(ADDRESS(1798,33))-INDIRECT(ADDRESS(1799,33))</f>
        <v>0</v>
      </c>
      <c r="AH1800">
        <f>INDIRECT(ADDRESS(1800,33))+INDIRECT(ADDRESS(1798,34))-INDIRECT(ADDRESS(1799,34))</f>
        <v>0</v>
      </c>
      <c r="AI1800">
        <f>INDIRECT(ADDRESS(1800,34))+INDIRECT(ADDRESS(1798,35))-INDIRECT(ADDRESS(1799,35))</f>
        <v>0</v>
      </c>
      <c r="AJ1800">
        <f>INDIRECT(ADDRESS(1800,35))+INDIRECT(ADDRESS(1798,36))-INDIRECT(ADDRESS(1799,36))</f>
        <v>0</v>
      </c>
      <c r="AK1800">
        <f>INDIRECT(ADDRESS(1800,36))+INDIRECT(ADDRESS(1798,37))-INDIRECT(ADDRESS(1799,37))</f>
        <v>0</v>
      </c>
      <c r="AL1800">
        <f>INDIRECT(ADDRESS(1800,37))+INDIRECT(ADDRESS(1798,38))-INDIRECT(ADDRESS(1799,38))</f>
        <v>0</v>
      </c>
      <c r="AM1800">
        <f>INDIRECT(ADDRESS(1800,38))+INDIRECT(ADDRESS(1798,39))-INDIRECT(ADDRESS(1799,39))</f>
        <v>0</v>
      </c>
      <c r="AN1800">
        <f>INDIRECT(ADDRESS(1800,39))+INDIRECT(ADDRESS(1798,40))-INDIRECT(ADDRESS(1799,40))</f>
        <v>0</v>
      </c>
      <c r="AO1800">
        <f>SUM(INDIRECT(ADDRESS(1799,8)):INDIRECT(ADDRESS(1799,39)))</f>
        <v>0</v>
      </c>
    </row>
    <row r="1801" spans="1:41">
      <c r="A1801" t="s">
        <v>185</v>
      </c>
      <c r="B1801" t="s">
        <v>838</v>
      </c>
      <c r="C1801" t="s">
        <v>834</v>
      </c>
      <c r="E1801">
        <v>1</v>
      </c>
      <c r="I1801" t="s">
        <v>177</v>
      </c>
    </row>
    <row r="1802" spans="1:41">
      <c r="I1802" t="s">
        <v>178</v>
      </c>
      <c r="J1802">
        <f>IFERROR(VLOOKUP("906-443000-210",B:AB,1+8,0),0)</f>
        <v>0</v>
      </c>
      <c r="K1802">
        <f>IFERROR(VLOOKUP("906-443000-210",B:AB,2+8,0),0)</f>
        <v>0</v>
      </c>
      <c r="L1802">
        <f>IFERROR(VLOOKUP("906-443000-210",B:AB,3+8,0),0)</f>
        <v>0</v>
      </c>
      <c r="M1802">
        <f>IFERROR(VLOOKUP("906-443000-210",B:AB,4+8,0),0)</f>
        <v>0</v>
      </c>
      <c r="N1802">
        <f>IFERROR(VLOOKUP("906-443000-210",B:AB,5+8,0),0)</f>
        <v>0</v>
      </c>
      <c r="O1802">
        <f>IFERROR(VLOOKUP("906-443000-210",B:AB,6+8,0),0)</f>
        <v>0</v>
      </c>
      <c r="P1802">
        <f>IFERROR(VLOOKUP("906-443000-210",B:AB,7+8,0),0)</f>
        <v>0</v>
      </c>
      <c r="Q1802">
        <f>IFERROR(VLOOKUP("906-443000-210",B:AB,8+8,0),0)</f>
        <v>0</v>
      </c>
      <c r="R1802">
        <f>IFERROR(VLOOKUP("906-443000-210",B:AB,9+8,0),0)</f>
        <v>0</v>
      </c>
      <c r="S1802">
        <f>IFERROR(VLOOKUP("906-443000-210",B:AB,10+8,0),0)</f>
        <v>0</v>
      </c>
      <c r="T1802">
        <f>IFERROR(VLOOKUP("906-443000-210",B:AB,11+8,0),0)</f>
        <v>0</v>
      </c>
      <c r="U1802">
        <f>IFERROR(VLOOKUP("906-443000-210",B:AB,12+8,0),0)</f>
        <v>0</v>
      </c>
      <c r="V1802">
        <f>IFERROR(VLOOKUP("906-443000-210",B:AB,13+8,0),0)</f>
        <v>0</v>
      </c>
      <c r="W1802">
        <f>IFERROR(VLOOKUP("906-443000-210",B:AB,14+8,0),0)</f>
        <v>0</v>
      </c>
      <c r="X1802">
        <f>IFERROR(VLOOKUP("906-443000-210",B:AB,15+8,0),0)</f>
        <v>0</v>
      </c>
      <c r="Y1802">
        <f>IFERROR(VLOOKUP("906-443000-210",B:AB,16+8,0),0)</f>
        <v>0</v>
      </c>
      <c r="Z1802">
        <f>IFERROR(VLOOKUP("906-443000-210",B:AB,17+8,0),0)</f>
        <v>0</v>
      </c>
      <c r="AA1802">
        <f>IFERROR(VLOOKUP("906-443000-210",B:AB,18+8,0),0)</f>
        <v>0</v>
      </c>
      <c r="AB1802">
        <f>IFERROR(VLOOKUP("906-443000-210",B:AB,19+8,0),0)</f>
        <v>0</v>
      </c>
      <c r="AC1802">
        <f>IFERROR(VLOOKUP("906-443000-210",B:AB,20+8,0),0)</f>
        <v>0</v>
      </c>
      <c r="AD1802">
        <f>IFERROR(VLOOKUP("906-443000-210",B:AB,21+8,0),0)</f>
        <v>0</v>
      </c>
      <c r="AE1802">
        <f>IFERROR(VLOOKUP("906-443000-210",B:AB,22+8,0),0)</f>
        <v>0</v>
      </c>
      <c r="AF1802">
        <f>IFERROR(VLOOKUP("906-443000-210",B:AB,23+8,0),0)</f>
        <v>0</v>
      </c>
      <c r="AG1802">
        <f>IFERROR(VLOOKUP("906-443000-210",B:AB,24+8,0),0)</f>
        <v>0</v>
      </c>
      <c r="AH1802">
        <f>IFERROR(VLOOKUP("906-443000-210",B:AB,25+8,0),0)</f>
        <v>0</v>
      </c>
      <c r="AI1802">
        <f>IFERROR(VLOOKUP("906-443000-210",B:AB,26+8,0),0)</f>
        <v>0</v>
      </c>
      <c r="AJ1802">
        <f>IFERROR(VLOOKUP("906-443000-210",B:AB,27+8,0),0)</f>
        <v>0</v>
      </c>
      <c r="AK1802">
        <f>IFERROR(VLOOKUP("906-443000-210",B:AB,28+8,0),0)</f>
        <v>0</v>
      </c>
      <c r="AL1802">
        <f>IFERROR(VLOOKUP("906-443000-210",B:AB,29+8,0),0)</f>
        <v>0</v>
      </c>
      <c r="AM1802">
        <f>IFERROR(VLOOKUP("906-443000-210",B:AB,30+8,0),0)</f>
        <v>0</v>
      </c>
      <c r="AN1802">
        <f>IFERROR(VLOOKUP("906-443000-210",B:AB,31+8,0),0)</f>
        <v>0</v>
      </c>
      <c r="AO1802">
        <f>SUN(INDIRECT(ADDRESS(1801,8)):INDIRECT(ADDRESS(1801,39)))</f>
        <v>0</v>
      </c>
    </row>
    <row r="1803" spans="1:41">
      <c r="H1803" t="s">
        <v>179</v>
      </c>
      <c r="J1803">
        <f>INDIRECT(ADDRESS(1803,9))+INDIRECT(ADDRESS(1801,10))-INDIRECT(ADDRESS(1802,10))</f>
        <v>0</v>
      </c>
      <c r="K1803">
        <f>INDIRECT(ADDRESS(1803,10))+INDIRECT(ADDRESS(1801,11))-INDIRECT(ADDRESS(1802,11))</f>
        <v>0</v>
      </c>
      <c r="L1803">
        <f>INDIRECT(ADDRESS(1803,11))+INDIRECT(ADDRESS(1801,12))-INDIRECT(ADDRESS(1802,12))</f>
        <v>0</v>
      </c>
      <c r="M1803">
        <f>INDIRECT(ADDRESS(1803,12))+INDIRECT(ADDRESS(1801,13))-INDIRECT(ADDRESS(1802,13))</f>
        <v>0</v>
      </c>
      <c r="N1803">
        <f>INDIRECT(ADDRESS(1803,13))+INDIRECT(ADDRESS(1801,14))-INDIRECT(ADDRESS(1802,14))</f>
        <v>0</v>
      </c>
      <c r="O1803">
        <f>INDIRECT(ADDRESS(1803,14))+INDIRECT(ADDRESS(1801,15))-INDIRECT(ADDRESS(1802,15))</f>
        <v>0</v>
      </c>
      <c r="P1803">
        <f>INDIRECT(ADDRESS(1803,15))+INDIRECT(ADDRESS(1801,16))-INDIRECT(ADDRESS(1802,16))</f>
        <v>0</v>
      </c>
      <c r="Q1803">
        <f>INDIRECT(ADDRESS(1803,16))+INDIRECT(ADDRESS(1801,17))-INDIRECT(ADDRESS(1802,17))</f>
        <v>0</v>
      </c>
      <c r="R1803">
        <f>INDIRECT(ADDRESS(1803,17))+INDIRECT(ADDRESS(1801,18))-INDIRECT(ADDRESS(1802,18))</f>
        <v>0</v>
      </c>
      <c r="S1803">
        <f>INDIRECT(ADDRESS(1803,18))+INDIRECT(ADDRESS(1801,19))-INDIRECT(ADDRESS(1802,19))</f>
        <v>0</v>
      </c>
      <c r="T1803">
        <f>INDIRECT(ADDRESS(1803,19))+INDIRECT(ADDRESS(1801,20))-INDIRECT(ADDRESS(1802,20))</f>
        <v>0</v>
      </c>
      <c r="U1803">
        <f>INDIRECT(ADDRESS(1803,20))+INDIRECT(ADDRESS(1801,21))-INDIRECT(ADDRESS(1802,21))</f>
        <v>0</v>
      </c>
      <c r="V1803">
        <f>INDIRECT(ADDRESS(1803,21))+INDIRECT(ADDRESS(1801,22))-INDIRECT(ADDRESS(1802,22))</f>
        <v>0</v>
      </c>
      <c r="W1803">
        <f>INDIRECT(ADDRESS(1803,22))+INDIRECT(ADDRESS(1801,23))-INDIRECT(ADDRESS(1802,23))</f>
        <v>0</v>
      </c>
      <c r="X1803">
        <f>INDIRECT(ADDRESS(1803,23))+INDIRECT(ADDRESS(1801,24))-INDIRECT(ADDRESS(1802,24))</f>
        <v>0</v>
      </c>
      <c r="Y1803">
        <f>INDIRECT(ADDRESS(1803,24))+INDIRECT(ADDRESS(1801,25))-INDIRECT(ADDRESS(1802,25))</f>
        <v>0</v>
      </c>
      <c r="Z1803">
        <f>INDIRECT(ADDRESS(1803,25))+INDIRECT(ADDRESS(1801,26))-INDIRECT(ADDRESS(1802,26))</f>
        <v>0</v>
      </c>
      <c r="AA1803">
        <f>INDIRECT(ADDRESS(1803,26))+INDIRECT(ADDRESS(1801,27))-INDIRECT(ADDRESS(1802,27))</f>
        <v>0</v>
      </c>
      <c r="AB1803">
        <f>INDIRECT(ADDRESS(1803,27))+INDIRECT(ADDRESS(1801,28))-INDIRECT(ADDRESS(1802,28))</f>
        <v>0</v>
      </c>
      <c r="AC1803">
        <f>INDIRECT(ADDRESS(1803,28))+INDIRECT(ADDRESS(1801,29))-INDIRECT(ADDRESS(1802,29))</f>
        <v>0</v>
      </c>
      <c r="AD1803">
        <f>INDIRECT(ADDRESS(1803,29))+INDIRECT(ADDRESS(1801,30))-INDIRECT(ADDRESS(1802,30))</f>
        <v>0</v>
      </c>
      <c r="AE1803">
        <f>INDIRECT(ADDRESS(1803,30))+INDIRECT(ADDRESS(1801,31))-INDIRECT(ADDRESS(1802,31))</f>
        <v>0</v>
      </c>
      <c r="AF1803">
        <f>INDIRECT(ADDRESS(1803,31))+INDIRECT(ADDRESS(1801,32))-INDIRECT(ADDRESS(1802,32))</f>
        <v>0</v>
      </c>
      <c r="AG1803">
        <f>INDIRECT(ADDRESS(1803,32))+INDIRECT(ADDRESS(1801,33))-INDIRECT(ADDRESS(1802,33))</f>
        <v>0</v>
      </c>
      <c r="AH1803">
        <f>INDIRECT(ADDRESS(1803,33))+INDIRECT(ADDRESS(1801,34))-INDIRECT(ADDRESS(1802,34))</f>
        <v>0</v>
      </c>
      <c r="AI1803">
        <f>INDIRECT(ADDRESS(1803,34))+INDIRECT(ADDRESS(1801,35))-INDIRECT(ADDRESS(1802,35))</f>
        <v>0</v>
      </c>
      <c r="AJ1803">
        <f>INDIRECT(ADDRESS(1803,35))+INDIRECT(ADDRESS(1801,36))-INDIRECT(ADDRESS(1802,36))</f>
        <v>0</v>
      </c>
      <c r="AK1803">
        <f>INDIRECT(ADDRESS(1803,36))+INDIRECT(ADDRESS(1801,37))-INDIRECT(ADDRESS(1802,37))</f>
        <v>0</v>
      </c>
      <c r="AL1803">
        <f>INDIRECT(ADDRESS(1803,37))+INDIRECT(ADDRESS(1801,38))-INDIRECT(ADDRESS(1802,38))</f>
        <v>0</v>
      </c>
      <c r="AM1803">
        <f>INDIRECT(ADDRESS(1803,38))+INDIRECT(ADDRESS(1801,39))-INDIRECT(ADDRESS(1802,39))</f>
        <v>0</v>
      </c>
      <c r="AN1803">
        <f>INDIRECT(ADDRESS(1803,39))+INDIRECT(ADDRESS(1801,40))-INDIRECT(ADDRESS(1802,40))</f>
        <v>0</v>
      </c>
      <c r="AO1803">
        <f>SUM(INDIRECT(ADDRESS(1802,8)):INDIRECT(ADDRESS(1802,39)))</f>
        <v>0</v>
      </c>
    </row>
    <row r="1804" spans="1:41">
      <c r="A1804" t="s">
        <v>185</v>
      </c>
      <c r="B1804" t="s">
        <v>835</v>
      </c>
      <c r="C1804" t="s">
        <v>836</v>
      </c>
      <c r="E1804">
        <v>0.25</v>
      </c>
      <c r="I1804" t="s">
        <v>177</v>
      </c>
    </row>
    <row r="1805" spans="1:41">
      <c r="I1805" t="s">
        <v>178</v>
      </c>
      <c r="J1805">
        <f>IFERROR(VLOOKUP("906-443000-210",B:AB,1+8,0),0)</f>
        <v>0</v>
      </c>
      <c r="K1805">
        <f>IFERROR(VLOOKUP("906-443000-210",B:AB,2+8,0),0)</f>
        <v>0</v>
      </c>
      <c r="L1805">
        <f>IFERROR(VLOOKUP("906-443000-210",B:AB,3+8,0),0)</f>
        <v>0</v>
      </c>
      <c r="M1805">
        <f>IFERROR(VLOOKUP("906-443000-210",B:AB,4+8,0),0)</f>
        <v>0</v>
      </c>
      <c r="N1805">
        <f>IFERROR(VLOOKUP("906-443000-210",B:AB,5+8,0),0)</f>
        <v>0</v>
      </c>
      <c r="O1805">
        <f>IFERROR(VLOOKUP("906-443000-210",B:AB,6+8,0),0)</f>
        <v>0</v>
      </c>
      <c r="P1805">
        <f>IFERROR(VLOOKUP("906-443000-210",B:AB,7+8,0),0)</f>
        <v>0</v>
      </c>
      <c r="Q1805">
        <f>IFERROR(VLOOKUP("906-443000-210",B:AB,8+8,0),0)</f>
        <v>0</v>
      </c>
      <c r="R1805">
        <f>IFERROR(VLOOKUP("906-443000-210",B:AB,9+8,0),0)</f>
        <v>0</v>
      </c>
      <c r="S1805">
        <f>IFERROR(VLOOKUP("906-443000-210",B:AB,10+8,0),0)</f>
        <v>0</v>
      </c>
      <c r="T1805">
        <f>IFERROR(VLOOKUP("906-443000-210",B:AB,11+8,0),0)</f>
        <v>0</v>
      </c>
      <c r="U1805">
        <f>IFERROR(VLOOKUP("906-443000-210",B:AB,12+8,0),0)</f>
        <v>0</v>
      </c>
      <c r="V1805">
        <f>IFERROR(VLOOKUP("906-443000-210",B:AB,13+8,0),0)</f>
        <v>0</v>
      </c>
      <c r="W1805">
        <f>IFERROR(VLOOKUP("906-443000-210",B:AB,14+8,0),0)</f>
        <v>0</v>
      </c>
      <c r="X1805">
        <f>IFERROR(VLOOKUP("906-443000-210",B:AB,15+8,0),0)</f>
        <v>0</v>
      </c>
      <c r="Y1805">
        <f>IFERROR(VLOOKUP("906-443000-210",B:AB,16+8,0),0)</f>
        <v>0</v>
      </c>
      <c r="Z1805">
        <f>IFERROR(VLOOKUP("906-443000-210",B:AB,17+8,0),0)</f>
        <v>0</v>
      </c>
      <c r="AA1805">
        <f>IFERROR(VLOOKUP("906-443000-210",B:AB,18+8,0),0)</f>
        <v>0</v>
      </c>
      <c r="AB1805">
        <f>IFERROR(VLOOKUP("906-443000-210",B:AB,19+8,0),0)</f>
        <v>0</v>
      </c>
      <c r="AC1805">
        <f>IFERROR(VLOOKUP("906-443000-210",B:AB,20+8,0),0)</f>
        <v>0</v>
      </c>
      <c r="AD1805">
        <f>IFERROR(VLOOKUP("906-443000-210",B:AB,21+8,0),0)</f>
        <v>0</v>
      </c>
      <c r="AE1805">
        <f>IFERROR(VLOOKUP("906-443000-210",B:AB,22+8,0),0)</f>
        <v>0</v>
      </c>
      <c r="AF1805">
        <f>IFERROR(VLOOKUP("906-443000-210",B:AB,23+8,0),0)</f>
        <v>0</v>
      </c>
      <c r="AG1805">
        <f>IFERROR(VLOOKUP("906-443000-210",B:AB,24+8,0),0)</f>
        <v>0</v>
      </c>
      <c r="AH1805">
        <f>IFERROR(VLOOKUP("906-443000-210",B:AB,25+8,0),0)</f>
        <v>0</v>
      </c>
      <c r="AI1805">
        <f>IFERROR(VLOOKUP("906-443000-210",B:AB,26+8,0),0)</f>
        <v>0</v>
      </c>
      <c r="AJ1805">
        <f>IFERROR(VLOOKUP("906-443000-210",B:AB,27+8,0),0)</f>
        <v>0</v>
      </c>
      <c r="AK1805">
        <f>IFERROR(VLOOKUP("906-443000-210",B:AB,28+8,0),0)</f>
        <v>0</v>
      </c>
      <c r="AL1805">
        <f>IFERROR(VLOOKUP("906-443000-210",B:AB,29+8,0),0)</f>
        <v>0</v>
      </c>
      <c r="AM1805">
        <f>IFERROR(VLOOKUP("906-443000-210",B:AB,30+8,0),0)</f>
        <v>0</v>
      </c>
      <c r="AN1805">
        <f>IFERROR(VLOOKUP("906-443000-210",B:AB,31+8,0),0)</f>
        <v>0</v>
      </c>
      <c r="AO1805">
        <f>SUN(INDIRECT(ADDRESS(1804,8)):INDIRECT(ADDRESS(1804,39)))</f>
        <v>0</v>
      </c>
    </row>
    <row r="1806" spans="1:41">
      <c r="H1806" t="s">
        <v>179</v>
      </c>
      <c r="J1806">
        <f>INDIRECT(ADDRESS(1806,9))+INDIRECT(ADDRESS(1804,10))-INDIRECT(ADDRESS(1805,10))</f>
        <v>0</v>
      </c>
      <c r="K1806">
        <f>INDIRECT(ADDRESS(1806,10))+INDIRECT(ADDRESS(1804,11))-INDIRECT(ADDRESS(1805,11))</f>
        <v>0</v>
      </c>
      <c r="L1806">
        <f>INDIRECT(ADDRESS(1806,11))+INDIRECT(ADDRESS(1804,12))-INDIRECT(ADDRESS(1805,12))</f>
        <v>0</v>
      </c>
      <c r="M1806">
        <f>INDIRECT(ADDRESS(1806,12))+INDIRECT(ADDRESS(1804,13))-INDIRECT(ADDRESS(1805,13))</f>
        <v>0</v>
      </c>
      <c r="N1806">
        <f>INDIRECT(ADDRESS(1806,13))+INDIRECT(ADDRESS(1804,14))-INDIRECT(ADDRESS(1805,14))</f>
        <v>0</v>
      </c>
      <c r="O1806">
        <f>INDIRECT(ADDRESS(1806,14))+INDIRECT(ADDRESS(1804,15))-INDIRECT(ADDRESS(1805,15))</f>
        <v>0</v>
      </c>
      <c r="P1806">
        <f>INDIRECT(ADDRESS(1806,15))+INDIRECT(ADDRESS(1804,16))-INDIRECT(ADDRESS(1805,16))</f>
        <v>0</v>
      </c>
      <c r="Q1806">
        <f>INDIRECT(ADDRESS(1806,16))+INDIRECT(ADDRESS(1804,17))-INDIRECT(ADDRESS(1805,17))</f>
        <v>0</v>
      </c>
      <c r="R1806">
        <f>INDIRECT(ADDRESS(1806,17))+INDIRECT(ADDRESS(1804,18))-INDIRECT(ADDRESS(1805,18))</f>
        <v>0</v>
      </c>
      <c r="S1806">
        <f>INDIRECT(ADDRESS(1806,18))+INDIRECT(ADDRESS(1804,19))-INDIRECT(ADDRESS(1805,19))</f>
        <v>0</v>
      </c>
      <c r="T1806">
        <f>INDIRECT(ADDRESS(1806,19))+INDIRECT(ADDRESS(1804,20))-INDIRECT(ADDRESS(1805,20))</f>
        <v>0</v>
      </c>
      <c r="U1806">
        <f>INDIRECT(ADDRESS(1806,20))+INDIRECT(ADDRESS(1804,21))-INDIRECT(ADDRESS(1805,21))</f>
        <v>0</v>
      </c>
      <c r="V1806">
        <f>INDIRECT(ADDRESS(1806,21))+INDIRECT(ADDRESS(1804,22))-INDIRECT(ADDRESS(1805,22))</f>
        <v>0</v>
      </c>
      <c r="W1806">
        <f>INDIRECT(ADDRESS(1806,22))+INDIRECT(ADDRESS(1804,23))-INDIRECT(ADDRESS(1805,23))</f>
        <v>0</v>
      </c>
      <c r="X1806">
        <f>INDIRECT(ADDRESS(1806,23))+INDIRECT(ADDRESS(1804,24))-INDIRECT(ADDRESS(1805,24))</f>
        <v>0</v>
      </c>
      <c r="Y1806">
        <f>INDIRECT(ADDRESS(1806,24))+INDIRECT(ADDRESS(1804,25))-INDIRECT(ADDRESS(1805,25))</f>
        <v>0</v>
      </c>
      <c r="Z1806">
        <f>INDIRECT(ADDRESS(1806,25))+INDIRECT(ADDRESS(1804,26))-INDIRECT(ADDRESS(1805,26))</f>
        <v>0</v>
      </c>
      <c r="AA1806">
        <f>INDIRECT(ADDRESS(1806,26))+INDIRECT(ADDRESS(1804,27))-INDIRECT(ADDRESS(1805,27))</f>
        <v>0</v>
      </c>
      <c r="AB1806">
        <f>INDIRECT(ADDRESS(1806,27))+INDIRECT(ADDRESS(1804,28))-INDIRECT(ADDRESS(1805,28))</f>
        <v>0</v>
      </c>
      <c r="AC1806">
        <f>INDIRECT(ADDRESS(1806,28))+INDIRECT(ADDRESS(1804,29))-INDIRECT(ADDRESS(1805,29))</f>
        <v>0</v>
      </c>
      <c r="AD1806">
        <f>INDIRECT(ADDRESS(1806,29))+INDIRECT(ADDRESS(1804,30))-INDIRECT(ADDRESS(1805,30))</f>
        <v>0</v>
      </c>
      <c r="AE1806">
        <f>INDIRECT(ADDRESS(1806,30))+INDIRECT(ADDRESS(1804,31))-INDIRECT(ADDRESS(1805,31))</f>
        <v>0</v>
      </c>
      <c r="AF1806">
        <f>INDIRECT(ADDRESS(1806,31))+INDIRECT(ADDRESS(1804,32))-INDIRECT(ADDRESS(1805,32))</f>
        <v>0</v>
      </c>
      <c r="AG1806">
        <f>INDIRECT(ADDRESS(1806,32))+INDIRECT(ADDRESS(1804,33))-INDIRECT(ADDRESS(1805,33))</f>
        <v>0</v>
      </c>
      <c r="AH1806">
        <f>INDIRECT(ADDRESS(1806,33))+INDIRECT(ADDRESS(1804,34))-INDIRECT(ADDRESS(1805,34))</f>
        <v>0</v>
      </c>
      <c r="AI1806">
        <f>INDIRECT(ADDRESS(1806,34))+INDIRECT(ADDRESS(1804,35))-INDIRECT(ADDRESS(1805,35))</f>
        <v>0</v>
      </c>
      <c r="AJ1806">
        <f>INDIRECT(ADDRESS(1806,35))+INDIRECT(ADDRESS(1804,36))-INDIRECT(ADDRESS(1805,36))</f>
        <v>0</v>
      </c>
      <c r="AK1806">
        <f>INDIRECT(ADDRESS(1806,36))+INDIRECT(ADDRESS(1804,37))-INDIRECT(ADDRESS(1805,37))</f>
        <v>0</v>
      </c>
      <c r="AL1806">
        <f>INDIRECT(ADDRESS(1806,37))+INDIRECT(ADDRESS(1804,38))-INDIRECT(ADDRESS(1805,38))</f>
        <v>0</v>
      </c>
      <c r="AM1806">
        <f>INDIRECT(ADDRESS(1806,38))+INDIRECT(ADDRESS(1804,39))-INDIRECT(ADDRESS(1805,39))</f>
        <v>0</v>
      </c>
      <c r="AN1806">
        <f>INDIRECT(ADDRESS(1806,39))+INDIRECT(ADDRESS(1804,40))-INDIRECT(ADDRESS(1805,40))</f>
        <v>0</v>
      </c>
      <c r="AO1806">
        <f>SUM(INDIRECT(ADDRESS(1805,8)):INDIRECT(ADDRESS(1805,39)))</f>
        <v>0</v>
      </c>
    </row>
    <row r="1807" spans="1:41">
      <c r="A1807" t="s">
        <v>8</v>
      </c>
      <c r="B1807" t="s">
        <v>152</v>
      </c>
      <c r="C1807" t="s">
        <v>153</v>
      </c>
      <c r="E1807">
        <v>0.25</v>
      </c>
      <c r="I1807" t="s">
        <v>177</v>
      </c>
    </row>
    <row r="1808" spans="1:41">
      <c r="I1808" t="s">
        <v>178</v>
      </c>
      <c r="J1808">
        <f>IFERROR(VLOOKUP("906-337348-110",Out!B:AB,1+8,0),0)</f>
        <v>0</v>
      </c>
      <c r="K1808">
        <f>IFERROR(VLOOKUP("906-337348-110",Out!B:AB,2+8,0),0)</f>
        <v>0</v>
      </c>
      <c r="L1808">
        <f>IFERROR(VLOOKUP("906-337348-110",Out!B:AB,3+8,0),0)</f>
        <v>0</v>
      </c>
      <c r="M1808">
        <f>IFERROR(VLOOKUP("906-337348-110",Out!B:AB,4+8,0),0)</f>
        <v>0</v>
      </c>
      <c r="N1808">
        <f>IFERROR(VLOOKUP("906-337348-110",Out!B:AB,5+8,0),0)</f>
        <v>0</v>
      </c>
      <c r="O1808">
        <f>IFERROR(VLOOKUP("906-337348-110",Out!B:AB,6+8,0),0)</f>
        <v>0</v>
      </c>
      <c r="P1808">
        <f>IFERROR(VLOOKUP("906-337348-110",Out!B:AB,7+8,0),0)</f>
        <v>0</v>
      </c>
      <c r="Q1808">
        <f>IFERROR(VLOOKUP("906-337348-110",Out!B:AB,8+8,0),0)</f>
        <v>0</v>
      </c>
      <c r="R1808">
        <f>IFERROR(VLOOKUP("906-337348-110",Out!B:AB,9+8,0),0)</f>
        <v>0</v>
      </c>
      <c r="S1808">
        <f>IFERROR(VLOOKUP("906-337348-110",Out!B:AB,10+8,0),0)</f>
        <v>0</v>
      </c>
      <c r="T1808">
        <f>IFERROR(VLOOKUP("906-337348-110",Out!B:AB,11+8,0),0)</f>
        <v>0</v>
      </c>
      <c r="U1808">
        <f>IFERROR(VLOOKUP("906-337348-110",Out!B:AB,12+8,0),0)</f>
        <v>0</v>
      </c>
      <c r="V1808">
        <f>IFERROR(VLOOKUP("906-337348-110",Out!B:AB,13+8,0),0)</f>
        <v>0</v>
      </c>
      <c r="W1808">
        <f>IFERROR(VLOOKUP("906-337348-110",Out!B:AB,14+8,0),0)</f>
        <v>0</v>
      </c>
      <c r="X1808">
        <f>IFERROR(VLOOKUP("906-337348-110",Out!B:AB,15+8,0),0)</f>
        <v>0</v>
      </c>
      <c r="Y1808">
        <f>IFERROR(VLOOKUP("906-337348-110",Out!B:AB,16+8,0),0)</f>
        <v>0</v>
      </c>
      <c r="Z1808">
        <f>IFERROR(VLOOKUP("906-337348-110",Out!B:AB,17+8,0),0)</f>
        <v>0</v>
      </c>
      <c r="AA1808">
        <f>IFERROR(VLOOKUP("906-337348-110",Out!B:AB,18+8,0),0)</f>
        <v>0</v>
      </c>
      <c r="AB1808">
        <f>IFERROR(VLOOKUP("906-337348-110",Out!B:AB,19+8,0),0)</f>
        <v>0</v>
      </c>
      <c r="AC1808">
        <f>IFERROR(VLOOKUP("906-337348-110",Out!B:AB,20+8,0),0)</f>
        <v>0</v>
      </c>
      <c r="AD1808">
        <f>IFERROR(VLOOKUP("906-337348-110",Out!B:AB,21+8,0),0)</f>
        <v>0</v>
      </c>
      <c r="AE1808">
        <f>IFERROR(VLOOKUP("906-337348-110",Out!B:AB,22+8,0),0)</f>
        <v>0</v>
      </c>
      <c r="AF1808">
        <f>IFERROR(VLOOKUP("906-337348-110",Out!B:AB,23+8,0),0)</f>
        <v>0</v>
      </c>
      <c r="AG1808">
        <f>IFERROR(VLOOKUP("906-337348-110",Out!B:AB,24+8,0),0)</f>
        <v>0</v>
      </c>
      <c r="AH1808">
        <f>IFERROR(VLOOKUP("906-337348-110",Out!B:AB,25+8,0),0)</f>
        <v>0</v>
      </c>
      <c r="AI1808">
        <f>IFERROR(VLOOKUP("906-337348-110",Out!B:AB,26+8,0),0)</f>
        <v>0</v>
      </c>
      <c r="AJ1808">
        <f>IFERROR(VLOOKUP("906-337348-110",Out!B:AB,27+8,0),0)</f>
        <v>0</v>
      </c>
      <c r="AK1808">
        <f>IFERROR(VLOOKUP("906-337348-110",Out!B:AB,28+8,0),0)</f>
        <v>0</v>
      </c>
      <c r="AL1808">
        <f>IFERROR(VLOOKUP("906-337348-110",Out!B:AB,29+8,0),0)</f>
        <v>0</v>
      </c>
      <c r="AM1808">
        <f>IFERROR(VLOOKUP("906-337348-110",Out!B:AB,30+8,0),0)</f>
        <v>0</v>
      </c>
      <c r="AN1808">
        <f>IFERROR(VLOOKUP("906-337348-110",Out!B:AB,31+8,0),0)</f>
        <v>0</v>
      </c>
      <c r="AO1808">
        <f>SUN(INDIRECT(ADDRESS(1807,8)):INDIRECT(ADDRESS(1807,39)))</f>
        <v>0</v>
      </c>
    </row>
    <row r="1809" spans="1:41">
      <c r="H1809" t="s">
        <v>179</v>
      </c>
      <c r="J1809">
        <f>INDIRECT(ADDRESS(1809,9))+INDIRECT(ADDRESS(1807,10))-INDIRECT(ADDRESS(1808,10))</f>
        <v>0</v>
      </c>
      <c r="K1809">
        <f>INDIRECT(ADDRESS(1809,10))+INDIRECT(ADDRESS(1807,11))-INDIRECT(ADDRESS(1808,11))</f>
        <v>0</v>
      </c>
      <c r="L1809">
        <f>INDIRECT(ADDRESS(1809,11))+INDIRECT(ADDRESS(1807,12))-INDIRECT(ADDRESS(1808,12))</f>
        <v>0</v>
      </c>
      <c r="M1809">
        <f>INDIRECT(ADDRESS(1809,12))+INDIRECT(ADDRESS(1807,13))-INDIRECT(ADDRESS(1808,13))</f>
        <v>0</v>
      </c>
      <c r="N1809">
        <f>INDIRECT(ADDRESS(1809,13))+INDIRECT(ADDRESS(1807,14))-INDIRECT(ADDRESS(1808,14))</f>
        <v>0</v>
      </c>
      <c r="O1809">
        <f>INDIRECT(ADDRESS(1809,14))+INDIRECT(ADDRESS(1807,15))-INDIRECT(ADDRESS(1808,15))</f>
        <v>0</v>
      </c>
      <c r="P1809">
        <f>INDIRECT(ADDRESS(1809,15))+INDIRECT(ADDRESS(1807,16))-INDIRECT(ADDRESS(1808,16))</f>
        <v>0</v>
      </c>
      <c r="Q1809">
        <f>INDIRECT(ADDRESS(1809,16))+INDIRECT(ADDRESS(1807,17))-INDIRECT(ADDRESS(1808,17))</f>
        <v>0</v>
      </c>
      <c r="R1809">
        <f>INDIRECT(ADDRESS(1809,17))+INDIRECT(ADDRESS(1807,18))-INDIRECT(ADDRESS(1808,18))</f>
        <v>0</v>
      </c>
      <c r="S1809">
        <f>INDIRECT(ADDRESS(1809,18))+INDIRECT(ADDRESS(1807,19))-INDIRECT(ADDRESS(1808,19))</f>
        <v>0</v>
      </c>
      <c r="T1809">
        <f>INDIRECT(ADDRESS(1809,19))+INDIRECT(ADDRESS(1807,20))-INDIRECT(ADDRESS(1808,20))</f>
        <v>0</v>
      </c>
      <c r="U1809">
        <f>INDIRECT(ADDRESS(1809,20))+INDIRECT(ADDRESS(1807,21))-INDIRECT(ADDRESS(1808,21))</f>
        <v>0</v>
      </c>
      <c r="V1809">
        <f>INDIRECT(ADDRESS(1809,21))+INDIRECT(ADDRESS(1807,22))-INDIRECT(ADDRESS(1808,22))</f>
        <v>0</v>
      </c>
      <c r="W1809">
        <f>INDIRECT(ADDRESS(1809,22))+INDIRECT(ADDRESS(1807,23))-INDIRECT(ADDRESS(1808,23))</f>
        <v>0</v>
      </c>
      <c r="X1809">
        <f>INDIRECT(ADDRESS(1809,23))+INDIRECT(ADDRESS(1807,24))-INDIRECT(ADDRESS(1808,24))</f>
        <v>0</v>
      </c>
      <c r="Y1809">
        <f>INDIRECT(ADDRESS(1809,24))+INDIRECT(ADDRESS(1807,25))-INDIRECT(ADDRESS(1808,25))</f>
        <v>0</v>
      </c>
      <c r="Z1809">
        <f>INDIRECT(ADDRESS(1809,25))+INDIRECT(ADDRESS(1807,26))-INDIRECT(ADDRESS(1808,26))</f>
        <v>0</v>
      </c>
      <c r="AA1809">
        <f>INDIRECT(ADDRESS(1809,26))+INDIRECT(ADDRESS(1807,27))-INDIRECT(ADDRESS(1808,27))</f>
        <v>0</v>
      </c>
      <c r="AB1809">
        <f>INDIRECT(ADDRESS(1809,27))+INDIRECT(ADDRESS(1807,28))-INDIRECT(ADDRESS(1808,28))</f>
        <v>0</v>
      </c>
      <c r="AC1809">
        <f>INDIRECT(ADDRESS(1809,28))+INDIRECT(ADDRESS(1807,29))-INDIRECT(ADDRESS(1808,29))</f>
        <v>0</v>
      </c>
      <c r="AD1809">
        <f>INDIRECT(ADDRESS(1809,29))+INDIRECT(ADDRESS(1807,30))-INDIRECT(ADDRESS(1808,30))</f>
        <v>0</v>
      </c>
      <c r="AE1809">
        <f>INDIRECT(ADDRESS(1809,30))+INDIRECT(ADDRESS(1807,31))-INDIRECT(ADDRESS(1808,31))</f>
        <v>0</v>
      </c>
      <c r="AF1809">
        <f>INDIRECT(ADDRESS(1809,31))+INDIRECT(ADDRESS(1807,32))-INDIRECT(ADDRESS(1808,32))</f>
        <v>0</v>
      </c>
      <c r="AG1809">
        <f>INDIRECT(ADDRESS(1809,32))+INDIRECT(ADDRESS(1807,33))-INDIRECT(ADDRESS(1808,33))</f>
        <v>0</v>
      </c>
      <c r="AH1809">
        <f>INDIRECT(ADDRESS(1809,33))+INDIRECT(ADDRESS(1807,34))-INDIRECT(ADDRESS(1808,34))</f>
        <v>0</v>
      </c>
      <c r="AI1809">
        <f>INDIRECT(ADDRESS(1809,34))+INDIRECT(ADDRESS(1807,35))-INDIRECT(ADDRESS(1808,35))</f>
        <v>0</v>
      </c>
      <c r="AJ1809">
        <f>INDIRECT(ADDRESS(1809,35))+INDIRECT(ADDRESS(1807,36))-INDIRECT(ADDRESS(1808,36))</f>
        <v>0</v>
      </c>
      <c r="AK1809">
        <f>INDIRECT(ADDRESS(1809,36))+INDIRECT(ADDRESS(1807,37))-INDIRECT(ADDRESS(1808,37))</f>
        <v>0</v>
      </c>
      <c r="AL1809">
        <f>INDIRECT(ADDRESS(1809,37))+INDIRECT(ADDRESS(1807,38))-INDIRECT(ADDRESS(1808,38))</f>
        <v>0</v>
      </c>
      <c r="AM1809">
        <f>INDIRECT(ADDRESS(1809,38))+INDIRECT(ADDRESS(1807,39))-INDIRECT(ADDRESS(1808,39))</f>
        <v>0</v>
      </c>
      <c r="AN1809">
        <f>INDIRECT(ADDRESS(1809,39))+INDIRECT(ADDRESS(1807,40))-INDIRECT(ADDRESS(1808,40))</f>
        <v>0</v>
      </c>
      <c r="AO1809">
        <f>SUM(INDIRECT(ADDRESS(1808,8)):INDIRECT(ADDRESS(1808,39)))</f>
        <v>0</v>
      </c>
    </row>
    <row r="1810" spans="1:41">
      <c r="A1810" t="s">
        <v>180</v>
      </c>
      <c r="B1810" t="s">
        <v>152</v>
      </c>
      <c r="C1810" t="s">
        <v>839</v>
      </c>
      <c r="E1810">
        <v>1</v>
      </c>
      <c r="I1810" t="s">
        <v>177</v>
      </c>
    </row>
    <row r="1811" spans="1:41">
      <c r="I1811" t="s">
        <v>178</v>
      </c>
      <c r="J1811">
        <f>IFERROR(VLOOKUP("906-337348-110",B:AB,1+8,0),0)</f>
        <v>0</v>
      </c>
      <c r="K1811">
        <f>IFERROR(VLOOKUP("906-337348-110",B:AB,2+8,0),0)</f>
        <v>0</v>
      </c>
      <c r="L1811">
        <f>IFERROR(VLOOKUP("906-337348-110",B:AB,3+8,0),0)</f>
        <v>0</v>
      </c>
      <c r="M1811">
        <f>IFERROR(VLOOKUP("906-337348-110",B:AB,4+8,0),0)</f>
        <v>0</v>
      </c>
      <c r="N1811">
        <f>IFERROR(VLOOKUP("906-337348-110",B:AB,5+8,0),0)</f>
        <v>0</v>
      </c>
      <c r="O1811">
        <f>IFERROR(VLOOKUP("906-337348-110",B:AB,6+8,0),0)</f>
        <v>0</v>
      </c>
      <c r="P1811">
        <f>IFERROR(VLOOKUP("906-337348-110",B:AB,7+8,0),0)</f>
        <v>0</v>
      </c>
      <c r="Q1811">
        <f>IFERROR(VLOOKUP("906-337348-110",B:AB,8+8,0),0)</f>
        <v>0</v>
      </c>
      <c r="R1811">
        <f>IFERROR(VLOOKUP("906-337348-110",B:AB,9+8,0),0)</f>
        <v>0</v>
      </c>
      <c r="S1811">
        <f>IFERROR(VLOOKUP("906-337348-110",B:AB,10+8,0),0)</f>
        <v>0</v>
      </c>
      <c r="T1811">
        <f>IFERROR(VLOOKUP("906-337348-110",B:AB,11+8,0),0)</f>
        <v>0</v>
      </c>
      <c r="U1811">
        <f>IFERROR(VLOOKUP("906-337348-110",B:AB,12+8,0),0)</f>
        <v>0</v>
      </c>
      <c r="V1811">
        <f>IFERROR(VLOOKUP("906-337348-110",B:AB,13+8,0),0)</f>
        <v>0</v>
      </c>
      <c r="W1811">
        <f>IFERROR(VLOOKUP("906-337348-110",B:AB,14+8,0),0)</f>
        <v>0</v>
      </c>
      <c r="X1811">
        <f>IFERROR(VLOOKUP("906-337348-110",B:AB,15+8,0),0)</f>
        <v>0</v>
      </c>
      <c r="Y1811">
        <f>IFERROR(VLOOKUP("906-337348-110",B:AB,16+8,0),0)</f>
        <v>0</v>
      </c>
      <c r="Z1811">
        <f>IFERROR(VLOOKUP("906-337348-110",B:AB,17+8,0),0)</f>
        <v>0</v>
      </c>
      <c r="AA1811">
        <f>IFERROR(VLOOKUP("906-337348-110",B:AB,18+8,0),0)</f>
        <v>0</v>
      </c>
      <c r="AB1811">
        <f>IFERROR(VLOOKUP("906-337348-110",B:AB,19+8,0),0)</f>
        <v>0</v>
      </c>
      <c r="AC1811">
        <f>IFERROR(VLOOKUP("906-337348-110",B:AB,20+8,0),0)</f>
        <v>0</v>
      </c>
      <c r="AD1811">
        <f>IFERROR(VLOOKUP("906-337348-110",B:AB,21+8,0),0)</f>
        <v>0</v>
      </c>
      <c r="AE1811">
        <f>IFERROR(VLOOKUP("906-337348-110",B:AB,22+8,0),0)</f>
        <v>0</v>
      </c>
      <c r="AF1811">
        <f>IFERROR(VLOOKUP("906-337348-110",B:AB,23+8,0),0)</f>
        <v>0</v>
      </c>
      <c r="AG1811">
        <f>IFERROR(VLOOKUP("906-337348-110",B:AB,24+8,0),0)</f>
        <v>0</v>
      </c>
      <c r="AH1811">
        <f>IFERROR(VLOOKUP("906-337348-110",B:AB,25+8,0),0)</f>
        <v>0</v>
      </c>
      <c r="AI1811">
        <f>IFERROR(VLOOKUP("906-337348-110",B:AB,26+8,0),0)</f>
        <v>0</v>
      </c>
      <c r="AJ1811">
        <f>IFERROR(VLOOKUP("906-337348-110",B:AB,27+8,0),0)</f>
        <v>0</v>
      </c>
      <c r="AK1811">
        <f>IFERROR(VLOOKUP("906-337348-110",B:AB,28+8,0),0)</f>
        <v>0</v>
      </c>
      <c r="AL1811">
        <f>IFERROR(VLOOKUP("906-337348-110",B:AB,29+8,0),0)</f>
        <v>0</v>
      </c>
      <c r="AM1811">
        <f>IFERROR(VLOOKUP("906-337348-110",B:AB,30+8,0),0)</f>
        <v>0</v>
      </c>
      <c r="AN1811">
        <f>IFERROR(VLOOKUP("906-337348-110",B:AB,31+8,0),0)</f>
        <v>0</v>
      </c>
      <c r="AO1811">
        <f>SUN(INDIRECT(ADDRESS(1810,8)):INDIRECT(ADDRESS(1810,39)))</f>
        <v>0</v>
      </c>
    </row>
    <row r="1812" spans="1:41">
      <c r="H1812" t="s">
        <v>179</v>
      </c>
      <c r="J1812">
        <f>INDIRECT(ADDRESS(1812,9))+INDIRECT(ADDRESS(1810,10))-INDIRECT(ADDRESS(1811,10))</f>
        <v>0</v>
      </c>
      <c r="K1812">
        <f>INDIRECT(ADDRESS(1812,10))+INDIRECT(ADDRESS(1810,11))-INDIRECT(ADDRESS(1811,11))</f>
        <v>0</v>
      </c>
      <c r="L1812">
        <f>INDIRECT(ADDRESS(1812,11))+INDIRECT(ADDRESS(1810,12))-INDIRECT(ADDRESS(1811,12))</f>
        <v>0</v>
      </c>
      <c r="M1812">
        <f>INDIRECT(ADDRESS(1812,12))+INDIRECT(ADDRESS(1810,13))-INDIRECT(ADDRESS(1811,13))</f>
        <v>0</v>
      </c>
      <c r="N1812">
        <f>INDIRECT(ADDRESS(1812,13))+INDIRECT(ADDRESS(1810,14))-INDIRECT(ADDRESS(1811,14))</f>
        <v>0</v>
      </c>
      <c r="O1812">
        <f>INDIRECT(ADDRESS(1812,14))+INDIRECT(ADDRESS(1810,15))-INDIRECT(ADDRESS(1811,15))</f>
        <v>0</v>
      </c>
      <c r="P1812">
        <f>INDIRECT(ADDRESS(1812,15))+INDIRECT(ADDRESS(1810,16))-INDIRECT(ADDRESS(1811,16))</f>
        <v>0</v>
      </c>
      <c r="Q1812">
        <f>INDIRECT(ADDRESS(1812,16))+INDIRECT(ADDRESS(1810,17))-INDIRECT(ADDRESS(1811,17))</f>
        <v>0</v>
      </c>
      <c r="R1812">
        <f>INDIRECT(ADDRESS(1812,17))+INDIRECT(ADDRESS(1810,18))-INDIRECT(ADDRESS(1811,18))</f>
        <v>0</v>
      </c>
      <c r="S1812">
        <f>INDIRECT(ADDRESS(1812,18))+INDIRECT(ADDRESS(1810,19))-INDIRECT(ADDRESS(1811,19))</f>
        <v>0</v>
      </c>
      <c r="T1812">
        <f>INDIRECT(ADDRESS(1812,19))+INDIRECT(ADDRESS(1810,20))-INDIRECT(ADDRESS(1811,20))</f>
        <v>0</v>
      </c>
      <c r="U1812">
        <f>INDIRECT(ADDRESS(1812,20))+INDIRECT(ADDRESS(1810,21))-INDIRECT(ADDRESS(1811,21))</f>
        <v>0</v>
      </c>
      <c r="V1812">
        <f>INDIRECT(ADDRESS(1812,21))+INDIRECT(ADDRESS(1810,22))-INDIRECT(ADDRESS(1811,22))</f>
        <v>0</v>
      </c>
      <c r="W1812">
        <f>INDIRECT(ADDRESS(1812,22))+INDIRECT(ADDRESS(1810,23))-INDIRECT(ADDRESS(1811,23))</f>
        <v>0</v>
      </c>
      <c r="X1812">
        <f>INDIRECT(ADDRESS(1812,23))+INDIRECT(ADDRESS(1810,24))-INDIRECT(ADDRESS(1811,24))</f>
        <v>0</v>
      </c>
      <c r="Y1812">
        <f>INDIRECT(ADDRESS(1812,24))+INDIRECT(ADDRESS(1810,25))-INDIRECT(ADDRESS(1811,25))</f>
        <v>0</v>
      </c>
      <c r="Z1812">
        <f>INDIRECT(ADDRESS(1812,25))+INDIRECT(ADDRESS(1810,26))-INDIRECT(ADDRESS(1811,26))</f>
        <v>0</v>
      </c>
      <c r="AA1812">
        <f>INDIRECT(ADDRESS(1812,26))+INDIRECT(ADDRESS(1810,27))-INDIRECT(ADDRESS(1811,27))</f>
        <v>0</v>
      </c>
      <c r="AB1812">
        <f>INDIRECT(ADDRESS(1812,27))+INDIRECT(ADDRESS(1810,28))-INDIRECT(ADDRESS(1811,28))</f>
        <v>0</v>
      </c>
      <c r="AC1812">
        <f>INDIRECT(ADDRESS(1812,28))+INDIRECT(ADDRESS(1810,29))-INDIRECT(ADDRESS(1811,29))</f>
        <v>0</v>
      </c>
      <c r="AD1812">
        <f>INDIRECT(ADDRESS(1812,29))+INDIRECT(ADDRESS(1810,30))-INDIRECT(ADDRESS(1811,30))</f>
        <v>0</v>
      </c>
      <c r="AE1812">
        <f>INDIRECT(ADDRESS(1812,30))+INDIRECT(ADDRESS(1810,31))-INDIRECT(ADDRESS(1811,31))</f>
        <v>0</v>
      </c>
      <c r="AF1812">
        <f>INDIRECT(ADDRESS(1812,31))+INDIRECT(ADDRESS(1810,32))-INDIRECT(ADDRESS(1811,32))</f>
        <v>0</v>
      </c>
      <c r="AG1812">
        <f>INDIRECT(ADDRESS(1812,32))+INDIRECT(ADDRESS(1810,33))-INDIRECT(ADDRESS(1811,33))</f>
        <v>0</v>
      </c>
      <c r="AH1812">
        <f>INDIRECT(ADDRESS(1812,33))+INDIRECT(ADDRESS(1810,34))-INDIRECT(ADDRESS(1811,34))</f>
        <v>0</v>
      </c>
      <c r="AI1812">
        <f>INDIRECT(ADDRESS(1812,34))+INDIRECT(ADDRESS(1810,35))-INDIRECT(ADDRESS(1811,35))</f>
        <v>0</v>
      </c>
      <c r="AJ1812">
        <f>INDIRECT(ADDRESS(1812,35))+INDIRECT(ADDRESS(1810,36))-INDIRECT(ADDRESS(1811,36))</f>
        <v>0</v>
      </c>
      <c r="AK1812">
        <f>INDIRECT(ADDRESS(1812,36))+INDIRECT(ADDRESS(1810,37))-INDIRECT(ADDRESS(1811,37))</f>
        <v>0</v>
      </c>
      <c r="AL1812">
        <f>INDIRECT(ADDRESS(1812,37))+INDIRECT(ADDRESS(1810,38))-INDIRECT(ADDRESS(1811,38))</f>
        <v>0</v>
      </c>
      <c r="AM1812">
        <f>INDIRECT(ADDRESS(1812,38))+INDIRECT(ADDRESS(1810,39))-INDIRECT(ADDRESS(1811,39))</f>
        <v>0</v>
      </c>
      <c r="AN1812">
        <f>INDIRECT(ADDRESS(1812,39))+INDIRECT(ADDRESS(1810,40))-INDIRECT(ADDRESS(1811,40))</f>
        <v>0</v>
      </c>
      <c r="AO1812">
        <f>SUM(INDIRECT(ADDRESS(1811,8)):INDIRECT(ADDRESS(1811,39)))</f>
        <v>0</v>
      </c>
    </row>
    <row r="1813" spans="1:41">
      <c r="A1813" t="s">
        <v>180</v>
      </c>
      <c r="B1813" t="s">
        <v>840</v>
      </c>
      <c r="C1813" t="s">
        <v>841</v>
      </c>
      <c r="E1813">
        <v>1</v>
      </c>
      <c r="I1813" t="s">
        <v>177</v>
      </c>
    </row>
    <row r="1814" spans="1:41">
      <c r="I1814" t="s">
        <v>178</v>
      </c>
      <c r="J1814">
        <f>IFERROR(VLOOKUP("906-337348-110",B:AB,1+8,0),0)</f>
        <v>0</v>
      </c>
      <c r="K1814">
        <f>IFERROR(VLOOKUP("906-337348-110",B:AB,2+8,0),0)</f>
        <v>0</v>
      </c>
      <c r="L1814">
        <f>IFERROR(VLOOKUP("906-337348-110",B:AB,3+8,0),0)</f>
        <v>0</v>
      </c>
      <c r="M1814">
        <f>IFERROR(VLOOKUP("906-337348-110",B:AB,4+8,0),0)</f>
        <v>0</v>
      </c>
      <c r="N1814">
        <f>IFERROR(VLOOKUP("906-337348-110",B:AB,5+8,0),0)</f>
        <v>0</v>
      </c>
      <c r="O1814">
        <f>IFERROR(VLOOKUP("906-337348-110",B:AB,6+8,0),0)</f>
        <v>0</v>
      </c>
      <c r="P1814">
        <f>IFERROR(VLOOKUP("906-337348-110",B:AB,7+8,0),0)</f>
        <v>0</v>
      </c>
      <c r="Q1814">
        <f>IFERROR(VLOOKUP("906-337348-110",B:AB,8+8,0),0)</f>
        <v>0</v>
      </c>
      <c r="R1814">
        <f>IFERROR(VLOOKUP("906-337348-110",B:AB,9+8,0),0)</f>
        <v>0</v>
      </c>
      <c r="S1814">
        <f>IFERROR(VLOOKUP("906-337348-110",B:AB,10+8,0),0)</f>
        <v>0</v>
      </c>
      <c r="T1814">
        <f>IFERROR(VLOOKUP("906-337348-110",B:AB,11+8,0),0)</f>
        <v>0</v>
      </c>
      <c r="U1814">
        <f>IFERROR(VLOOKUP("906-337348-110",B:AB,12+8,0),0)</f>
        <v>0</v>
      </c>
      <c r="V1814">
        <f>IFERROR(VLOOKUP("906-337348-110",B:AB,13+8,0),0)</f>
        <v>0</v>
      </c>
      <c r="W1814">
        <f>IFERROR(VLOOKUP("906-337348-110",B:AB,14+8,0),0)</f>
        <v>0</v>
      </c>
      <c r="X1814">
        <f>IFERROR(VLOOKUP("906-337348-110",B:AB,15+8,0),0)</f>
        <v>0</v>
      </c>
      <c r="Y1814">
        <f>IFERROR(VLOOKUP("906-337348-110",B:AB,16+8,0),0)</f>
        <v>0</v>
      </c>
      <c r="Z1814">
        <f>IFERROR(VLOOKUP("906-337348-110",B:AB,17+8,0),0)</f>
        <v>0</v>
      </c>
      <c r="AA1814">
        <f>IFERROR(VLOOKUP("906-337348-110",B:AB,18+8,0),0)</f>
        <v>0</v>
      </c>
      <c r="AB1814">
        <f>IFERROR(VLOOKUP("906-337348-110",B:AB,19+8,0),0)</f>
        <v>0</v>
      </c>
      <c r="AC1814">
        <f>IFERROR(VLOOKUP("906-337348-110",B:AB,20+8,0),0)</f>
        <v>0</v>
      </c>
      <c r="AD1814">
        <f>IFERROR(VLOOKUP("906-337348-110",B:AB,21+8,0),0)</f>
        <v>0</v>
      </c>
      <c r="AE1814">
        <f>IFERROR(VLOOKUP("906-337348-110",B:AB,22+8,0),0)</f>
        <v>0</v>
      </c>
      <c r="AF1814">
        <f>IFERROR(VLOOKUP("906-337348-110",B:AB,23+8,0),0)</f>
        <v>0</v>
      </c>
      <c r="AG1814">
        <f>IFERROR(VLOOKUP("906-337348-110",B:AB,24+8,0),0)</f>
        <v>0</v>
      </c>
      <c r="AH1814">
        <f>IFERROR(VLOOKUP("906-337348-110",B:AB,25+8,0),0)</f>
        <v>0</v>
      </c>
      <c r="AI1814">
        <f>IFERROR(VLOOKUP("906-337348-110",B:AB,26+8,0),0)</f>
        <v>0</v>
      </c>
      <c r="AJ1814">
        <f>IFERROR(VLOOKUP("906-337348-110",B:AB,27+8,0),0)</f>
        <v>0</v>
      </c>
      <c r="AK1814">
        <f>IFERROR(VLOOKUP("906-337348-110",B:AB,28+8,0),0)</f>
        <v>0</v>
      </c>
      <c r="AL1814">
        <f>IFERROR(VLOOKUP("906-337348-110",B:AB,29+8,0),0)</f>
        <v>0</v>
      </c>
      <c r="AM1814">
        <f>IFERROR(VLOOKUP("906-337348-110",B:AB,30+8,0),0)</f>
        <v>0</v>
      </c>
      <c r="AN1814">
        <f>IFERROR(VLOOKUP("906-337348-110",B:AB,31+8,0),0)</f>
        <v>0</v>
      </c>
      <c r="AO1814">
        <f>SUN(INDIRECT(ADDRESS(1813,8)):INDIRECT(ADDRESS(1813,39)))</f>
        <v>0</v>
      </c>
    </row>
    <row r="1815" spans="1:41">
      <c r="H1815" t="s">
        <v>179</v>
      </c>
      <c r="J1815">
        <f>INDIRECT(ADDRESS(1815,9))+INDIRECT(ADDRESS(1813,10))-INDIRECT(ADDRESS(1814,10))</f>
        <v>0</v>
      </c>
      <c r="K1815">
        <f>INDIRECT(ADDRESS(1815,10))+INDIRECT(ADDRESS(1813,11))-INDIRECT(ADDRESS(1814,11))</f>
        <v>0</v>
      </c>
      <c r="L1815">
        <f>INDIRECT(ADDRESS(1815,11))+INDIRECT(ADDRESS(1813,12))-INDIRECT(ADDRESS(1814,12))</f>
        <v>0</v>
      </c>
      <c r="M1815">
        <f>INDIRECT(ADDRESS(1815,12))+INDIRECT(ADDRESS(1813,13))-INDIRECT(ADDRESS(1814,13))</f>
        <v>0</v>
      </c>
      <c r="N1815">
        <f>INDIRECT(ADDRESS(1815,13))+INDIRECT(ADDRESS(1813,14))-INDIRECT(ADDRESS(1814,14))</f>
        <v>0</v>
      </c>
      <c r="O1815">
        <f>INDIRECT(ADDRESS(1815,14))+INDIRECT(ADDRESS(1813,15))-INDIRECT(ADDRESS(1814,15))</f>
        <v>0</v>
      </c>
      <c r="P1815">
        <f>INDIRECT(ADDRESS(1815,15))+INDIRECT(ADDRESS(1813,16))-INDIRECT(ADDRESS(1814,16))</f>
        <v>0</v>
      </c>
      <c r="Q1815">
        <f>INDIRECT(ADDRESS(1815,16))+INDIRECT(ADDRESS(1813,17))-INDIRECT(ADDRESS(1814,17))</f>
        <v>0</v>
      </c>
      <c r="R1815">
        <f>INDIRECT(ADDRESS(1815,17))+INDIRECT(ADDRESS(1813,18))-INDIRECT(ADDRESS(1814,18))</f>
        <v>0</v>
      </c>
      <c r="S1815">
        <f>INDIRECT(ADDRESS(1815,18))+INDIRECT(ADDRESS(1813,19))-INDIRECT(ADDRESS(1814,19))</f>
        <v>0</v>
      </c>
      <c r="T1815">
        <f>INDIRECT(ADDRESS(1815,19))+INDIRECT(ADDRESS(1813,20))-INDIRECT(ADDRESS(1814,20))</f>
        <v>0</v>
      </c>
      <c r="U1815">
        <f>INDIRECT(ADDRESS(1815,20))+INDIRECT(ADDRESS(1813,21))-INDIRECT(ADDRESS(1814,21))</f>
        <v>0</v>
      </c>
      <c r="V1815">
        <f>INDIRECT(ADDRESS(1815,21))+INDIRECT(ADDRESS(1813,22))-INDIRECT(ADDRESS(1814,22))</f>
        <v>0</v>
      </c>
      <c r="W1815">
        <f>INDIRECT(ADDRESS(1815,22))+INDIRECT(ADDRESS(1813,23))-INDIRECT(ADDRESS(1814,23))</f>
        <v>0</v>
      </c>
      <c r="X1815">
        <f>INDIRECT(ADDRESS(1815,23))+INDIRECT(ADDRESS(1813,24))-INDIRECT(ADDRESS(1814,24))</f>
        <v>0</v>
      </c>
      <c r="Y1815">
        <f>INDIRECT(ADDRESS(1815,24))+INDIRECT(ADDRESS(1813,25))-INDIRECT(ADDRESS(1814,25))</f>
        <v>0</v>
      </c>
      <c r="Z1815">
        <f>INDIRECT(ADDRESS(1815,25))+INDIRECT(ADDRESS(1813,26))-INDIRECT(ADDRESS(1814,26))</f>
        <v>0</v>
      </c>
      <c r="AA1815">
        <f>INDIRECT(ADDRESS(1815,26))+INDIRECT(ADDRESS(1813,27))-INDIRECT(ADDRESS(1814,27))</f>
        <v>0</v>
      </c>
      <c r="AB1815">
        <f>INDIRECT(ADDRESS(1815,27))+INDIRECT(ADDRESS(1813,28))-INDIRECT(ADDRESS(1814,28))</f>
        <v>0</v>
      </c>
      <c r="AC1815">
        <f>INDIRECT(ADDRESS(1815,28))+INDIRECT(ADDRESS(1813,29))-INDIRECT(ADDRESS(1814,29))</f>
        <v>0</v>
      </c>
      <c r="AD1815">
        <f>INDIRECT(ADDRESS(1815,29))+INDIRECT(ADDRESS(1813,30))-INDIRECT(ADDRESS(1814,30))</f>
        <v>0</v>
      </c>
      <c r="AE1815">
        <f>INDIRECT(ADDRESS(1815,30))+INDIRECT(ADDRESS(1813,31))-INDIRECT(ADDRESS(1814,31))</f>
        <v>0</v>
      </c>
      <c r="AF1815">
        <f>INDIRECT(ADDRESS(1815,31))+INDIRECT(ADDRESS(1813,32))-INDIRECT(ADDRESS(1814,32))</f>
        <v>0</v>
      </c>
      <c r="AG1815">
        <f>INDIRECT(ADDRESS(1815,32))+INDIRECT(ADDRESS(1813,33))-INDIRECT(ADDRESS(1814,33))</f>
        <v>0</v>
      </c>
      <c r="AH1815">
        <f>INDIRECT(ADDRESS(1815,33))+INDIRECT(ADDRESS(1813,34))-INDIRECT(ADDRESS(1814,34))</f>
        <v>0</v>
      </c>
      <c r="AI1815">
        <f>INDIRECT(ADDRESS(1815,34))+INDIRECT(ADDRESS(1813,35))-INDIRECT(ADDRESS(1814,35))</f>
        <v>0</v>
      </c>
      <c r="AJ1815">
        <f>INDIRECT(ADDRESS(1815,35))+INDIRECT(ADDRESS(1813,36))-INDIRECT(ADDRESS(1814,36))</f>
        <v>0</v>
      </c>
      <c r="AK1815">
        <f>INDIRECT(ADDRESS(1815,36))+INDIRECT(ADDRESS(1813,37))-INDIRECT(ADDRESS(1814,37))</f>
        <v>0</v>
      </c>
      <c r="AL1815">
        <f>INDIRECT(ADDRESS(1815,37))+INDIRECT(ADDRESS(1813,38))-INDIRECT(ADDRESS(1814,38))</f>
        <v>0</v>
      </c>
      <c r="AM1815">
        <f>INDIRECT(ADDRESS(1815,38))+INDIRECT(ADDRESS(1813,39))-INDIRECT(ADDRESS(1814,39))</f>
        <v>0</v>
      </c>
      <c r="AN1815">
        <f>INDIRECT(ADDRESS(1815,39))+INDIRECT(ADDRESS(1813,40))-INDIRECT(ADDRESS(1814,40))</f>
        <v>0</v>
      </c>
      <c r="AO1815">
        <f>SUM(INDIRECT(ADDRESS(1814,8)):INDIRECT(ADDRESS(1814,39)))</f>
        <v>0</v>
      </c>
    </row>
    <row r="1816" spans="1:41">
      <c r="A1816" t="s">
        <v>185</v>
      </c>
      <c r="B1816" t="s">
        <v>842</v>
      </c>
      <c r="C1816" t="s">
        <v>843</v>
      </c>
      <c r="E1816">
        <v>1</v>
      </c>
      <c r="I1816" t="s">
        <v>177</v>
      </c>
    </row>
    <row r="1817" spans="1:41">
      <c r="I1817" t="s">
        <v>178</v>
      </c>
      <c r="J1817">
        <f>IFERROR(VLOOKUP("906-337348-110",B:AB,1+8,0),0)</f>
        <v>0</v>
      </c>
      <c r="K1817">
        <f>IFERROR(VLOOKUP("906-337348-110",B:AB,2+8,0),0)</f>
        <v>0</v>
      </c>
      <c r="L1817">
        <f>IFERROR(VLOOKUP("906-337348-110",B:AB,3+8,0),0)</f>
        <v>0</v>
      </c>
      <c r="M1817">
        <f>IFERROR(VLOOKUP("906-337348-110",B:AB,4+8,0),0)</f>
        <v>0</v>
      </c>
      <c r="N1817">
        <f>IFERROR(VLOOKUP("906-337348-110",B:AB,5+8,0),0)</f>
        <v>0</v>
      </c>
      <c r="O1817">
        <f>IFERROR(VLOOKUP("906-337348-110",B:AB,6+8,0),0)</f>
        <v>0</v>
      </c>
      <c r="P1817">
        <f>IFERROR(VLOOKUP("906-337348-110",B:AB,7+8,0),0)</f>
        <v>0</v>
      </c>
      <c r="Q1817">
        <f>IFERROR(VLOOKUP("906-337348-110",B:AB,8+8,0),0)</f>
        <v>0</v>
      </c>
      <c r="R1817">
        <f>IFERROR(VLOOKUP("906-337348-110",B:AB,9+8,0),0)</f>
        <v>0</v>
      </c>
      <c r="S1817">
        <f>IFERROR(VLOOKUP("906-337348-110",B:AB,10+8,0),0)</f>
        <v>0</v>
      </c>
      <c r="T1817">
        <f>IFERROR(VLOOKUP("906-337348-110",B:AB,11+8,0),0)</f>
        <v>0</v>
      </c>
      <c r="U1817">
        <f>IFERROR(VLOOKUP("906-337348-110",B:AB,12+8,0),0)</f>
        <v>0</v>
      </c>
      <c r="V1817">
        <f>IFERROR(VLOOKUP("906-337348-110",B:AB,13+8,0),0)</f>
        <v>0</v>
      </c>
      <c r="W1817">
        <f>IFERROR(VLOOKUP("906-337348-110",B:AB,14+8,0),0)</f>
        <v>0</v>
      </c>
      <c r="X1817">
        <f>IFERROR(VLOOKUP("906-337348-110",B:AB,15+8,0),0)</f>
        <v>0</v>
      </c>
      <c r="Y1817">
        <f>IFERROR(VLOOKUP("906-337348-110",B:AB,16+8,0),0)</f>
        <v>0</v>
      </c>
      <c r="Z1817">
        <f>IFERROR(VLOOKUP("906-337348-110",B:AB,17+8,0),0)</f>
        <v>0</v>
      </c>
      <c r="AA1817">
        <f>IFERROR(VLOOKUP("906-337348-110",B:AB,18+8,0),0)</f>
        <v>0</v>
      </c>
      <c r="AB1817">
        <f>IFERROR(VLOOKUP("906-337348-110",B:AB,19+8,0),0)</f>
        <v>0</v>
      </c>
      <c r="AC1817">
        <f>IFERROR(VLOOKUP("906-337348-110",B:AB,20+8,0),0)</f>
        <v>0</v>
      </c>
      <c r="AD1817">
        <f>IFERROR(VLOOKUP("906-337348-110",B:AB,21+8,0),0)</f>
        <v>0</v>
      </c>
      <c r="AE1817">
        <f>IFERROR(VLOOKUP("906-337348-110",B:AB,22+8,0),0)</f>
        <v>0</v>
      </c>
      <c r="AF1817">
        <f>IFERROR(VLOOKUP("906-337348-110",B:AB,23+8,0),0)</f>
        <v>0</v>
      </c>
      <c r="AG1817">
        <f>IFERROR(VLOOKUP("906-337348-110",B:AB,24+8,0),0)</f>
        <v>0</v>
      </c>
      <c r="AH1817">
        <f>IFERROR(VLOOKUP("906-337348-110",B:AB,25+8,0),0)</f>
        <v>0</v>
      </c>
      <c r="AI1817">
        <f>IFERROR(VLOOKUP("906-337348-110",B:AB,26+8,0),0)</f>
        <v>0</v>
      </c>
      <c r="AJ1817">
        <f>IFERROR(VLOOKUP("906-337348-110",B:AB,27+8,0),0)</f>
        <v>0</v>
      </c>
      <c r="AK1817">
        <f>IFERROR(VLOOKUP("906-337348-110",B:AB,28+8,0),0)</f>
        <v>0</v>
      </c>
      <c r="AL1817">
        <f>IFERROR(VLOOKUP("906-337348-110",B:AB,29+8,0),0)</f>
        <v>0</v>
      </c>
      <c r="AM1817">
        <f>IFERROR(VLOOKUP("906-337348-110",B:AB,30+8,0),0)</f>
        <v>0</v>
      </c>
      <c r="AN1817">
        <f>IFERROR(VLOOKUP("906-337348-110",B:AB,31+8,0),0)</f>
        <v>0</v>
      </c>
      <c r="AO1817">
        <f>SUN(INDIRECT(ADDRESS(1816,8)):INDIRECT(ADDRESS(1816,39)))</f>
        <v>0</v>
      </c>
    </row>
    <row r="1818" spans="1:41">
      <c r="H1818" t="s">
        <v>179</v>
      </c>
      <c r="J1818">
        <f>INDIRECT(ADDRESS(1818,9))+INDIRECT(ADDRESS(1816,10))-INDIRECT(ADDRESS(1817,10))</f>
        <v>0</v>
      </c>
      <c r="K1818">
        <f>INDIRECT(ADDRESS(1818,10))+INDIRECT(ADDRESS(1816,11))-INDIRECT(ADDRESS(1817,11))</f>
        <v>0</v>
      </c>
      <c r="L1818">
        <f>INDIRECT(ADDRESS(1818,11))+INDIRECT(ADDRESS(1816,12))-INDIRECT(ADDRESS(1817,12))</f>
        <v>0</v>
      </c>
      <c r="M1818">
        <f>INDIRECT(ADDRESS(1818,12))+INDIRECT(ADDRESS(1816,13))-INDIRECT(ADDRESS(1817,13))</f>
        <v>0</v>
      </c>
      <c r="N1818">
        <f>INDIRECT(ADDRESS(1818,13))+INDIRECT(ADDRESS(1816,14))-INDIRECT(ADDRESS(1817,14))</f>
        <v>0</v>
      </c>
      <c r="O1818">
        <f>INDIRECT(ADDRESS(1818,14))+INDIRECT(ADDRESS(1816,15))-INDIRECT(ADDRESS(1817,15))</f>
        <v>0</v>
      </c>
      <c r="P1818">
        <f>INDIRECT(ADDRESS(1818,15))+INDIRECT(ADDRESS(1816,16))-INDIRECT(ADDRESS(1817,16))</f>
        <v>0</v>
      </c>
      <c r="Q1818">
        <f>INDIRECT(ADDRESS(1818,16))+INDIRECT(ADDRESS(1816,17))-INDIRECT(ADDRESS(1817,17))</f>
        <v>0</v>
      </c>
      <c r="R1818">
        <f>INDIRECT(ADDRESS(1818,17))+INDIRECT(ADDRESS(1816,18))-INDIRECT(ADDRESS(1817,18))</f>
        <v>0</v>
      </c>
      <c r="S1818">
        <f>INDIRECT(ADDRESS(1818,18))+INDIRECT(ADDRESS(1816,19))-INDIRECT(ADDRESS(1817,19))</f>
        <v>0</v>
      </c>
      <c r="T1818">
        <f>INDIRECT(ADDRESS(1818,19))+INDIRECT(ADDRESS(1816,20))-INDIRECT(ADDRESS(1817,20))</f>
        <v>0</v>
      </c>
      <c r="U1818">
        <f>INDIRECT(ADDRESS(1818,20))+INDIRECT(ADDRESS(1816,21))-INDIRECT(ADDRESS(1817,21))</f>
        <v>0</v>
      </c>
      <c r="V1818">
        <f>INDIRECT(ADDRESS(1818,21))+INDIRECT(ADDRESS(1816,22))-INDIRECT(ADDRESS(1817,22))</f>
        <v>0</v>
      </c>
      <c r="W1818">
        <f>INDIRECT(ADDRESS(1818,22))+INDIRECT(ADDRESS(1816,23))-INDIRECT(ADDRESS(1817,23))</f>
        <v>0</v>
      </c>
      <c r="X1818">
        <f>INDIRECT(ADDRESS(1818,23))+INDIRECT(ADDRESS(1816,24))-INDIRECT(ADDRESS(1817,24))</f>
        <v>0</v>
      </c>
      <c r="Y1818">
        <f>INDIRECT(ADDRESS(1818,24))+INDIRECT(ADDRESS(1816,25))-INDIRECT(ADDRESS(1817,25))</f>
        <v>0</v>
      </c>
      <c r="Z1818">
        <f>INDIRECT(ADDRESS(1818,25))+INDIRECT(ADDRESS(1816,26))-INDIRECT(ADDRESS(1817,26))</f>
        <v>0</v>
      </c>
      <c r="AA1818">
        <f>INDIRECT(ADDRESS(1818,26))+INDIRECT(ADDRESS(1816,27))-INDIRECT(ADDRESS(1817,27))</f>
        <v>0</v>
      </c>
      <c r="AB1818">
        <f>INDIRECT(ADDRESS(1818,27))+INDIRECT(ADDRESS(1816,28))-INDIRECT(ADDRESS(1817,28))</f>
        <v>0</v>
      </c>
      <c r="AC1818">
        <f>INDIRECT(ADDRESS(1818,28))+INDIRECT(ADDRESS(1816,29))-INDIRECT(ADDRESS(1817,29))</f>
        <v>0</v>
      </c>
      <c r="AD1818">
        <f>INDIRECT(ADDRESS(1818,29))+INDIRECT(ADDRESS(1816,30))-INDIRECT(ADDRESS(1817,30))</f>
        <v>0</v>
      </c>
      <c r="AE1818">
        <f>INDIRECT(ADDRESS(1818,30))+INDIRECT(ADDRESS(1816,31))-INDIRECT(ADDRESS(1817,31))</f>
        <v>0</v>
      </c>
      <c r="AF1818">
        <f>INDIRECT(ADDRESS(1818,31))+INDIRECT(ADDRESS(1816,32))-INDIRECT(ADDRESS(1817,32))</f>
        <v>0</v>
      </c>
      <c r="AG1818">
        <f>INDIRECT(ADDRESS(1818,32))+INDIRECT(ADDRESS(1816,33))-INDIRECT(ADDRESS(1817,33))</f>
        <v>0</v>
      </c>
      <c r="AH1818">
        <f>INDIRECT(ADDRESS(1818,33))+INDIRECT(ADDRESS(1816,34))-INDIRECT(ADDRESS(1817,34))</f>
        <v>0</v>
      </c>
      <c r="AI1818">
        <f>INDIRECT(ADDRESS(1818,34))+INDIRECT(ADDRESS(1816,35))-INDIRECT(ADDRESS(1817,35))</f>
        <v>0</v>
      </c>
      <c r="AJ1818">
        <f>INDIRECT(ADDRESS(1818,35))+INDIRECT(ADDRESS(1816,36))-INDIRECT(ADDRESS(1817,36))</f>
        <v>0</v>
      </c>
      <c r="AK1818">
        <f>INDIRECT(ADDRESS(1818,36))+INDIRECT(ADDRESS(1816,37))-INDIRECT(ADDRESS(1817,37))</f>
        <v>0</v>
      </c>
      <c r="AL1818">
        <f>INDIRECT(ADDRESS(1818,37))+INDIRECT(ADDRESS(1816,38))-INDIRECT(ADDRESS(1817,38))</f>
        <v>0</v>
      </c>
      <c r="AM1818">
        <f>INDIRECT(ADDRESS(1818,38))+INDIRECT(ADDRESS(1816,39))-INDIRECT(ADDRESS(1817,39))</f>
        <v>0</v>
      </c>
      <c r="AN1818">
        <f>INDIRECT(ADDRESS(1818,39))+INDIRECT(ADDRESS(1816,40))-INDIRECT(ADDRESS(1817,40))</f>
        <v>0</v>
      </c>
      <c r="AO1818">
        <f>SUM(INDIRECT(ADDRESS(1817,8)):INDIRECT(ADDRESS(1817,39)))</f>
        <v>0</v>
      </c>
    </row>
    <row r="1819" spans="1:41">
      <c r="A1819" t="s">
        <v>185</v>
      </c>
      <c r="B1819" t="s">
        <v>160</v>
      </c>
      <c r="C1819" t="s">
        <v>844</v>
      </c>
      <c r="E1819">
        <v>0.003</v>
      </c>
      <c r="I1819" t="s">
        <v>177</v>
      </c>
    </row>
    <row r="1820" spans="1:41">
      <c r="I1820" t="s">
        <v>178</v>
      </c>
      <c r="J1820">
        <f>IFERROR(VLOOKUP("906-337348-110",B:AB,1+8,0),0)</f>
        <v>0</v>
      </c>
      <c r="K1820">
        <f>IFERROR(VLOOKUP("906-337348-110",B:AB,2+8,0),0)</f>
        <v>0</v>
      </c>
      <c r="L1820">
        <f>IFERROR(VLOOKUP("906-337348-110",B:AB,3+8,0),0)</f>
        <v>0</v>
      </c>
      <c r="M1820">
        <f>IFERROR(VLOOKUP("906-337348-110",B:AB,4+8,0),0)</f>
        <v>0</v>
      </c>
      <c r="N1820">
        <f>IFERROR(VLOOKUP("906-337348-110",B:AB,5+8,0),0)</f>
        <v>0</v>
      </c>
      <c r="O1820">
        <f>IFERROR(VLOOKUP("906-337348-110",B:AB,6+8,0),0)</f>
        <v>0</v>
      </c>
      <c r="P1820">
        <f>IFERROR(VLOOKUP("906-337348-110",B:AB,7+8,0),0)</f>
        <v>0</v>
      </c>
      <c r="Q1820">
        <f>IFERROR(VLOOKUP("906-337348-110",B:AB,8+8,0),0)</f>
        <v>0</v>
      </c>
      <c r="R1820">
        <f>IFERROR(VLOOKUP("906-337348-110",B:AB,9+8,0),0)</f>
        <v>0</v>
      </c>
      <c r="S1820">
        <f>IFERROR(VLOOKUP("906-337348-110",B:AB,10+8,0),0)</f>
        <v>0</v>
      </c>
      <c r="T1820">
        <f>IFERROR(VLOOKUP("906-337348-110",B:AB,11+8,0),0)</f>
        <v>0</v>
      </c>
      <c r="U1820">
        <f>IFERROR(VLOOKUP("906-337348-110",B:AB,12+8,0),0)</f>
        <v>0</v>
      </c>
      <c r="V1820">
        <f>IFERROR(VLOOKUP("906-337348-110",B:AB,13+8,0),0)</f>
        <v>0</v>
      </c>
      <c r="W1820">
        <f>IFERROR(VLOOKUP("906-337348-110",B:AB,14+8,0),0)</f>
        <v>0</v>
      </c>
      <c r="X1820">
        <f>IFERROR(VLOOKUP("906-337348-110",B:AB,15+8,0),0)</f>
        <v>0</v>
      </c>
      <c r="Y1820">
        <f>IFERROR(VLOOKUP("906-337348-110",B:AB,16+8,0),0)</f>
        <v>0</v>
      </c>
      <c r="Z1820">
        <f>IFERROR(VLOOKUP("906-337348-110",B:AB,17+8,0),0)</f>
        <v>0</v>
      </c>
      <c r="AA1820">
        <f>IFERROR(VLOOKUP("906-337348-110",B:AB,18+8,0),0)</f>
        <v>0</v>
      </c>
      <c r="AB1820">
        <f>IFERROR(VLOOKUP("906-337348-110",B:AB,19+8,0),0)</f>
        <v>0</v>
      </c>
      <c r="AC1820">
        <f>IFERROR(VLOOKUP("906-337348-110",B:AB,20+8,0),0)</f>
        <v>0</v>
      </c>
      <c r="AD1820">
        <f>IFERROR(VLOOKUP("906-337348-110",B:AB,21+8,0),0)</f>
        <v>0</v>
      </c>
      <c r="AE1820">
        <f>IFERROR(VLOOKUP("906-337348-110",B:AB,22+8,0),0)</f>
        <v>0</v>
      </c>
      <c r="AF1820">
        <f>IFERROR(VLOOKUP("906-337348-110",B:AB,23+8,0),0)</f>
        <v>0</v>
      </c>
      <c r="AG1820">
        <f>IFERROR(VLOOKUP("906-337348-110",B:AB,24+8,0),0)</f>
        <v>0</v>
      </c>
      <c r="AH1820">
        <f>IFERROR(VLOOKUP("906-337348-110",B:AB,25+8,0),0)</f>
        <v>0</v>
      </c>
      <c r="AI1820">
        <f>IFERROR(VLOOKUP("906-337348-110",B:AB,26+8,0),0)</f>
        <v>0</v>
      </c>
      <c r="AJ1820">
        <f>IFERROR(VLOOKUP("906-337348-110",B:AB,27+8,0),0)</f>
        <v>0</v>
      </c>
      <c r="AK1820">
        <f>IFERROR(VLOOKUP("906-337348-110",B:AB,28+8,0),0)</f>
        <v>0</v>
      </c>
      <c r="AL1820">
        <f>IFERROR(VLOOKUP("906-337348-110",B:AB,29+8,0),0)</f>
        <v>0</v>
      </c>
      <c r="AM1820">
        <f>IFERROR(VLOOKUP("906-337348-110",B:AB,30+8,0),0)</f>
        <v>0</v>
      </c>
      <c r="AN1820">
        <f>IFERROR(VLOOKUP("906-337348-110",B:AB,31+8,0),0)</f>
        <v>0</v>
      </c>
      <c r="AO1820">
        <f>SUN(INDIRECT(ADDRESS(1819,8)):INDIRECT(ADDRESS(1819,39)))</f>
        <v>0</v>
      </c>
    </row>
    <row r="1821" spans="1:41">
      <c r="H1821" t="s">
        <v>179</v>
      </c>
      <c r="J1821">
        <f>INDIRECT(ADDRESS(1821,9))+INDIRECT(ADDRESS(1819,10))-INDIRECT(ADDRESS(1820,10))</f>
        <v>0</v>
      </c>
      <c r="K1821">
        <f>INDIRECT(ADDRESS(1821,10))+INDIRECT(ADDRESS(1819,11))-INDIRECT(ADDRESS(1820,11))</f>
        <v>0</v>
      </c>
      <c r="L1821">
        <f>INDIRECT(ADDRESS(1821,11))+INDIRECT(ADDRESS(1819,12))-INDIRECT(ADDRESS(1820,12))</f>
        <v>0</v>
      </c>
      <c r="M1821">
        <f>INDIRECT(ADDRESS(1821,12))+INDIRECT(ADDRESS(1819,13))-INDIRECT(ADDRESS(1820,13))</f>
        <v>0</v>
      </c>
      <c r="N1821">
        <f>INDIRECT(ADDRESS(1821,13))+INDIRECT(ADDRESS(1819,14))-INDIRECT(ADDRESS(1820,14))</f>
        <v>0</v>
      </c>
      <c r="O1821">
        <f>INDIRECT(ADDRESS(1821,14))+INDIRECT(ADDRESS(1819,15))-INDIRECT(ADDRESS(1820,15))</f>
        <v>0</v>
      </c>
      <c r="P1821">
        <f>INDIRECT(ADDRESS(1821,15))+INDIRECT(ADDRESS(1819,16))-INDIRECT(ADDRESS(1820,16))</f>
        <v>0</v>
      </c>
      <c r="Q1821">
        <f>INDIRECT(ADDRESS(1821,16))+INDIRECT(ADDRESS(1819,17))-INDIRECT(ADDRESS(1820,17))</f>
        <v>0</v>
      </c>
      <c r="R1821">
        <f>INDIRECT(ADDRESS(1821,17))+INDIRECT(ADDRESS(1819,18))-INDIRECT(ADDRESS(1820,18))</f>
        <v>0</v>
      </c>
      <c r="S1821">
        <f>INDIRECT(ADDRESS(1821,18))+INDIRECT(ADDRESS(1819,19))-INDIRECT(ADDRESS(1820,19))</f>
        <v>0</v>
      </c>
      <c r="T1821">
        <f>INDIRECT(ADDRESS(1821,19))+INDIRECT(ADDRESS(1819,20))-INDIRECT(ADDRESS(1820,20))</f>
        <v>0</v>
      </c>
      <c r="U1821">
        <f>INDIRECT(ADDRESS(1821,20))+INDIRECT(ADDRESS(1819,21))-INDIRECT(ADDRESS(1820,21))</f>
        <v>0</v>
      </c>
      <c r="V1821">
        <f>INDIRECT(ADDRESS(1821,21))+INDIRECT(ADDRESS(1819,22))-INDIRECT(ADDRESS(1820,22))</f>
        <v>0</v>
      </c>
      <c r="W1821">
        <f>INDIRECT(ADDRESS(1821,22))+INDIRECT(ADDRESS(1819,23))-INDIRECT(ADDRESS(1820,23))</f>
        <v>0</v>
      </c>
      <c r="X1821">
        <f>INDIRECT(ADDRESS(1821,23))+INDIRECT(ADDRESS(1819,24))-INDIRECT(ADDRESS(1820,24))</f>
        <v>0</v>
      </c>
      <c r="Y1821">
        <f>INDIRECT(ADDRESS(1821,24))+INDIRECT(ADDRESS(1819,25))-INDIRECT(ADDRESS(1820,25))</f>
        <v>0</v>
      </c>
      <c r="Z1821">
        <f>INDIRECT(ADDRESS(1821,25))+INDIRECT(ADDRESS(1819,26))-INDIRECT(ADDRESS(1820,26))</f>
        <v>0</v>
      </c>
      <c r="AA1821">
        <f>INDIRECT(ADDRESS(1821,26))+INDIRECT(ADDRESS(1819,27))-INDIRECT(ADDRESS(1820,27))</f>
        <v>0</v>
      </c>
      <c r="AB1821">
        <f>INDIRECT(ADDRESS(1821,27))+INDIRECT(ADDRESS(1819,28))-INDIRECT(ADDRESS(1820,28))</f>
        <v>0</v>
      </c>
      <c r="AC1821">
        <f>INDIRECT(ADDRESS(1821,28))+INDIRECT(ADDRESS(1819,29))-INDIRECT(ADDRESS(1820,29))</f>
        <v>0</v>
      </c>
      <c r="AD1821">
        <f>INDIRECT(ADDRESS(1821,29))+INDIRECT(ADDRESS(1819,30))-INDIRECT(ADDRESS(1820,30))</f>
        <v>0</v>
      </c>
      <c r="AE1821">
        <f>INDIRECT(ADDRESS(1821,30))+INDIRECT(ADDRESS(1819,31))-INDIRECT(ADDRESS(1820,31))</f>
        <v>0</v>
      </c>
      <c r="AF1821">
        <f>INDIRECT(ADDRESS(1821,31))+INDIRECT(ADDRESS(1819,32))-INDIRECT(ADDRESS(1820,32))</f>
        <v>0</v>
      </c>
      <c r="AG1821">
        <f>INDIRECT(ADDRESS(1821,32))+INDIRECT(ADDRESS(1819,33))-INDIRECT(ADDRESS(1820,33))</f>
        <v>0</v>
      </c>
      <c r="AH1821">
        <f>INDIRECT(ADDRESS(1821,33))+INDIRECT(ADDRESS(1819,34))-INDIRECT(ADDRESS(1820,34))</f>
        <v>0</v>
      </c>
      <c r="AI1821">
        <f>INDIRECT(ADDRESS(1821,34))+INDIRECT(ADDRESS(1819,35))-INDIRECT(ADDRESS(1820,35))</f>
        <v>0</v>
      </c>
      <c r="AJ1821">
        <f>INDIRECT(ADDRESS(1821,35))+INDIRECT(ADDRESS(1819,36))-INDIRECT(ADDRESS(1820,36))</f>
        <v>0</v>
      </c>
      <c r="AK1821">
        <f>INDIRECT(ADDRESS(1821,36))+INDIRECT(ADDRESS(1819,37))-INDIRECT(ADDRESS(1820,37))</f>
        <v>0</v>
      </c>
      <c r="AL1821">
        <f>INDIRECT(ADDRESS(1821,37))+INDIRECT(ADDRESS(1819,38))-INDIRECT(ADDRESS(1820,38))</f>
        <v>0</v>
      </c>
      <c r="AM1821">
        <f>INDIRECT(ADDRESS(1821,38))+INDIRECT(ADDRESS(1819,39))-INDIRECT(ADDRESS(1820,39))</f>
        <v>0</v>
      </c>
      <c r="AN1821">
        <f>INDIRECT(ADDRESS(1821,39))+INDIRECT(ADDRESS(1819,40))-INDIRECT(ADDRESS(1820,40))</f>
        <v>0</v>
      </c>
      <c r="AO1821">
        <f>SUM(INDIRECT(ADDRESS(1820,8)):INDIRECT(ADDRESS(1820,39)))</f>
        <v>0</v>
      </c>
    </row>
    <row r="1822" spans="1:41">
      <c r="A1822" t="s">
        <v>8</v>
      </c>
      <c r="B1822" t="s">
        <v>154</v>
      </c>
      <c r="C1822" t="s">
        <v>153</v>
      </c>
      <c r="E1822">
        <v>0.003</v>
      </c>
      <c r="I1822" t="s">
        <v>177</v>
      </c>
    </row>
    <row r="1823" spans="1:41">
      <c r="I1823" t="s">
        <v>178</v>
      </c>
      <c r="J1823">
        <f>IFERROR(VLOOKUP("906-338348-110",Out!B:AB,1+8,0),0)</f>
        <v>0</v>
      </c>
      <c r="K1823">
        <f>IFERROR(VLOOKUP("906-338348-110",Out!B:AB,2+8,0),0)</f>
        <v>0</v>
      </c>
      <c r="L1823">
        <f>IFERROR(VLOOKUP("906-338348-110",Out!B:AB,3+8,0),0)</f>
        <v>0</v>
      </c>
      <c r="M1823">
        <f>IFERROR(VLOOKUP("906-338348-110",Out!B:AB,4+8,0),0)</f>
        <v>0</v>
      </c>
      <c r="N1823">
        <f>IFERROR(VLOOKUP("906-338348-110",Out!B:AB,5+8,0),0)</f>
        <v>0</v>
      </c>
      <c r="O1823">
        <f>IFERROR(VLOOKUP("906-338348-110",Out!B:AB,6+8,0),0)</f>
        <v>0</v>
      </c>
      <c r="P1823">
        <f>IFERROR(VLOOKUP("906-338348-110",Out!B:AB,7+8,0),0)</f>
        <v>0</v>
      </c>
      <c r="Q1823">
        <f>IFERROR(VLOOKUP("906-338348-110",Out!B:AB,8+8,0),0)</f>
        <v>0</v>
      </c>
      <c r="R1823">
        <f>IFERROR(VLOOKUP("906-338348-110",Out!B:AB,9+8,0),0)</f>
        <v>0</v>
      </c>
      <c r="S1823">
        <f>IFERROR(VLOOKUP("906-338348-110",Out!B:AB,10+8,0),0)</f>
        <v>0</v>
      </c>
      <c r="T1823">
        <f>IFERROR(VLOOKUP("906-338348-110",Out!B:AB,11+8,0),0)</f>
        <v>0</v>
      </c>
      <c r="U1823">
        <f>IFERROR(VLOOKUP("906-338348-110",Out!B:AB,12+8,0),0)</f>
        <v>0</v>
      </c>
      <c r="V1823">
        <f>IFERROR(VLOOKUP("906-338348-110",Out!B:AB,13+8,0),0)</f>
        <v>0</v>
      </c>
      <c r="W1823">
        <f>IFERROR(VLOOKUP("906-338348-110",Out!B:AB,14+8,0),0)</f>
        <v>0</v>
      </c>
      <c r="X1823">
        <f>IFERROR(VLOOKUP("906-338348-110",Out!B:AB,15+8,0),0)</f>
        <v>0</v>
      </c>
      <c r="Y1823">
        <f>IFERROR(VLOOKUP("906-338348-110",Out!B:AB,16+8,0),0)</f>
        <v>0</v>
      </c>
      <c r="Z1823">
        <f>IFERROR(VLOOKUP("906-338348-110",Out!B:AB,17+8,0),0)</f>
        <v>0</v>
      </c>
      <c r="AA1823">
        <f>IFERROR(VLOOKUP("906-338348-110",Out!B:AB,18+8,0),0)</f>
        <v>0</v>
      </c>
      <c r="AB1823">
        <f>IFERROR(VLOOKUP("906-338348-110",Out!B:AB,19+8,0),0)</f>
        <v>0</v>
      </c>
      <c r="AC1823">
        <f>IFERROR(VLOOKUP("906-338348-110",Out!B:AB,20+8,0),0)</f>
        <v>0</v>
      </c>
      <c r="AD1823">
        <f>IFERROR(VLOOKUP("906-338348-110",Out!B:AB,21+8,0),0)</f>
        <v>0</v>
      </c>
      <c r="AE1823">
        <f>IFERROR(VLOOKUP("906-338348-110",Out!B:AB,22+8,0),0)</f>
        <v>0</v>
      </c>
      <c r="AF1823">
        <f>IFERROR(VLOOKUP("906-338348-110",Out!B:AB,23+8,0),0)</f>
        <v>0</v>
      </c>
      <c r="AG1823">
        <f>IFERROR(VLOOKUP("906-338348-110",Out!B:AB,24+8,0),0)</f>
        <v>0</v>
      </c>
      <c r="AH1823">
        <f>IFERROR(VLOOKUP("906-338348-110",Out!B:AB,25+8,0),0)</f>
        <v>0</v>
      </c>
      <c r="AI1823">
        <f>IFERROR(VLOOKUP("906-338348-110",Out!B:AB,26+8,0),0)</f>
        <v>0</v>
      </c>
      <c r="AJ1823">
        <f>IFERROR(VLOOKUP("906-338348-110",Out!B:AB,27+8,0),0)</f>
        <v>0</v>
      </c>
      <c r="AK1823">
        <f>IFERROR(VLOOKUP("906-338348-110",Out!B:AB,28+8,0),0)</f>
        <v>0</v>
      </c>
      <c r="AL1823">
        <f>IFERROR(VLOOKUP("906-338348-110",Out!B:AB,29+8,0),0)</f>
        <v>0</v>
      </c>
      <c r="AM1823">
        <f>IFERROR(VLOOKUP("906-338348-110",Out!B:AB,30+8,0),0)</f>
        <v>0</v>
      </c>
      <c r="AN1823">
        <f>IFERROR(VLOOKUP("906-338348-110",Out!B:AB,31+8,0),0)</f>
        <v>0</v>
      </c>
      <c r="AO1823">
        <f>SUN(INDIRECT(ADDRESS(1822,8)):INDIRECT(ADDRESS(1822,39)))</f>
        <v>0</v>
      </c>
    </row>
    <row r="1824" spans="1:41">
      <c r="H1824" t="s">
        <v>179</v>
      </c>
      <c r="J1824">
        <f>INDIRECT(ADDRESS(1824,9))+INDIRECT(ADDRESS(1822,10))-INDIRECT(ADDRESS(1823,10))</f>
        <v>0</v>
      </c>
      <c r="K1824">
        <f>INDIRECT(ADDRESS(1824,10))+INDIRECT(ADDRESS(1822,11))-INDIRECT(ADDRESS(1823,11))</f>
        <v>0</v>
      </c>
      <c r="L1824">
        <f>INDIRECT(ADDRESS(1824,11))+INDIRECT(ADDRESS(1822,12))-INDIRECT(ADDRESS(1823,12))</f>
        <v>0</v>
      </c>
      <c r="M1824">
        <f>INDIRECT(ADDRESS(1824,12))+INDIRECT(ADDRESS(1822,13))-INDIRECT(ADDRESS(1823,13))</f>
        <v>0</v>
      </c>
      <c r="N1824">
        <f>INDIRECT(ADDRESS(1824,13))+INDIRECT(ADDRESS(1822,14))-INDIRECT(ADDRESS(1823,14))</f>
        <v>0</v>
      </c>
      <c r="O1824">
        <f>INDIRECT(ADDRESS(1824,14))+INDIRECT(ADDRESS(1822,15))-INDIRECT(ADDRESS(1823,15))</f>
        <v>0</v>
      </c>
      <c r="P1824">
        <f>INDIRECT(ADDRESS(1824,15))+INDIRECT(ADDRESS(1822,16))-INDIRECT(ADDRESS(1823,16))</f>
        <v>0</v>
      </c>
      <c r="Q1824">
        <f>INDIRECT(ADDRESS(1824,16))+INDIRECT(ADDRESS(1822,17))-INDIRECT(ADDRESS(1823,17))</f>
        <v>0</v>
      </c>
      <c r="R1824">
        <f>INDIRECT(ADDRESS(1824,17))+INDIRECT(ADDRESS(1822,18))-INDIRECT(ADDRESS(1823,18))</f>
        <v>0</v>
      </c>
      <c r="S1824">
        <f>INDIRECT(ADDRESS(1824,18))+INDIRECT(ADDRESS(1822,19))-INDIRECT(ADDRESS(1823,19))</f>
        <v>0</v>
      </c>
      <c r="T1824">
        <f>INDIRECT(ADDRESS(1824,19))+INDIRECT(ADDRESS(1822,20))-INDIRECT(ADDRESS(1823,20))</f>
        <v>0</v>
      </c>
      <c r="U1824">
        <f>INDIRECT(ADDRESS(1824,20))+INDIRECT(ADDRESS(1822,21))-INDIRECT(ADDRESS(1823,21))</f>
        <v>0</v>
      </c>
      <c r="V1824">
        <f>INDIRECT(ADDRESS(1824,21))+INDIRECT(ADDRESS(1822,22))-INDIRECT(ADDRESS(1823,22))</f>
        <v>0</v>
      </c>
      <c r="W1824">
        <f>INDIRECT(ADDRESS(1824,22))+INDIRECT(ADDRESS(1822,23))-INDIRECT(ADDRESS(1823,23))</f>
        <v>0</v>
      </c>
      <c r="X1824">
        <f>INDIRECT(ADDRESS(1824,23))+INDIRECT(ADDRESS(1822,24))-INDIRECT(ADDRESS(1823,24))</f>
        <v>0</v>
      </c>
      <c r="Y1824">
        <f>INDIRECT(ADDRESS(1824,24))+INDIRECT(ADDRESS(1822,25))-INDIRECT(ADDRESS(1823,25))</f>
        <v>0</v>
      </c>
      <c r="Z1824">
        <f>INDIRECT(ADDRESS(1824,25))+INDIRECT(ADDRESS(1822,26))-INDIRECT(ADDRESS(1823,26))</f>
        <v>0</v>
      </c>
      <c r="AA1824">
        <f>INDIRECT(ADDRESS(1824,26))+INDIRECT(ADDRESS(1822,27))-INDIRECT(ADDRESS(1823,27))</f>
        <v>0</v>
      </c>
      <c r="AB1824">
        <f>INDIRECT(ADDRESS(1824,27))+INDIRECT(ADDRESS(1822,28))-INDIRECT(ADDRESS(1823,28))</f>
        <v>0</v>
      </c>
      <c r="AC1824">
        <f>INDIRECT(ADDRESS(1824,28))+INDIRECT(ADDRESS(1822,29))-INDIRECT(ADDRESS(1823,29))</f>
        <v>0</v>
      </c>
      <c r="AD1824">
        <f>INDIRECT(ADDRESS(1824,29))+INDIRECT(ADDRESS(1822,30))-INDIRECT(ADDRESS(1823,30))</f>
        <v>0</v>
      </c>
      <c r="AE1824">
        <f>INDIRECT(ADDRESS(1824,30))+INDIRECT(ADDRESS(1822,31))-INDIRECT(ADDRESS(1823,31))</f>
        <v>0</v>
      </c>
      <c r="AF1824">
        <f>INDIRECT(ADDRESS(1824,31))+INDIRECT(ADDRESS(1822,32))-INDIRECT(ADDRESS(1823,32))</f>
        <v>0</v>
      </c>
      <c r="AG1824">
        <f>INDIRECT(ADDRESS(1824,32))+INDIRECT(ADDRESS(1822,33))-INDIRECT(ADDRESS(1823,33))</f>
        <v>0</v>
      </c>
      <c r="AH1824">
        <f>INDIRECT(ADDRESS(1824,33))+INDIRECT(ADDRESS(1822,34))-INDIRECT(ADDRESS(1823,34))</f>
        <v>0</v>
      </c>
      <c r="AI1824">
        <f>INDIRECT(ADDRESS(1824,34))+INDIRECT(ADDRESS(1822,35))-INDIRECT(ADDRESS(1823,35))</f>
        <v>0</v>
      </c>
      <c r="AJ1824">
        <f>INDIRECT(ADDRESS(1824,35))+INDIRECT(ADDRESS(1822,36))-INDIRECT(ADDRESS(1823,36))</f>
        <v>0</v>
      </c>
      <c r="AK1824">
        <f>INDIRECT(ADDRESS(1824,36))+INDIRECT(ADDRESS(1822,37))-INDIRECT(ADDRESS(1823,37))</f>
        <v>0</v>
      </c>
      <c r="AL1824">
        <f>INDIRECT(ADDRESS(1824,37))+INDIRECT(ADDRESS(1822,38))-INDIRECT(ADDRESS(1823,38))</f>
        <v>0</v>
      </c>
      <c r="AM1824">
        <f>INDIRECT(ADDRESS(1824,38))+INDIRECT(ADDRESS(1822,39))-INDIRECT(ADDRESS(1823,39))</f>
        <v>0</v>
      </c>
      <c r="AN1824">
        <f>INDIRECT(ADDRESS(1824,39))+INDIRECT(ADDRESS(1822,40))-INDIRECT(ADDRESS(1823,40))</f>
        <v>0</v>
      </c>
      <c r="AO1824">
        <f>SUM(INDIRECT(ADDRESS(1823,8)):INDIRECT(ADDRESS(1823,39)))</f>
        <v>0</v>
      </c>
    </row>
    <row r="1825" spans="1:41">
      <c r="A1825" t="s">
        <v>180</v>
      </c>
      <c r="B1825" t="s">
        <v>154</v>
      </c>
      <c r="C1825" t="s">
        <v>839</v>
      </c>
      <c r="E1825">
        <v>1</v>
      </c>
      <c r="I1825" t="s">
        <v>177</v>
      </c>
    </row>
    <row r="1826" spans="1:41">
      <c r="I1826" t="s">
        <v>178</v>
      </c>
      <c r="J1826">
        <f>IFERROR(VLOOKUP("906-338348-110",B:AB,1+8,0),0)</f>
        <v>0</v>
      </c>
      <c r="K1826">
        <f>IFERROR(VLOOKUP("906-338348-110",B:AB,2+8,0),0)</f>
        <v>0</v>
      </c>
      <c r="L1826">
        <f>IFERROR(VLOOKUP("906-338348-110",B:AB,3+8,0),0)</f>
        <v>0</v>
      </c>
      <c r="M1826">
        <f>IFERROR(VLOOKUP("906-338348-110",B:AB,4+8,0),0)</f>
        <v>0</v>
      </c>
      <c r="N1826">
        <f>IFERROR(VLOOKUP("906-338348-110",B:AB,5+8,0),0)</f>
        <v>0</v>
      </c>
      <c r="O1826">
        <f>IFERROR(VLOOKUP("906-338348-110",B:AB,6+8,0),0)</f>
        <v>0</v>
      </c>
      <c r="P1826">
        <f>IFERROR(VLOOKUP("906-338348-110",B:AB,7+8,0),0)</f>
        <v>0</v>
      </c>
      <c r="Q1826">
        <f>IFERROR(VLOOKUP("906-338348-110",B:AB,8+8,0),0)</f>
        <v>0</v>
      </c>
      <c r="R1826">
        <f>IFERROR(VLOOKUP("906-338348-110",B:AB,9+8,0),0)</f>
        <v>0</v>
      </c>
      <c r="S1826">
        <f>IFERROR(VLOOKUP("906-338348-110",B:AB,10+8,0),0)</f>
        <v>0</v>
      </c>
      <c r="T1826">
        <f>IFERROR(VLOOKUP("906-338348-110",B:AB,11+8,0),0)</f>
        <v>0</v>
      </c>
      <c r="U1826">
        <f>IFERROR(VLOOKUP("906-338348-110",B:AB,12+8,0),0)</f>
        <v>0</v>
      </c>
      <c r="V1826">
        <f>IFERROR(VLOOKUP("906-338348-110",B:AB,13+8,0),0)</f>
        <v>0</v>
      </c>
      <c r="W1826">
        <f>IFERROR(VLOOKUP("906-338348-110",B:AB,14+8,0),0)</f>
        <v>0</v>
      </c>
      <c r="X1826">
        <f>IFERROR(VLOOKUP("906-338348-110",B:AB,15+8,0),0)</f>
        <v>0</v>
      </c>
      <c r="Y1826">
        <f>IFERROR(VLOOKUP("906-338348-110",B:AB,16+8,0),0)</f>
        <v>0</v>
      </c>
      <c r="Z1826">
        <f>IFERROR(VLOOKUP("906-338348-110",B:AB,17+8,0),0)</f>
        <v>0</v>
      </c>
      <c r="AA1826">
        <f>IFERROR(VLOOKUP("906-338348-110",B:AB,18+8,0),0)</f>
        <v>0</v>
      </c>
      <c r="AB1826">
        <f>IFERROR(VLOOKUP("906-338348-110",B:AB,19+8,0),0)</f>
        <v>0</v>
      </c>
      <c r="AC1826">
        <f>IFERROR(VLOOKUP("906-338348-110",B:AB,20+8,0),0)</f>
        <v>0</v>
      </c>
      <c r="AD1826">
        <f>IFERROR(VLOOKUP("906-338348-110",B:AB,21+8,0),0)</f>
        <v>0</v>
      </c>
      <c r="AE1826">
        <f>IFERROR(VLOOKUP("906-338348-110",B:AB,22+8,0),0)</f>
        <v>0</v>
      </c>
      <c r="AF1826">
        <f>IFERROR(VLOOKUP("906-338348-110",B:AB,23+8,0),0)</f>
        <v>0</v>
      </c>
      <c r="AG1826">
        <f>IFERROR(VLOOKUP("906-338348-110",B:AB,24+8,0),0)</f>
        <v>0</v>
      </c>
      <c r="AH1826">
        <f>IFERROR(VLOOKUP("906-338348-110",B:AB,25+8,0),0)</f>
        <v>0</v>
      </c>
      <c r="AI1826">
        <f>IFERROR(VLOOKUP("906-338348-110",B:AB,26+8,0),0)</f>
        <v>0</v>
      </c>
      <c r="AJ1826">
        <f>IFERROR(VLOOKUP("906-338348-110",B:AB,27+8,0),0)</f>
        <v>0</v>
      </c>
      <c r="AK1826">
        <f>IFERROR(VLOOKUP("906-338348-110",B:AB,28+8,0),0)</f>
        <v>0</v>
      </c>
      <c r="AL1826">
        <f>IFERROR(VLOOKUP("906-338348-110",B:AB,29+8,0),0)</f>
        <v>0</v>
      </c>
      <c r="AM1826">
        <f>IFERROR(VLOOKUP("906-338348-110",B:AB,30+8,0),0)</f>
        <v>0</v>
      </c>
      <c r="AN1826">
        <f>IFERROR(VLOOKUP("906-338348-110",B:AB,31+8,0),0)</f>
        <v>0</v>
      </c>
      <c r="AO1826">
        <f>SUN(INDIRECT(ADDRESS(1825,8)):INDIRECT(ADDRESS(1825,39)))</f>
        <v>0</v>
      </c>
    </row>
    <row r="1827" spans="1:41">
      <c r="H1827" t="s">
        <v>179</v>
      </c>
      <c r="J1827">
        <f>INDIRECT(ADDRESS(1827,9))+INDIRECT(ADDRESS(1825,10))-INDIRECT(ADDRESS(1826,10))</f>
        <v>0</v>
      </c>
      <c r="K1827">
        <f>INDIRECT(ADDRESS(1827,10))+INDIRECT(ADDRESS(1825,11))-INDIRECT(ADDRESS(1826,11))</f>
        <v>0</v>
      </c>
      <c r="L1827">
        <f>INDIRECT(ADDRESS(1827,11))+INDIRECT(ADDRESS(1825,12))-INDIRECT(ADDRESS(1826,12))</f>
        <v>0</v>
      </c>
      <c r="M1827">
        <f>INDIRECT(ADDRESS(1827,12))+INDIRECT(ADDRESS(1825,13))-INDIRECT(ADDRESS(1826,13))</f>
        <v>0</v>
      </c>
      <c r="N1827">
        <f>INDIRECT(ADDRESS(1827,13))+INDIRECT(ADDRESS(1825,14))-INDIRECT(ADDRESS(1826,14))</f>
        <v>0</v>
      </c>
      <c r="O1827">
        <f>INDIRECT(ADDRESS(1827,14))+INDIRECT(ADDRESS(1825,15))-INDIRECT(ADDRESS(1826,15))</f>
        <v>0</v>
      </c>
      <c r="P1827">
        <f>INDIRECT(ADDRESS(1827,15))+INDIRECT(ADDRESS(1825,16))-INDIRECT(ADDRESS(1826,16))</f>
        <v>0</v>
      </c>
      <c r="Q1827">
        <f>INDIRECT(ADDRESS(1827,16))+INDIRECT(ADDRESS(1825,17))-INDIRECT(ADDRESS(1826,17))</f>
        <v>0</v>
      </c>
      <c r="R1827">
        <f>INDIRECT(ADDRESS(1827,17))+INDIRECT(ADDRESS(1825,18))-INDIRECT(ADDRESS(1826,18))</f>
        <v>0</v>
      </c>
      <c r="S1827">
        <f>INDIRECT(ADDRESS(1827,18))+INDIRECT(ADDRESS(1825,19))-INDIRECT(ADDRESS(1826,19))</f>
        <v>0</v>
      </c>
      <c r="T1827">
        <f>INDIRECT(ADDRESS(1827,19))+INDIRECT(ADDRESS(1825,20))-INDIRECT(ADDRESS(1826,20))</f>
        <v>0</v>
      </c>
      <c r="U1827">
        <f>INDIRECT(ADDRESS(1827,20))+INDIRECT(ADDRESS(1825,21))-INDIRECT(ADDRESS(1826,21))</f>
        <v>0</v>
      </c>
      <c r="V1827">
        <f>INDIRECT(ADDRESS(1827,21))+INDIRECT(ADDRESS(1825,22))-INDIRECT(ADDRESS(1826,22))</f>
        <v>0</v>
      </c>
      <c r="W1827">
        <f>INDIRECT(ADDRESS(1827,22))+INDIRECT(ADDRESS(1825,23))-INDIRECT(ADDRESS(1826,23))</f>
        <v>0</v>
      </c>
      <c r="X1827">
        <f>INDIRECT(ADDRESS(1827,23))+INDIRECT(ADDRESS(1825,24))-INDIRECT(ADDRESS(1826,24))</f>
        <v>0</v>
      </c>
      <c r="Y1827">
        <f>INDIRECT(ADDRESS(1827,24))+INDIRECT(ADDRESS(1825,25))-INDIRECT(ADDRESS(1826,25))</f>
        <v>0</v>
      </c>
      <c r="Z1827">
        <f>INDIRECT(ADDRESS(1827,25))+INDIRECT(ADDRESS(1825,26))-INDIRECT(ADDRESS(1826,26))</f>
        <v>0</v>
      </c>
      <c r="AA1827">
        <f>INDIRECT(ADDRESS(1827,26))+INDIRECT(ADDRESS(1825,27))-INDIRECT(ADDRESS(1826,27))</f>
        <v>0</v>
      </c>
      <c r="AB1827">
        <f>INDIRECT(ADDRESS(1827,27))+INDIRECT(ADDRESS(1825,28))-INDIRECT(ADDRESS(1826,28))</f>
        <v>0</v>
      </c>
      <c r="AC1827">
        <f>INDIRECT(ADDRESS(1827,28))+INDIRECT(ADDRESS(1825,29))-INDIRECT(ADDRESS(1826,29))</f>
        <v>0</v>
      </c>
      <c r="AD1827">
        <f>INDIRECT(ADDRESS(1827,29))+INDIRECT(ADDRESS(1825,30))-INDIRECT(ADDRESS(1826,30))</f>
        <v>0</v>
      </c>
      <c r="AE1827">
        <f>INDIRECT(ADDRESS(1827,30))+INDIRECT(ADDRESS(1825,31))-INDIRECT(ADDRESS(1826,31))</f>
        <v>0</v>
      </c>
      <c r="AF1827">
        <f>INDIRECT(ADDRESS(1827,31))+INDIRECT(ADDRESS(1825,32))-INDIRECT(ADDRESS(1826,32))</f>
        <v>0</v>
      </c>
      <c r="AG1827">
        <f>INDIRECT(ADDRESS(1827,32))+INDIRECT(ADDRESS(1825,33))-INDIRECT(ADDRESS(1826,33))</f>
        <v>0</v>
      </c>
      <c r="AH1827">
        <f>INDIRECT(ADDRESS(1827,33))+INDIRECT(ADDRESS(1825,34))-INDIRECT(ADDRESS(1826,34))</f>
        <v>0</v>
      </c>
      <c r="AI1827">
        <f>INDIRECT(ADDRESS(1827,34))+INDIRECT(ADDRESS(1825,35))-INDIRECT(ADDRESS(1826,35))</f>
        <v>0</v>
      </c>
      <c r="AJ1827">
        <f>INDIRECT(ADDRESS(1827,35))+INDIRECT(ADDRESS(1825,36))-INDIRECT(ADDRESS(1826,36))</f>
        <v>0</v>
      </c>
      <c r="AK1827">
        <f>INDIRECT(ADDRESS(1827,36))+INDIRECT(ADDRESS(1825,37))-INDIRECT(ADDRESS(1826,37))</f>
        <v>0</v>
      </c>
      <c r="AL1827">
        <f>INDIRECT(ADDRESS(1827,37))+INDIRECT(ADDRESS(1825,38))-INDIRECT(ADDRESS(1826,38))</f>
        <v>0</v>
      </c>
      <c r="AM1827">
        <f>INDIRECT(ADDRESS(1827,38))+INDIRECT(ADDRESS(1825,39))-INDIRECT(ADDRESS(1826,39))</f>
        <v>0</v>
      </c>
      <c r="AN1827">
        <f>INDIRECT(ADDRESS(1827,39))+INDIRECT(ADDRESS(1825,40))-INDIRECT(ADDRESS(1826,40))</f>
        <v>0</v>
      </c>
      <c r="AO1827">
        <f>SUM(INDIRECT(ADDRESS(1826,8)):INDIRECT(ADDRESS(1826,39)))</f>
        <v>0</v>
      </c>
    </row>
    <row r="1828" spans="1:41">
      <c r="A1828" t="s">
        <v>180</v>
      </c>
      <c r="B1828" t="s">
        <v>840</v>
      </c>
      <c r="C1828" t="s">
        <v>841</v>
      </c>
      <c r="E1828">
        <v>1</v>
      </c>
      <c r="I1828" t="s">
        <v>177</v>
      </c>
    </row>
    <row r="1829" spans="1:41">
      <c r="I1829" t="s">
        <v>178</v>
      </c>
      <c r="J1829">
        <f>IFERROR(VLOOKUP("906-338348-110",B:AB,1+8,0),0)</f>
        <v>0</v>
      </c>
      <c r="K1829">
        <f>IFERROR(VLOOKUP("906-338348-110",B:AB,2+8,0),0)</f>
        <v>0</v>
      </c>
      <c r="L1829">
        <f>IFERROR(VLOOKUP("906-338348-110",B:AB,3+8,0),0)</f>
        <v>0</v>
      </c>
      <c r="M1829">
        <f>IFERROR(VLOOKUP("906-338348-110",B:AB,4+8,0),0)</f>
        <v>0</v>
      </c>
      <c r="N1829">
        <f>IFERROR(VLOOKUP("906-338348-110",B:AB,5+8,0),0)</f>
        <v>0</v>
      </c>
      <c r="O1829">
        <f>IFERROR(VLOOKUP("906-338348-110",B:AB,6+8,0),0)</f>
        <v>0</v>
      </c>
      <c r="P1829">
        <f>IFERROR(VLOOKUP("906-338348-110",B:AB,7+8,0),0)</f>
        <v>0</v>
      </c>
      <c r="Q1829">
        <f>IFERROR(VLOOKUP("906-338348-110",B:AB,8+8,0),0)</f>
        <v>0</v>
      </c>
      <c r="R1829">
        <f>IFERROR(VLOOKUP("906-338348-110",B:AB,9+8,0),0)</f>
        <v>0</v>
      </c>
      <c r="S1829">
        <f>IFERROR(VLOOKUP("906-338348-110",B:AB,10+8,0),0)</f>
        <v>0</v>
      </c>
      <c r="T1829">
        <f>IFERROR(VLOOKUP("906-338348-110",B:AB,11+8,0),0)</f>
        <v>0</v>
      </c>
      <c r="U1829">
        <f>IFERROR(VLOOKUP("906-338348-110",B:AB,12+8,0),0)</f>
        <v>0</v>
      </c>
      <c r="V1829">
        <f>IFERROR(VLOOKUP("906-338348-110",B:AB,13+8,0),0)</f>
        <v>0</v>
      </c>
      <c r="W1829">
        <f>IFERROR(VLOOKUP("906-338348-110",B:AB,14+8,0),0)</f>
        <v>0</v>
      </c>
      <c r="X1829">
        <f>IFERROR(VLOOKUP("906-338348-110",B:AB,15+8,0),0)</f>
        <v>0</v>
      </c>
      <c r="Y1829">
        <f>IFERROR(VLOOKUP("906-338348-110",B:AB,16+8,0),0)</f>
        <v>0</v>
      </c>
      <c r="Z1829">
        <f>IFERROR(VLOOKUP("906-338348-110",B:AB,17+8,0),0)</f>
        <v>0</v>
      </c>
      <c r="AA1829">
        <f>IFERROR(VLOOKUP("906-338348-110",B:AB,18+8,0),0)</f>
        <v>0</v>
      </c>
      <c r="AB1829">
        <f>IFERROR(VLOOKUP("906-338348-110",B:AB,19+8,0),0)</f>
        <v>0</v>
      </c>
      <c r="AC1829">
        <f>IFERROR(VLOOKUP("906-338348-110",B:AB,20+8,0),0)</f>
        <v>0</v>
      </c>
      <c r="AD1829">
        <f>IFERROR(VLOOKUP("906-338348-110",B:AB,21+8,0),0)</f>
        <v>0</v>
      </c>
      <c r="AE1829">
        <f>IFERROR(VLOOKUP("906-338348-110",B:AB,22+8,0),0)</f>
        <v>0</v>
      </c>
      <c r="AF1829">
        <f>IFERROR(VLOOKUP("906-338348-110",B:AB,23+8,0),0)</f>
        <v>0</v>
      </c>
      <c r="AG1829">
        <f>IFERROR(VLOOKUP("906-338348-110",B:AB,24+8,0),0)</f>
        <v>0</v>
      </c>
      <c r="AH1829">
        <f>IFERROR(VLOOKUP("906-338348-110",B:AB,25+8,0),0)</f>
        <v>0</v>
      </c>
      <c r="AI1829">
        <f>IFERROR(VLOOKUP("906-338348-110",B:AB,26+8,0),0)</f>
        <v>0</v>
      </c>
      <c r="AJ1829">
        <f>IFERROR(VLOOKUP("906-338348-110",B:AB,27+8,0),0)</f>
        <v>0</v>
      </c>
      <c r="AK1829">
        <f>IFERROR(VLOOKUP("906-338348-110",B:AB,28+8,0),0)</f>
        <v>0</v>
      </c>
      <c r="AL1829">
        <f>IFERROR(VLOOKUP("906-338348-110",B:AB,29+8,0),0)</f>
        <v>0</v>
      </c>
      <c r="AM1829">
        <f>IFERROR(VLOOKUP("906-338348-110",B:AB,30+8,0),0)</f>
        <v>0</v>
      </c>
      <c r="AN1829">
        <f>IFERROR(VLOOKUP("906-338348-110",B:AB,31+8,0),0)</f>
        <v>0</v>
      </c>
      <c r="AO1829">
        <f>SUN(INDIRECT(ADDRESS(1828,8)):INDIRECT(ADDRESS(1828,39)))</f>
        <v>0</v>
      </c>
    </row>
    <row r="1830" spans="1:41">
      <c r="H1830" t="s">
        <v>179</v>
      </c>
      <c r="J1830">
        <f>INDIRECT(ADDRESS(1830,9))+INDIRECT(ADDRESS(1828,10))-INDIRECT(ADDRESS(1829,10))</f>
        <v>0</v>
      </c>
      <c r="K1830">
        <f>INDIRECT(ADDRESS(1830,10))+INDIRECT(ADDRESS(1828,11))-INDIRECT(ADDRESS(1829,11))</f>
        <v>0</v>
      </c>
      <c r="L1830">
        <f>INDIRECT(ADDRESS(1830,11))+INDIRECT(ADDRESS(1828,12))-INDIRECT(ADDRESS(1829,12))</f>
        <v>0</v>
      </c>
      <c r="M1830">
        <f>INDIRECT(ADDRESS(1830,12))+INDIRECT(ADDRESS(1828,13))-INDIRECT(ADDRESS(1829,13))</f>
        <v>0</v>
      </c>
      <c r="N1830">
        <f>INDIRECT(ADDRESS(1830,13))+INDIRECT(ADDRESS(1828,14))-INDIRECT(ADDRESS(1829,14))</f>
        <v>0</v>
      </c>
      <c r="O1830">
        <f>INDIRECT(ADDRESS(1830,14))+INDIRECT(ADDRESS(1828,15))-INDIRECT(ADDRESS(1829,15))</f>
        <v>0</v>
      </c>
      <c r="P1830">
        <f>INDIRECT(ADDRESS(1830,15))+INDIRECT(ADDRESS(1828,16))-INDIRECT(ADDRESS(1829,16))</f>
        <v>0</v>
      </c>
      <c r="Q1830">
        <f>INDIRECT(ADDRESS(1830,16))+INDIRECT(ADDRESS(1828,17))-INDIRECT(ADDRESS(1829,17))</f>
        <v>0</v>
      </c>
      <c r="R1830">
        <f>INDIRECT(ADDRESS(1830,17))+INDIRECT(ADDRESS(1828,18))-INDIRECT(ADDRESS(1829,18))</f>
        <v>0</v>
      </c>
      <c r="S1830">
        <f>INDIRECT(ADDRESS(1830,18))+INDIRECT(ADDRESS(1828,19))-INDIRECT(ADDRESS(1829,19))</f>
        <v>0</v>
      </c>
      <c r="T1830">
        <f>INDIRECT(ADDRESS(1830,19))+INDIRECT(ADDRESS(1828,20))-INDIRECT(ADDRESS(1829,20))</f>
        <v>0</v>
      </c>
      <c r="U1830">
        <f>INDIRECT(ADDRESS(1830,20))+INDIRECT(ADDRESS(1828,21))-INDIRECT(ADDRESS(1829,21))</f>
        <v>0</v>
      </c>
      <c r="V1830">
        <f>INDIRECT(ADDRESS(1830,21))+INDIRECT(ADDRESS(1828,22))-INDIRECT(ADDRESS(1829,22))</f>
        <v>0</v>
      </c>
      <c r="W1830">
        <f>INDIRECT(ADDRESS(1830,22))+INDIRECT(ADDRESS(1828,23))-INDIRECT(ADDRESS(1829,23))</f>
        <v>0</v>
      </c>
      <c r="X1830">
        <f>INDIRECT(ADDRESS(1830,23))+INDIRECT(ADDRESS(1828,24))-INDIRECT(ADDRESS(1829,24))</f>
        <v>0</v>
      </c>
      <c r="Y1830">
        <f>INDIRECT(ADDRESS(1830,24))+INDIRECT(ADDRESS(1828,25))-INDIRECT(ADDRESS(1829,25))</f>
        <v>0</v>
      </c>
      <c r="Z1830">
        <f>INDIRECT(ADDRESS(1830,25))+INDIRECT(ADDRESS(1828,26))-INDIRECT(ADDRESS(1829,26))</f>
        <v>0</v>
      </c>
      <c r="AA1830">
        <f>INDIRECT(ADDRESS(1830,26))+INDIRECT(ADDRESS(1828,27))-INDIRECT(ADDRESS(1829,27))</f>
        <v>0</v>
      </c>
      <c r="AB1830">
        <f>INDIRECT(ADDRESS(1830,27))+INDIRECT(ADDRESS(1828,28))-INDIRECT(ADDRESS(1829,28))</f>
        <v>0</v>
      </c>
      <c r="AC1830">
        <f>INDIRECT(ADDRESS(1830,28))+INDIRECT(ADDRESS(1828,29))-INDIRECT(ADDRESS(1829,29))</f>
        <v>0</v>
      </c>
      <c r="AD1830">
        <f>INDIRECT(ADDRESS(1830,29))+INDIRECT(ADDRESS(1828,30))-INDIRECT(ADDRESS(1829,30))</f>
        <v>0</v>
      </c>
      <c r="AE1830">
        <f>INDIRECT(ADDRESS(1830,30))+INDIRECT(ADDRESS(1828,31))-INDIRECT(ADDRESS(1829,31))</f>
        <v>0</v>
      </c>
      <c r="AF1830">
        <f>INDIRECT(ADDRESS(1830,31))+INDIRECT(ADDRESS(1828,32))-INDIRECT(ADDRESS(1829,32))</f>
        <v>0</v>
      </c>
      <c r="AG1830">
        <f>INDIRECT(ADDRESS(1830,32))+INDIRECT(ADDRESS(1828,33))-INDIRECT(ADDRESS(1829,33))</f>
        <v>0</v>
      </c>
      <c r="AH1830">
        <f>INDIRECT(ADDRESS(1830,33))+INDIRECT(ADDRESS(1828,34))-INDIRECT(ADDRESS(1829,34))</f>
        <v>0</v>
      </c>
      <c r="AI1830">
        <f>INDIRECT(ADDRESS(1830,34))+INDIRECT(ADDRESS(1828,35))-INDIRECT(ADDRESS(1829,35))</f>
        <v>0</v>
      </c>
      <c r="AJ1830">
        <f>INDIRECT(ADDRESS(1830,35))+INDIRECT(ADDRESS(1828,36))-INDIRECT(ADDRESS(1829,36))</f>
        <v>0</v>
      </c>
      <c r="AK1830">
        <f>INDIRECT(ADDRESS(1830,36))+INDIRECT(ADDRESS(1828,37))-INDIRECT(ADDRESS(1829,37))</f>
        <v>0</v>
      </c>
      <c r="AL1830">
        <f>INDIRECT(ADDRESS(1830,37))+INDIRECT(ADDRESS(1828,38))-INDIRECT(ADDRESS(1829,38))</f>
        <v>0</v>
      </c>
      <c r="AM1830">
        <f>INDIRECT(ADDRESS(1830,38))+INDIRECT(ADDRESS(1828,39))-INDIRECT(ADDRESS(1829,39))</f>
        <v>0</v>
      </c>
      <c r="AN1830">
        <f>INDIRECT(ADDRESS(1830,39))+INDIRECT(ADDRESS(1828,40))-INDIRECT(ADDRESS(1829,40))</f>
        <v>0</v>
      </c>
      <c r="AO1830">
        <f>SUM(INDIRECT(ADDRESS(1829,8)):INDIRECT(ADDRESS(1829,39)))</f>
        <v>0</v>
      </c>
    </row>
    <row r="1831" spans="1:41">
      <c r="A1831" t="s">
        <v>185</v>
      </c>
      <c r="B1831" t="s">
        <v>842</v>
      </c>
      <c r="C1831" t="s">
        <v>843</v>
      </c>
      <c r="E1831">
        <v>1</v>
      </c>
      <c r="I1831" t="s">
        <v>177</v>
      </c>
    </row>
    <row r="1832" spans="1:41">
      <c r="I1832" t="s">
        <v>178</v>
      </c>
      <c r="J1832">
        <f>IFERROR(VLOOKUP("906-338348-110",B:AB,1+8,0),0)</f>
        <v>0</v>
      </c>
      <c r="K1832">
        <f>IFERROR(VLOOKUP("906-338348-110",B:AB,2+8,0),0)</f>
        <v>0</v>
      </c>
      <c r="L1832">
        <f>IFERROR(VLOOKUP("906-338348-110",B:AB,3+8,0),0)</f>
        <v>0</v>
      </c>
      <c r="M1832">
        <f>IFERROR(VLOOKUP("906-338348-110",B:AB,4+8,0),0)</f>
        <v>0</v>
      </c>
      <c r="N1832">
        <f>IFERROR(VLOOKUP("906-338348-110",B:AB,5+8,0),0)</f>
        <v>0</v>
      </c>
      <c r="O1832">
        <f>IFERROR(VLOOKUP("906-338348-110",B:AB,6+8,0),0)</f>
        <v>0</v>
      </c>
      <c r="P1832">
        <f>IFERROR(VLOOKUP("906-338348-110",B:AB,7+8,0),0)</f>
        <v>0</v>
      </c>
      <c r="Q1832">
        <f>IFERROR(VLOOKUP("906-338348-110",B:AB,8+8,0),0)</f>
        <v>0</v>
      </c>
      <c r="R1832">
        <f>IFERROR(VLOOKUP("906-338348-110",B:AB,9+8,0),0)</f>
        <v>0</v>
      </c>
      <c r="S1832">
        <f>IFERROR(VLOOKUP("906-338348-110",B:AB,10+8,0),0)</f>
        <v>0</v>
      </c>
      <c r="T1832">
        <f>IFERROR(VLOOKUP("906-338348-110",B:AB,11+8,0),0)</f>
        <v>0</v>
      </c>
      <c r="U1832">
        <f>IFERROR(VLOOKUP("906-338348-110",B:AB,12+8,0),0)</f>
        <v>0</v>
      </c>
      <c r="V1832">
        <f>IFERROR(VLOOKUP("906-338348-110",B:AB,13+8,0),0)</f>
        <v>0</v>
      </c>
      <c r="W1832">
        <f>IFERROR(VLOOKUP("906-338348-110",B:AB,14+8,0),0)</f>
        <v>0</v>
      </c>
      <c r="X1832">
        <f>IFERROR(VLOOKUP("906-338348-110",B:AB,15+8,0),0)</f>
        <v>0</v>
      </c>
      <c r="Y1832">
        <f>IFERROR(VLOOKUP("906-338348-110",B:AB,16+8,0),0)</f>
        <v>0</v>
      </c>
      <c r="Z1832">
        <f>IFERROR(VLOOKUP("906-338348-110",B:AB,17+8,0),0)</f>
        <v>0</v>
      </c>
      <c r="AA1832">
        <f>IFERROR(VLOOKUP("906-338348-110",B:AB,18+8,0),0)</f>
        <v>0</v>
      </c>
      <c r="AB1832">
        <f>IFERROR(VLOOKUP("906-338348-110",B:AB,19+8,0),0)</f>
        <v>0</v>
      </c>
      <c r="AC1832">
        <f>IFERROR(VLOOKUP("906-338348-110",B:AB,20+8,0),0)</f>
        <v>0</v>
      </c>
      <c r="AD1832">
        <f>IFERROR(VLOOKUP("906-338348-110",B:AB,21+8,0),0)</f>
        <v>0</v>
      </c>
      <c r="AE1832">
        <f>IFERROR(VLOOKUP("906-338348-110",B:AB,22+8,0),0)</f>
        <v>0</v>
      </c>
      <c r="AF1832">
        <f>IFERROR(VLOOKUP("906-338348-110",B:AB,23+8,0),0)</f>
        <v>0</v>
      </c>
      <c r="AG1832">
        <f>IFERROR(VLOOKUP("906-338348-110",B:AB,24+8,0),0)</f>
        <v>0</v>
      </c>
      <c r="AH1832">
        <f>IFERROR(VLOOKUP("906-338348-110",B:AB,25+8,0),0)</f>
        <v>0</v>
      </c>
      <c r="AI1832">
        <f>IFERROR(VLOOKUP("906-338348-110",B:AB,26+8,0),0)</f>
        <v>0</v>
      </c>
      <c r="AJ1832">
        <f>IFERROR(VLOOKUP("906-338348-110",B:AB,27+8,0),0)</f>
        <v>0</v>
      </c>
      <c r="AK1832">
        <f>IFERROR(VLOOKUP("906-338348-110",B:AB,28+8,0),0)</f>
        <v>0</v>
      </c>
      <c r="AL1832">
        <f>IFERROR(VLOOKUP("906-338348-110",B:AB,29+8,0),0)</f>
        <v>0</v>
      </c>
      <c r="AM1832">
        <f>IFERROR(VLOOKUP("906-338348-110",B:AB,30+8,0),0)</f>
        <v>0</v>
      </c>
      <c r="AN1832">
        <f>IFERROR(VLOOKUP("906-338348-110",B:AB,31+8,0),0)</f>
        <v>0</v>
      </c>
      <c r="AO1832">
        <f>SUN(INDIRECT(ADDRESS(1831,8)):INDIRECT(ADDRESS(1831,39)))</f>
        <v>0</v>
      </c>
    </row>
    <row r="1833" spans="1:41">
      <c r="H1833" t="s">
        <v>179</v>
      </c>
      <c r="J1833">
        <f>INDIRECT(ADDRESS(1833,9))+INDIRECT(ADDRESS(1831,10))-INDIRECT(ADDRESS(1832,10))</f>
        <v>0</v>
      </c>
      <c r="K1833">
        <f>INDIRECT(ADDRESS(1833,10))+INDIRECT(ADDRESS(1831,11))-INDIRECT(ADDRESS(1832,11))</f>
        <v>0</v>
      </c>
      <c r="L1833">
        <f>INDIRECT(ADDRESS(1833,11))+INDIRECT(ADDRESS(1831,12))-INDIRECT(ADDRESS(1832,12))</f>
        <v>0</v>
      </c>
      <c r="M1833">
        <f>INDIRECT(ADDRESS(1833,12))+INDIRECT(ADDRESS(1831,13))-INDIRECT(ADDRESS(1832,13))</f>
        <v>0</v>
      </c>
      <c r="N1833">
        <f>INDIRECT(ADDRESS(1833,13))+INDIRECT(ADDRESS(1831,14))-INDIRECT(ADDRESS(1832,14))</f>
        <v>0</v>
      </c>
      <c r="O1833">
        <f>INDIRECT(ADDRESS(1833,14))+INDIRECT(ADDRESS(1831,15))-INDIRECT(ADDRESS(1832,15))</f>
        <v>0</v>
      </c>
      <c r="P1833">
        <f>INDIRECT(ADDRESS(1833,15))+INDIRECT(ADDRESS(1831,16))-INDIRECT(ADDRESS(1832,16))</f>
        <v>0</v>
      </c>
      <c r="Q1833">
        <f>INDIRECT(ADDRESS(1833,16))+INDIRECT(ADDRESS(1831,17))-INDIRECT(ADDRESS(1832,17))</f>
        <v>0</v>
      </c>
      <c r="R1833">
        <f>INDIRECT(ADDRESS(1833,17))+INDIRECT(ADDRESS(1831,18))-INDIRECT(ADDRESS(1832,18))</f>
        <v>0</v>
      </c>
      <c r="S1833">
        <f>INDIRECT(ADDRESS(1833,18))+INDIRECT(ADDRESS(1831,19))-INDIRECT(ADDRESS(1832,19))</f>
        <v>0</v>
      </c>
      <c r="T1833">
        <f>INDIRECT(ADDRESS(1833,19))+INDIRECT(ADDRESS(1831,20))-INDIRECT(ADDRESS(1832,20))</f>
        <v>0</v>
      </c>
      <c r="U1833">
        <f>INDIRECT(ADDRESS(1833,20))+INDIRECT(ADDRESS(1831,21))-INDIRECT(ADDRESS(1832,21))</f>
        <v>0</v>
      </c>
      <c r="V1833">
        <f>INDIRECT(ADDRESS(1833,21))+INDIRECT(ADDRESS(1831,22))-INDIRECT(ADDRESS(1832,22))</f>
        <v>0</v>
      </c>
      <c r="W1833">
        <f>INDIRECT(ADDRESS(1833,22))+INDIRECT(ADDRESS(1831,23))-INDIRECT(ADDRESS(1832,23))</f>
        <v>0</v>
      </c>
      <c r="X1833">
        <f>INDIRECT(ADDRESS(1833,23))+INDIRECT(ADDRESS(1831,24))-INDIRECT(ADDRESS(1832,24))</f>
        <v>0</v>
      </c>
      <c r="Y1833">
        <f>INDIRECT(ADDRESS(1833,24))+INDIRECT(ADDRESS(1831,25))-INDIRECT(ADDRESS(1832,25))</f>
        <v>0</v>
      </c>
      <c r="Z1833">
        <f>INDIRECT(ADDRESS(1833,25))+INDIRECT(ADDRESS(1831,26))-INDIRECT(ADDRESS(1832,26))</f>
        <v>0</v>
      </c>
      <c r="AA1833">
        <f>INDIRECT(ADDRESS(1833,26))+INDIRECT(ADDRESS(1831,27))-INDIRECT(ADDRESS(1832,27))</f>
        <v>0</v>
      </c>
      <c r="AB1833">
        <f>INDIRECT(ADDRESS(1833,27))+INDIRECT(ADDRESS(1831,28))-INDIRECT(ADDRESS(1832,28))</f>
        <v>0</v>
      </c>
      <c r="AC1833">
        <f>INDIRECT(ADDRESS(1833,28))+INDIRECT(ADDRESS(1831,29))-INDIRECT(ADDRESS(1832,29))</f>
        <v>0</v>
      </c>
      <c r="AD1833">
        <f>INDIRECT(ADDRESS(1833,29))+INDIRECT(ADDRESS(1831,30))-INDIRECT(ADDRESS(1832,30))</f>
        <v>0</v>
      </c>
      <c r="AE1833">
        <f>INDIRECT(ADDRESS(1833,30))+INDIRECT(ADDRESS(1831,31))-INDIRECT(ADDRESS(1832,31))</f>
        <v>0</v>
      </c>
      <c r="AF1833">
        <f>INDIRECT(ADDRESS(1833,31))+INDIRECT(ADDRESS(1831,32))-INDIRECT(ADDRESS(1832,32))</f>
        <v>0</v>
      </c>
      <c r="AG1833">
        <f>INDIRECT(ADDRESS(1833,32))+INDIRECT(ADDRESS(1831,33))-INDIRECT(ADDRESS(1832,33))</f>
        <v>0</v>
      </c>
      <c r="AH1833">
        <f>INDIRECT(ADDRESS(1833,33))+INDIRECT(ADDRESS(1831,34))-INDIRECT(ADDRESS(1832,34))</f>
        <v>0</v>
      </c>
      <c r="AI1833">
        <f>INDIRECT(ADDRESS(1833,34))+INDIRECT(ADDRESS(1831,35))-INDIRECT(ADDRESS(1832,35))</f>
        <v>0</v>
      </c>
      <c r="AJ1833">
        <f>INDIRECT(ADDRESS(1833,35))+INDIRECT(ADDRESS(1831,36))-INDIRECT(ADDRESS(1832,36))</f>
        <v>0</v>
      </c>
      <c r="AK1833">
        <f>INDIRECT(ADDRESS(1833,36))+INDIRECT(ADDRESS(1831,37))-INDIRECT(ADDRESS(1832,37))</f>
        <v>0</v>
      </c>
      <c r="AL1833">
        <f>INDIRECT(ADDRESS(1833,37))+INDIRECT(ADDRESS(1831,38))-INDIRECT(ADDRESS(1832,38))</f>
        <v>0</v>
      </c>
      <c r="AM1833">
        <f>INDIRECT(ADDRESS(1833,38))+INDIRECT(ADDRESS(1831,39))-INDIRECT(ADDRESS(1832,39))</f>
        <v>0</v>
      </c>
      <c r="AN1833">
        <f>INDIRECT(ADDRESS(1833,39))+INDIRECT(ADDRESS(1831,40))-INDIRECT(ADDRESS(1832,40))</f>
        <v>0</v>
      </c>
      <c r="AO1833">
        <f>SUM(INDIRECT(ADDRESS(1832,8)):INDIRECT(ADDRESS(1832,39)))</f>
        <v>0</v>
      </c>
    </row>
    <row r="1834" spans="1:41">
      <c r="A1834" t="s">
        <v>185</v>
      </c>
      <c r="B1834" t="s">
        <v>160</v>
      </c>
      <c r="C1834" t="s">
        <v>845</v>
      </c>
      <c r="E1834">
        <v>0.003</v>
      </c>
      <c r="I1834" t="s">
        <v>177</v>
      </c>
    </row>
    <row r="1835" spans="1:41">
      <c r="I1835" t="s">
        <v>178</v>
      </c>
      <c r="J1835">
        <f>IFERROR(VLOOKUP("906-338348-110",B:AB,1+8,0),0)</f>
        <v>0</v>
      </c>
      <c r="K1835">
        <f>IFERROR(VLOOKUP("906-338348-110",B:AB,2+8,0),0)</f>
        <v>0</v>
      </c>
      <c r="L1835">
        <f>IFERROR(VLOOKUP("906-338348-110",B:AB,3+8,0),0)</f>
        <v>0</v>
      </c>
      <c r="M1835">
        <f>IFERROR(VLOOKUP("906-338348-110",B:AB,4+8,0),0)</f>
        <v>0</v>
      </c>
      <c r="N1835">
        <f>IFERROR(VLOOKUP("906-338348-110",B:AB,5+8,0),0)</f>
        <v>0</v>
      </c>
      <c r="O1835">
        <f>IFERROR(VLOOKUP("906-338348-110",B:AB,6+8,0),0)</f>
        <v>0</v>
      </c>
      <c r="P1835">
        <f>IFERROR(VLOOKUP("906-338348-110",B:AB,7+8,0),0)</f>
        <v>0</v>
      </c>
      <c r="Q1835">
        <f>IFERROR(VLOOKUP("906-338348-110",B:AB,8+8,0),0)</f>
        <v>0</v>
      </c>
      <c r="R1835">
        <f>IFERROR(VLOOKUP("906-338348-110",B:AB,9+8,0),0)</f>
        <v>0</v>
      </c>
      <c r="S1835">
        <f>IFERROR(VLOOKUP("906-338348-110",B:AB,10+8,0),0)</f>
        <v>0</v>
      </c>
      <c r="T1835">
        <f>IFERROR(VLOOKUP("906-338348-110",B:AB,11+8,0),0)</f>
        <v>0</v>
      </c>
      <c r="U1835">
        <f>IFERROR(VLOOKUP("906-338348-110",B:AB,12+8,0),0)</f>
        <v>0</v>
      </c>
      <c r="V1835">
        <f>IFERROR(VLOOKUP("906-338348-110",B:AB,13+8,0),0)</f>
        <v>0</v>
      </c>
      <c r="W1835">
        <f>IFERROR(VLOOKUP("906-338348-110",B:AB,14+8,0),0)</f>
        <v>0</v>
      </c>
      <c r="X1835">
        <f>IFERROR(VLOOKUP("906-338348-110",B:AB,15+8,0),0)</f>
        <v>0</v>
      </c>
      <c r="Y1835">
        <f>IFERROR(VLOOKUP("906-338348-110",B:AB,16+8,0),0)</f>
        <v>0</v>
      </c>
      <c r="Z1835">
        <f>IFERROR(VLOOKUP("906-338348-110",B:AB,17+8,0),0)</f>
        <v>0</v>
      </c>
      <c r="AA1835">
        <f>IFERROR(VLOOKUP("906-338348-110",B:AB,18+8,0),0)</f>
        <v>0</v>
      </c>
      <c r="AB1835">
        <f>IFERROR(VLOOKUP("906-338348-110",B:AB,19+8,0),0)</f>
        <v>0</v>
      </c>
      <c r="AC1835">
        <f>IFERROR(VLOOKUP("906-338348-110",B:AB,20+8,0),0)</f>
        <v>0</v>
      </c>
      <c r="AD1835">
        <f>IFERROR(VLOOKUP("906-338348-110",B:AB,21+8,0),0)</f>
        <v>0</v>
      </c>
      <c r="AE1835">
        <f>IFERROR(VLOOKUP("906-338348-110",B:AB,22+8,0),0)</f>
        <v>0</v>
      </c>
      <c r="AF1835">
        <f>IFERROR(VLOOKUP("906-338348-110",B:AB,23+8,0),0)</f>
        <v>0</v>
      </c>
      <c r="AG1835">
        <f>IFERROR(VLOOKUP("906-338348-110",B:AB,24+8,0),0)</f>
        <v>0</v>
      </c>
      <c r="AH1835">
        <f>IFERROR(VLOOKUP("906-338348-110",B:AB,25+8,0),0)</f>
        <v>0</v>
      </c>
      <c r="AI1835">
        <f>IFERROR(VLOOKUP("906-338348-110",B:AB,26+8,0),0)</f>
        <v>0</v>
      </c>
      <c r="AJ1835">
        <f>IFERROR(VLOOKUP("906-338348-110",B:AB,27+8,0),0)</f>
        <v>0</v>
      </c>
      <c r="AK1835">
        <f>IFERROR(VLOOKUP("906-338348-110",B:AB,28+8,0),0)</f>
        <v>0</v>
      </c>
      <c r="AL1835">
        <f>IFERROR(VLOOKUP("906-338348-110",B:AB,29+8,0),0)</f>
        <v>0</v>
      </c>
      <c r="AM1835">
        <f>IFERROR(VLOOKUP("906-338348-110",B:AB,30+8,0),0)</f>
        <v>0</v>
      </c>
      <c r="AN1835">
        <f>IFERROR(VLOOKUP("906-338348-110",B:AB,31+8,0),0)</f>
        <v>0</v>
      </c>
      <c r="AO1835">
        <f>SUN(INDIRECT(ADDRESS(1834,8)):INDIRECT(ADDRESS(1834,39)))</f>
        <v>0</v>
      </c>
    </row>
    <row r="1836" spans="1:41">
      <c r="H1836" t="s">
        <v>179</v>
      </c>
      <c r="J1836">
        <f>INDIRECT(ADDRESS(1836,9))+INDIRECT(ADDRESS(1834,10))-INDIRECT(ADDRESS(1835,10))</f>
        <v>0</v>
      </c>
      <c r="K1836">
        <f>INDIRECT(ADDRESS(1836,10))+INDIRECT(ADDRESS(1834,11))-INDIRECT(ADDRESS(1835,11))</f>
        <v>0</v>
      </c>
      <c r="L1836">
        <f>INDIRECT(ADDRESS(1836,11))+INDIRECT(ADDRESS(1834,12))-INDIRECT(ADDRESS(1835,12))</f>
        <v>0</v>
      </c>
      <c r="M1836">
        <f>INDIRECT(ADDRESS(1836,12))+INDIRECT(ADDRESS(1834,13))-INDIRECT(ADDRESS(1835,13))</f>
        <v>0</v>
      </c>
      <c r="N1836">
        <f>INDIRECT(ADDRESS(1836,13))+INDIRECT(ADDRESS(1834,14))-INDIRECT(ADDRESS(1835,14))</f>
        <v>0</v>
      </c>
      <c r="O1836">
        <f>INDIRECT(ADDRESS(1836,14))+INDIRECT(ADDRESS(1834,15))-INDIRECT(ADDRESS(1835,15))</f>
        <v>0</v>
      </c>
      <c r="P1836">
        <f>INDIRECT(ADDRESS(1836,15))+INDIRECT(ADDRESS(1834,16))-INDIRECT(ADDRESS(1835,16))</f>
        <v>0</v>
      </c>
      <c r="Q1836">
        <f>INDIRECT(ADDRESS(1836,16))+INDIRECT(ADDRESS(1834,17))-INDIRECT(ADDRESS(1835,17))</f>
        <v>0</v>
      </c>
      <c r="R1836">
        <f>INDIRECT(ADDRESS(1836,17))+INDIRECT(ADDRESS(1834,18))-INDIRECT(ADDRESS(1835,18))</f>
        <v>0</v>
      </c>
      <c r="S1836">
        <f>INDIRECT(ADDRESS(1836,18))+INDIRECT(ADDRESS(1834,19))-INDIRECT(ADDRESS(1835,19))</f>
        <v>0</v>
      </c>
      <c r="T1836">
        <f>INDIRECT(ADDRESS(1836,19))+INDIRECT(ADDRESS(1834,20))-INDIRECT(ADDRESS(1835,20))</f>
        <v>0</v>
      </c>
      <c r="U1836">
        <f>INDIRECT(ADDRESS(1836,20))+INDIRECT(ADDRESS(1834,21))-INDIRECT(ADDRESS(1835,21))</f>
        <v>0</v>
      </c>
      <c r="V1836">
        <f>INDIRECT(ADDRESS(1836,21))+INDIRECT(ADDRESS(1834,22))-INDIRECT(ADDRESS(1835,22))</f>
        <v>0</v>
      </c>
      <c r="W1836">
        <f>INDIRECT(ADDRESS(1836,22))+INDIRECT(ADDRESS(1834,23))-INDIRECT(ADDRESS(1835,23))</f>
        <v>0</v>
      </c>
      <c r="X1836">
        <f>INDIRECT(ADDRESS(1836,23))+INDIRECT(ADDRESS(1834,24))-INDIRECT(ADDRESS(1835,24))</f>
        <v>0</v>
      </c>
      <c r="Y1836">
        <f>INDIRECT(ADDRESS(1836,24))+INDIRECT(ADDRESS(1834,25))-INDIRECT(ADDRESS(1835,25))</f>
        <v>0</v>
      </c>
      <c r="Z1836">
        <f>INDIRECT(ADDRESS(1836,25))+INDIRECT(ADDRESS(1834,26))-INDIRECT(ADDRESS(1835,26))</f>
        <v>0</v>
      </c>
      <c r="AA1836">
        <f>INDIRECT(ADDRESS(1836,26))+INDIRECT(ADDRESS(1834,27))-INDIRECT(ADDRESS(1835,27))</f>
        <v>0</v>
      </c>
      <c r="AB1836">
        <f>INDIRECT(ADDRESS(1836,27))+INDIRECT(ADDRESS(1834,28))-INDIRECT(ADDRESS(1835,28))</f>
        <v>0</v>
      </c>
      <c r="AC1836">
        <f>INDIRECT(ADDRESS(1836,28))+INDIRECT(ADDRESS(1834,29))-INDIRECT(ADDRESS(1835,29))</f>
        <v>0</v>
      </c>
      <c r="AD1836">
        <f>INDIRECT(ADDRESS(1836,29))+INDIRECT(ADDRESS(1834,30))-INDIRECT(ADDRESS(1835,30))</f>
        <v>0</v>
      </c>
      <c r="AE1836">
        <f>INDIRECT(ADDRESS(1836,30))+INDIRECT(ADDRESS(1834,31))-INDIRECT(ADDRESS(1835,31))</f>
        <v>0</v>
      </c>
      <c r="AF1836">
        <f>INDIRECT(ADDRESS(1836,31))+INDIRECT(ADDRESS(1834,32))-INDIRECT(ADDRESS(1835,32))</f>
        <v>0</v>
      </c>
      <c r="AG1836">
        <f>INDIRECT(ADDRESS(1836,32))+INDIRECT(ADDRESS(1834,33))-INDIRECT(ADDRESS(1835,33))</f>
        <v>0</v>
      </c>
      <c r="AH1836">
        <f>INDIRECT(ADDRESS(1836,33))+INDIRECT(ADDRESS(1834,34))-INDIRECT(ADDRESS(1835,34))</f>
        <v>0</v>
      </c>
      <c r="AI1836">
        <f>INDIRECT(ADDRESS(1836,34))+INDIRECT(ADDRESS(1834,35))-INDIRECT(ADDRESS(1835,35))</f>
        <v>0</v>
      </c>
      <c r="AJ1836">
        <f>INDIRECT(ADDRESS(1836,35))+INDIRECT(ADDRESS(1834,36))-INDIRECT(ADDRESS(1835,36))</f>
        <v>0</v>
      </c>
      <c r="AK1836">
        <f>INDIRECT(ADDRESS(1836,36))+INDIRECT(ADDRESS(1834,37))-INDIRECT(ADDRESS(1835,37))</f>
        <v>0</v>
      </c>
      <c r="AL1836">
        <f>INDIRECT(ADDRESS(1836,37))+INDIRECT(ADDRESS(1834,38))-INDIRECT(ADDRESS(1835,38))</f>
        <v>0</v>
      </c>
      <c r="AM1836">
        <f>INDIRECT(ADDRESS(1836,38))+INDIRECT(ADDRESS(1834,39))-INDIRECT(ADDRESS(1835,39))</f>
        <v>0</v>
      </c>
      <c r="AN1836">
        <f>INDIRECT(ADDRESS(1836,39))+INDIRECT(ADDRESS(1834,40))-INDIRECT(ADDRESS(1835,40))</f>
        <v>0</v>
      </c>
      <c r="AO1836">
        <f>SUM(INDIRECT(ADDRESS(1835,8)):INDIRECT(ADDRESS(1835,39)))</f>
        <v>0</v>
      </c>
    </row>
    <row r="1837" spans="1:41">
      <c r="A1837" t="s">
        <v>8</v>
      </c>
      <c r="B1837" t="s">
        <v>155</v>
      </c>
      <c r="C1837" t="s">
        <v>153</v>
      </c>
      <c r="E1837">
        <v>0.003</v>
      </c>
      <c r="I1837" t="s">
        <v>177</v>
      </c>
    </row>
    <row r="1838" spans="1:41">
      <c r="I1838" t="s">
        <v>178</v>
      </c>
      <c r="J1838">
        <f>IFERROR(VLOOKUP("906-339000-210",Out!B:AB,1+8,0),0)</f>
        <v>0</v>
      </c>
      <c r="K1838">
        <f>IFERROR(VLOOKUP("906-339000-210",Out!B:AB,2+8,0),0)</f>
        <v>0</v>
      </c>
      <c r="L1838">
        <f>IFERROR(VLOOKUP("906-339000-210",Out!B:AB,3+8,0),0)</f>
        <v>0</v>
      </c>
      <c r="M1838">
        <f>IFERROR(VLOOKUP("906-339000-210",Out!B:AB,4+8,0),0)</f>
        <v>0</v>
      </c>
      <c r="N1838">
        <f>IFERROR(VLOOKUP("906-339000-210",Out!B:AB,5+8,0),0)</f>
        <v>0</v>
      </c>
      <c r="O1838">
        <f>IFERROR(VLOOKUP("906-339000-210",Out!B:AB,6+8,0),0)</f>
        <v>0</v>
      </c>
      <c r="P1838">
        <f>IFERROR(VLOOKUP("906-339000-210",Out!B:AB,7+8,0),0)</f>
        <v>0</v>
      </c>
      <c r="Q1838">
        <f>IFERROR(VLOOKUP("906-339000-210",Out!B:AB,8+8,0),0)</f>
        <v>0</v>
      </c>
      <c r="R1838">
        <f>IFERROR(VLOOKUP("906-339000-210",Out!B:AB,9+8,0),0)</f>
        <v>0</v>
      </c>
      <c r="S1838">
        <f>IFERROR(VLOOKUP("906-339000-210",Out!B:AB,10+8,0),0)</f>
        <v>0</v>
      </c>
      <c r="T1838">
        <f>IFERROR(VLOOKUP("906-339000-210",Out!B:AB,11+8,0),0)</f>
        <v>0</v>
      </c>
      <c r="U1838">
        <f>IFERROR(VLOOKUP("906-339000-210",Out!B:AB,12+8,0),0)</f>
        <v>0</v>
      </c>
      <c r="V1838">
        <f>IFERROR(VLOOKUP("906-339000-210",Out!B:AB,13+8,0),0)</f>
        <v>0</v>
      </c>
      <c r="W1838">
        <f>IFERROR(VLOOKUP("906-339000-210",Out!B:AB,14+8,0),0)</f>
        <v>0</v>
      </c>
      <c r="X1838">
        <f>IFERROR(VLOOKUP("906-339000-210",Out!B:AB,15+8,0),0)</f>
        <v>0</v>
      </c>
      <c r="Y1838">
        <f>IFERROR(VLOOKUP("906-339000-210",Out!B:AB,16+8,0),0)</f>
        <v>0</v>
      </c>
      <c r="Z1838">
        <f>IFERROR(VLOOKUP("906-339000-210",Out!B:AB,17+8,0),0)</f>
        <v>0</v>
      </c>
      <c r="AA1838">
        <f>IFERROR(VLOOKUP("906-339000-210",Out!B:AB,18+8,0),0)</f>
        <v>0</v>
      </c>
      <c r="AB1838">
        <f>IFERROR(VLOOKUP("906-339000-210",Out!B:AB,19+8,0),0)</f>
        <v>0</v>
      </c>
      <c r="AC1838">
        <f>IFERROR(VLOOKUP("906-339000-210",Out!B:AB,20+8,0),0)</f>
        <v>0</v>
      </c>
      <c r="AD1838">
        <f>IFERROR(VLOOKUP("906-339000-210",Out!B:AB,21+8,0),0)</f>
        <v>0</v>
      </c>
      <c r="AE1838">
        <f>IFERROR(VLOOKUP("906-339000-210",Out!B:AB,22+8,0),0)</f>
        <v>0</v>
      </c>
      <c r="AF1838">
        <f>IFERROR(VLOOKUP("906-339000-210",Out!B:AB,23+8,0),0)</f>
        <v>0</v>
      </c>
      <c r="AG1838">
        <f>IFERROR(VLOOKUP("906-339000-210",Out!B:AB,24+8,0),0)</f>
        <v>0</v>
      </c>
      <c r="AH1838">
        <f>IFERROR(VLOOKUP("906-339000-210",Out!B:AB,25+8,0),0)</f>
        <v>0</v>
      </c>
      <c r="AI1838">
        <f>IFERROR(VLOOKUP("906-339000-210",Out!B:AB,26+8,0),0)</f>
        <v>0</v>
      </c>
      <c r="AJ1838">
        <f>IFERROR(VLOOKUP("906-339000-210",Out!B:AB,27+8,0),0)</f>
        <v>0</v>
      </c>
      <c r="AK1838">
        <f>IFERROR(VLOOKUP("906-339000-210",Out!B:AB,28+8,0),0)</f>
        <v>0</v>
      </c>
      <c r="AL1838">
        <f>IFERROR(VLOOKUP("906-339000-210",Out!B:AB,29+8,0),0)</f>
        <v>0</v>
      </c>
      <c r="AM1838">
        <f>IFERROR(VLOOKUP("906-339000-210",Out!B:AB,30+8,0),0)</f>
        <v>0</v>
      </c>
      <c r="AN1838">
        <f>IFERROR(VLOOKUP("906-339000-210",Out!B:AB,31+8,0),0)</f>
        <v>0</v>
      </c>
      <c r="AO1838">
        <f>SUN(INDIRECT(ADDRESS(1837,8)):INDIRECT(ADDRESS(1837,39)))</f>
        <v>0</v>
      </c>
    </row>
    <row r="1839" spans="1:41">
      <c r="H1839" t="s">
        <v>179</v>
      </c>
      <c r="J1839">
        <f>INDIRECT(ADDRESS(1839,9))+INDIRECT(ADDRESS(1837,10))-INDIRECT(ADDRESS(1838,10))</f>
        <v>0</v>
      </c>
      <c r="K1839">
        <f>INDIRECT(ADDRESS(1839,10))+INDIRECT(ADDRESS(1837,11))-INDIRECT(ADDRESS(1838,11))</f>
        <v>0</v>
      </c>
      <c r="L1839">
        <f>INDIRECT(ADDRESS(1839,11))+INDIRECT(ADDRESS(1837,12))-INDIRECT(ADDRESS(1838,12))</f>
        <v>0</v>
      </c>
      <c r="M1839">
        <f>INDIRECT(ADDRESS(1839,12))+INDIRECT(ADDRESS(1837,13))-INDIRECT(ADDRESS(1838,13))</f>
        <v>0</v>
      </c>
      <c r="N1839">
        <f>INDIRECT(ADDRESS(1839,13))+INDIRECT(ADDRESS(1837,14))-INDIRECT(ADDRESS(1838,14))</f>
        <v>0</v>
      </c>
      <c r="O1839">
        <f>INDIRECT(ADDRESS(1839,14))+INDIRECT(ADDRESS(1837,15))-INDIRECT(ADDRESS(1838,15))</f>
        <v>0</v>
      </c>
      <c r="P1839">
        <f>INDIRECT(ADDRESS(1839,15))+INDIRECT(ADDRESS(1837,16))-INDIRECT(ADDRESS(1838,16))</f>
        <v>0</v>
      </c>
      <c r="Q1839">
        <f>INDIRECT(ADDRESS(1839,16))+INDIRECT(ADDRESS(1837,17))-INDIRECT(ADDRESS(1838,17))</f>
        <v>0</v>
      </c>
      <c r="R1839">
        <f>INDIRECT(ADDRESS(1839,17))+INDIRECT(ADDRESS(1837,18))-INDIRECT(ADDRESS(1838,18))</f>
        <v>0</v>
      </c>
      <c r="S1839">
        <f>INDIRECT(ADDRESS(1839,18))+INDIRECT(ADDRESS(1837,19))-INDIRECT(ADDRESS(1838,19))</f>
        <v>0</v>
      </c>
      <c r="T1839">
        <f>INDIRECT(ADDRESS(1839,19))+INDIRECT(ADDRESS(1837,20))-INDIRECT(ADDRESS(1838,20))</f>
        <v>0</v>
      </c>
      <c r="U1839">
        <f>INDIRECT(ADDRESS(1839,20))+INDIRECT(ADDRESS(1837,21))-INDIRECT(ADDRESS(1838,21))</f>
        <v>0</v>
      </c>
      <c r="V1839">
        <f>INDIRECT(ADDRESS(1839,21))+INDIRECT(ADDRESS(1837,22))-INDIRECT(ADDRESS(1838,22))</f>
        <v>0</v>
      </c>
      <c r="W1839">
        <f>INDIRECT(ADDRESS(1839,22))+INDIRECT(ADDRESS(1837,23))-INDIRECT(ADDRESS(1838,23))</f>
        <v>0</v>
      </c>
      <c r="X1839">
        <f>INDIRECT(ADDRESS(1839,23))+INDIRECT(ADDRESS(1837,24))-INDIRECT(ADDRESS(1838,24))</f>
        <v>0</v>
      </c>
      <c r="Y1839">
        <f>INDIRECT(ADDRESS(1839,24))+INDIRECT(ADDRESS(1837,25))-INDIRECT(ADDRESS(1838,25))</f>
        <v>0</v>
      </c>
      <c r="Z1839">
        <f>INDIRECT(ADDRESS(1839,25))+INDIRECT(ADDRESS(1837,26))-INDIRECT(ADDRESS(1838,26))</f>
        <v>0</v>
      </c>
      <c r="AA1839">
        <f>INDIRECT(ADDRESS(1839,26))+INDIRECT(ADDRESS(1837,27))-INDIRECT(ADDRESS(1838,27))</f>
        <v>0</v>
      </c>
      <c r="AB1839">
        <f>INDIRECT(ADDRESS(1839,27))+INDIRECT(ADDRESS(1837,28))-INDIRECT(ADDRESS(1838,28))</f>
        <v>0</v>
      </c>
      <c r="AC1839">
        <f>INDIRECT(ADDRESS(1839,28))+INDIRECT(ADDRESS(1837,29))-INDIRECT(ADDRESS(1838,29))</f>
        <v>0</v>
      </c>
      <c r="AD1839">
        <f>INDIRECT(ADDRESS(1839,29))+INDIRECT(ADDRESS(1837,30))-INDIRECT(ADDRESS(1838,30))</f>
        <v>0</v>
      </c>
      <c r="AE1839">
        <f>INDIRECT(ADDRESS(1839,30))+INDIRECT(ADDRESS(1837,31))-INDIRECT(ADDRESS(1838,31))</f>
        <v>0</v>
      </c>
      <c r="AF1839">
        <f>INDIRECT(ADDRESS(1839,31))+INDIRECT(ADDRESS(1837,32))-INDIRECT(ADDRESS(1838,32))</f>
        <v>0</v>
      </c>
      <c r="AG1839">
        <f>INDIRECT(ADDRESS(1839,32))+INDIRECT(ADDRESS(1837,33))-INDIRECT(ADDRESS(1838,33))</f>
        <v>0</v>
      </c>
      <c r="AH1839">
        <f>INDIRECT(ADDRESS(1839,33))+INDIRECT(ADDRESS(1837,34))-INDIRECT(ADDRESS(1838,34))</f>
        <v>0</v>
      </c>
      <c r="AI1839">
        <f>INDIRECT(ADDRESS(1839,34))+INDIRECT(ADDRESS(1837,35))-INDIRECT(ADDRESS(1838,35))</f>
        <v>0</v>
      </c>
      <c r="AJ1839">
        <f>INDIRECT(ADDRESS(1839,35))+INDIRECT(ADDRESS(1837,36))-INDIRECT(ADDRESS(1838,36))</f>
        <v>0</v>
      </c>
      <c r="AK1839">
        <f>INDIRECT(ADDRESS(1839,36))+INDIRECT(ADDRESS(1837,37))-INDIRECT(ADDRESS(1838,37))</f>
        <v>0</v>
      </c>
      <c r="AL1839">
        <f>INDIRECT(ADDRESS(1839,37))+INDIRECT(ADDRESS(1837,38))-INDIRECT(ADDRESS(1838,38))</f>
        <v>0</v>
      </c>
      <c r="AM1839">
        <f>INDIRECT(ADDRESS(1839,38))+INDIRECT(ADDRESS(1837,39))-INDIRECT(ADDRESS(1838,39))</f>
        <v>0</v>
      </c>
      <c r="AN1839">
        <f>INDIRECT(ADDRESS(1839,39))+INDIRECT(ADDRESS(1837,40))-INDIRECT(ADDRESS(1838,40))</f>
        <v>0</v>
      </c>
      <c r="AO1839">
        <f>SUM(INDIRECT(ADDRESS(1838,8)):INDIRECT(ADDRESS(1838,39)))</f>
        <v>0</v>
      </c>
    </row>
    <row r="1840" spans="1:41">
      <c r="A1840" t="s">
        <v>180</v>
      </c>
      <c r="B1840" t="s">
        <v>846</v>
      </c>
      <c r="C1840" t="s">
        <v>839</v>
      </c>
      <c r="E1840">
        <v>1</v>
      </c>
      <c r="I1840" t="s">
        <v>177</v>
      </c>
    </row>
    <row r="1841" spans="1:41">
      <c r="I1841" t="s">
        <v>178</v>
      </c>
      <c r="J1841">
        <f>IFERROR(VLOOKUP("906-339000-210",B:AB,1+8,0),0)</f>
        <v>0</v>
      </c>
      <c r="K1841">
        <f>IFERROR(VLOOKUP("906-339000-210",B:AB,2+8,0),0)</f>
        <v>0</v>
      </c>
      <c r="L1841">
        <f>IFERROR(VLOOKUP("906-339000-210",B:AB,3+8,0),0)</f>
        <v>0</v>
      </c>
      <c r="M1841">
        <f>IFERROR(VLOOKUP("906-339000-210",B:AB,4+8,0),0)</f>
        <v>0</v>
      </c>
      <c r="N1841">
        <f>IFERROR(VLOOKUP("906-339000-210",B:AB,5+8,0),0)</f>
        <v>0</v>
      </c>
      <c r="O1841">
        <f>IFERROR(VLOOKUP("906-339000-210",B:AB,6+8,0),0)</f>
        <v>0</v>
      </c>
      <c r="P1841">
        <f>IFERROR(VLOOKUP("906-339000-210",B:AB,7+8,0),0)</f>
        <v>0</v>
      </c>
      <c r="Q1841">
        <f>IFERROR(VLOOKUP("906-339000-210",B:AB,8+8,0),0)</f>
        <v>0</v>
      </c>
      <c r="R1841">
        <f>IFERROR(VLOOKUP("906-339000-210",B:AB,9+8,0),0)</f>
        <v>0</v>
      </c>
      <c r="S1841">
        <f>IFERROR(VLOOKUP("906-339000-210",B:AB,10+8,0),0)</f>
        <v>0</v>
      </c>
      <c r="T1841">
        <f>IFERROR(VLOOKUP("906-339000-210",B:AB,11+8,0),0)</f>
        <v>0</v>
      </c>
      <c r="U1841">
        <f>IFERROR(VLOOKUP("906-339000-210",B:AB,12+8,0),0)</f>
        <v>0</v>
      </c>
      <c r="V1841">
        <f>IFERROR(VLOOKUP("906-339000-210",B:AB,13+8,0),0)</f>
        <v>0</v>
      </c>
      <c r="W1841">
        <f>IFERROR(VLOOKUP("906-339000-210",B:AB,14+8,0),0)</f>
        <v>0</v>
      </c>
      <c r="X1841">
        <f>IFERROR(VLOOKUP("906-339000-210",B:AB,15+8,0),0)</f>
        <v>0</v>
      </c>
      <c r="Y1841">
        <f>IFERROR(VLOOKUP("906-339000-210",B:AB,16+8,0),0)</f>
        <v>0</v>
      </c>
      <c r="Z1841">
        <f>IFERROR(VLOOKUP("906-339000-210",B:AB,17+8,0),0)</f>
        <v>0</v>
      </c>
      <c r="AA1841">
        <f>IFERROR(VLOOKUP("906-339000-210",B:AB,18+8,0),0)</f>
        <v>0</v>
      </c>
      <c r="AB1841">
        <f>IFERROR(VLOOKUP("906-339000-210",B:AB,19+8,0),0)</f>
        <v>0</v>
      </c>
      <c r="AC1841">
        <f>IFERROR(VLOOKUP("906-339000-210",B:AB,20+8,0),0)</f>
        <v>0</v>
      </c>
      <c r="AD1841">
        <f>IFERROR(VLOOKUP("906-339000-210",B:AB,21+8,0),0)</f>
        <v>0</v>
      </c>
      <c r="AE1841">
        <f>IFERROR(VLOOKUP("906-339000-210",B:AB,22+8,0),0)</f>
        <v>0</v>
      </c>
      <c r="AF1841">
        <f>IFERROR(VLOOKUP("906-339000-210",B:AB,23+8,0),0)</f>
        <v>0</v>
      </c>
      <c r="AG1841">
        <f>IFERROR(VLOOKUP("906-339000-210",B:AB,24+8,0),0)</f>
        <v>0</v>
      </c>
      <c r="AH1841">
        <f>IFERROR(VLOOKUP("906-339000-210",B:AB,25+8,0),0)</f>
        <v>0</v>
      </c>
      <c r="AI1841">
        <f>IFERROR(VLOOKUP("906-339000-210",B:AB,26+8,0),0)</f>
        <v>0</v>
      </c>
      <c r="AJ1841">
        <f>IFERROR(VLOOKUP("906-339000-210",B:AB,27+8,0),0)</f>
        <v>0</v>
      </c>
      <c r="AK1841">
        <f>IFERROR(VLOOKUP("906-339000-210",B:AB,28+8,0),0)</f>
        <v>0</v>
      </c>
      <c r="AL1841">
        <f>IFERROR(VLOOKUP("906-339000-210",B:AB,29+8,0),0)</f>
        <v>0</v>
      </c>
      <c r="AM1841">
        <f>IFERROR(VLOOKUP("906-339000-210",B:AB,30+8,0),0)</f>
        <v>0</v>
      </c>
      <c r="AN1841">
        <f>IFERROR(VLOOKUP("906-339000-210",B:AB,31+8,0),0)</f>
        <v>0</v>
      </c>
      <c r="AO1841">
        <f>SUN(INDIRECT(ADDRESS(1840,8)):INDIRECT(ADDRESS(1840,39)))</f>
        <v>0</v>
      </c>
    </row>
    <row r="1842" spans="1:41">
      <c r="H1842" t="s">
        <v>179</v>
      </c>
      <c r="J1842">
        <f>INDIRECT(ADDRESS(1842,9))+INDIRECT(ADDRESS(1840,10))-INDIRECT(ADDRESS(1841,10))</f>
        <v>0</v>
      </c>
      <c r="K1842">
        <f>INDIRECT(ADDRESS(1842,10))+INDIRECT(ADDRESS(1840,11))-INDIRECT(ADDRESS(1841,11))</f>
        <v>0</v>
      </c>
      <c r="L1842">
        <f>INDIRECT(ADDRESS(1842,11))+INDIRECT(ADDRESS(1840,12))-INDIRECT(ADDRESS(1841,12))</f>
        <v>0</v>
      </c>
      <c r="M1842">
        <f>INDIRECT(ADDRESS(1842,12))+INDIRECT(ADDRESS(1840,13))-INDIRECT(ADDRESS(1841,13))</f>
        <v>0</v>
      </c>
      <c r="N1842">
        <f>INDIRECT(ADDRESS(1842,13))+INDIRECT(ADDRESS(1840,14))-INDIRECT(ADDRESS(1841,14))</f>
        <v>0</v>
      </c>
      <c r="O1842">
        <f>INDIRECT(ADDRESS(1842,14))+INDIRECT(ADDRESS(1840,15))-INDIRECT(ADDRESS(1841,15))</f>
        <v>0</v>
      </c>
      <c r="P1842">
        <f>INDIRECT(ADDRESS(1842,15))+INDIRECT(ADDRESS(1840,16))-INDIRECT(ADDRESS(1841,16))</f>
        <v>0</v>
      </c>
      <c r="Q1842">
        <f>INDIRECT(ADDRESS(1842,16))+INDIRECT(ADDRESS(1840,17))-INDIRECT(ADDRESS(1841,17))</f>
        <v>0</v>
      </c>
      <c r="R1842">
        <f>INDIRECT(ADDRESS(1842,17))+INDIRECT(ADDRESS(1840,18))-INDIRECT(ADDRESS(1841,18))</f>
        <v>0</v>
      </c>
      <c r="S1842">
        <f>INDIRECT(ADDRESS(1842,18))+INDIRECT(ADDRESS(1840,19))-INDIRECT(ADDRESS(1841,19))</f>
        <v>0</v>
      </c>
      <c r="T1842">
        <f>INDIRECT(ADDRESS(1842,19))+INDIRECT(ADDRESS(1840,20))-INDIRECT(ADDRESS(1841,20))</f>
        <v>0</v>
      </c>
      <c r="U1842">
        <f>INDIRECT(ADDRESS(1842,20))+INDIRECT(ADDRESS(1840,21))-INDIRECT(ADDRESS(1841,21))</f>
        <v>0</v>
      </c>
      <c r="V1842">
        <f>INDIRECT(ADDRESS(1842,21))+INDIRECT(ADDRESS(1840,22))-INDIRECT(ADDRESS(1841,22))</f>
        <v>0</v>
      </c>
      <c r="W1842">
        <f>INDIRECT(ADDRESS(1842,22))+INDIRECT(ADDRESS(1840,23))-INDIRECT(ADDRESS(1841,23))</f>
        <v>0</v>
      </c>
      <c r="X1842">
        <f>INDIRECT(ADDRESS(1842,23))+INDIRECT(ADDRESS(1840,24))-INDIRECT(ADDRESS(1841,24))</f>
        <v>0</v>
      </c>
      <c r="Y1842">
        <f>INDIRECT(ADDRESS(1842,24))+INDIRECT(ADDRESS(1840,25))-INDIRECT(ADDRESS(1841,25))</f>
        <v>0</v>
      </c>
      <c r="Z1842">
        <f>INDIRECT(ADDRESS(1842,25))+INDIRECT(ADDRESS(1840,26))-INDIRECT(ADDRESS(1841,26))</f>
        <v>0</v>
      </c>
      <c r="AA1842">
        <f>INDIRECT(ADDRESS(1842,26))+INDIRECT(ADDRESS(1840,27))-INDIRECT(ADDRESS(1841,27))</f>
        <v>0</v>
      </c>
      <c r="AB1842">
        <f>INDIRECT(ADDRESS(1842,27))+INDIRECT(ADDRESS(1840,28))-INDIRECT(ADDRESS(1841,28))</f>
        <v>0</v>
      </c>
      <c r="AC1842">
        <f>INDIRECT(ADDRESS(1842,28))+INDIRECT(ADDRESS(1840,29))-INDIRECT(ADDRESS(1841,29))</f>
        <v>0</v>
      </c>
      <c r="AD1842">
        <f>INDIRECT(ADDRESS(1842,29))+INDIRECT(ADDRESS(1840,30))-INDIRECT(ADDRESS(1841,30))</f>
        <v>0</v>
      </c>
      <c r="AE1842">
        <f>INDIRECT(ADDRESS(1842,30))+INDIRECT(ADDRESS(1840,31))-INDIRECT(ADDRESS(1841,31))</f>
        <v>0</v>
      </c>
      <c r="AF1842">
        <f>INDIRECT(ADDRESS(1842,31))+INDIRECT(ADDRESS(1840,32))-INDIRECT(ADDRESS(1841,32))</f>
        <v>0</v>
      </c>
      <c r="AG1842">
        <f>INDIRECT(ADDRESS(1842,32))+INDIRECT(ADDRESS(1840,33))-INDIRECT(ADDRESS(1841,33))</f>
        <v>0</v>
      </c>
      <c r="AH1842">
        <f>INDIRECT(ADDRESS(1842,33))+INDIRECT(ADDRESS(1840,34))-INDIRECT(ADDRESS(1841,34))</f>
        <v>0</v>
      </c>
      <c r="AI1842">
        <f>INDIRECT(ADDRESS(1842,34))+INDIRECT(ADDRESS(1840,35))-INDIRECT(ADDRESS(1841,35))</f>
        <v>0</v>
      </c>
      <c r="AJ1842">
        <f>INDIRECT(ADDRESS(1842,35))+INDIRECT(ADDRESS(1840,36))-INDIRECT(ADDRESS(1841,36))</f>
        <v>0</v>
      </c>
      <c r="AK1842">
        <f>INDIRECT(ADDRESS(1842,36))+INDIRECT(ADDRESS(1840,37))-INDIRECT(ADDRESS(1841,37))</f>
        <v>0</v>
      </c>
      <c r="AL1842">
        <f>INDIRECT(ADDRESS(1842,37))+INDIRECT(ADDRESS(1840,38))-INDIRECT(ADDRESS(1841,38))</f>
        <v>0</v>
      </c>
      <c r="AM1842">
        <f>INDIRECT(ADDRESS(1842,38))+INDIRECT(ADDRESS(1840,39))-INDIRECT(ADDRESS(1841,39))</f>
        <v>0</v>
      </c>
      <c r="AN1842">
        <f>INDIRECT(ADDRESS(1842,39))+INDIRECT(ADDRESS(1840,40))-INDIRECT(ADDRESS(1841,40))</f>
        <v>0</v>
      </c>
      <c r="AO1842">
        <f>SUM(INDIRECT(ADDRESS(1841,8)):INDIRECT(ADDRESS(1841,39)))</f>
        <v>0</v>
      </c>
    </row>
    <row r="1843" spans="1:41">
      <c r="A1843" t="s">
        <v>180</v>
      </c>
      <c r="B1843" t="s">
        <v>840</v>
      </c>
      <c r="C1843" t="s">
        <v>841</v>
      </c>
      <c r="E1843">
        <v>1</v>
      </c>
      <c r="I1843" t="s">
        <v>177</v>
      </c>
    </row>
    <row r="1844" spans="1:41">
      <c r="I1844" t="s">
        <v>178</v>
      </c>
      <c r="J1844">
        <f>IFERROR(VLOOKUP("906-339000-210",B:AB,1+8,0),0)</f>
        <v>0</v>
      </c>
      <c r="K1844">
        <f>IFERROR(VLOOKUP("906-339000-210",B:AB,2+8,0),0)</f>
        <v>0</v>
      </c>
      <c r="L1844">
        <f>IFERROR(VLOOKUP("906-339000-210",B:AB,3+8,0),0)</f>
        <v>0</v>
      </c>
      <c r="M1844">
        <f>IFERROR(VLOOKUP("906-339000-210",B:AB,4+8,0),0)</f>
        <v>0</v>
      </c>
      <c r="N1844">
        <f>IFERROR(VLOOKUP("906-339000-210",B:AB,5+8,0),0)</f>
        <v>0</v>
      </c>
      <c r="O1844">
        <f>IFERROR(VLOOKUP("906-339000-210",B:AB,6+8,0),0)</f>
        <v>0</v>
      </c>
      <c r="P1844">
        <f>IFERROR(VLOOKUP("906-339000-210",B:AB,7+8,0),0)</f>
        <v>0</v>
      </c>
      <c r="Q1844">
        <f>IFERROR(VLOOKUP("906-339000-210",B:AB,8+8,0),0)</f>
        <v>0</v>
      </c>
      <c r="R1844">
        <f>IFERROR(VLOOKUP("906-339000-210",B:AB,9+8,0),0)</f>
        <v>0</v>
      </c>
      <c r="S1844">
        <f>IFERROR(VLOOKUP("906-339000-210",B:AB,10+8,0),0)</f>
        <v>0</v>
      </c>
      <c r="T1844">
        <f>IFERROR(VLOOKUP("906-339000-210",B:AB,11+8,0),0)</f>
        <v>0</v>
      </c>
      <c r="U1844">
        <f>IFERROR(VLOOKUP("906-339000-210",B:AB,12+8,0),0)</f>
        <v>0</v>
      </c>
      <c r="V1844">
        <f>IFERROR(VLOOKUP("906-339000-210",B:AB,13+8,0),0)</f>
        <v>0</v>
      </c>
      <c r="W1844">
        <f>IFERROR(VLOOKUP("906-339000-210",B:AB,14+8,0),0)</f>
        <v>0</v>
      </c>
      <c r="X1844">
        <f>IFERROR(VLOOKUP("906-339000-210",B:AB,15+8,0),0)</f>
        <v>0</v>
      </c>
      <c r="Y1844">
        <f>IFERROR(VLOOKUP("906-339000-210",B:AB,16+8,0),0)</f>
        <v>0</v>
      </c>
      <c r="Z1844">
        <f>IFERROR(VLOOKUP("906-339000-210",B:AB,17+8,0),0)</f>
        <v>0</v>
      </c>
      <c r="AA1844">
        <f>IFERROR(VLOOKUP("906-339000-210",B:AB,18+8,0),0)</f>
        <v>0</v>
      </c>
      <c r="AB1844">
        <f>IFERROR(VLOOKUP("906-339000-210",B:AB,19+8,0),0)</f>
        <v>0</v>
      </c>
      <c r="AC1844">
        <f>IFERROR(VLOOKUP("906-339000-210",B:AB,20+8,0),0)</f>
        <v>0</v>
      </c>
      <c r="AD1844">
        <f>IFERROR(VLOOKUP("906-339000-210",B:AB,21+8,0),0)</f>
        <v>0</v>
      </c>
      <c r="AE1844">
        <f>IFERROR(VLOOKUP("906-339000-210",B:AB,22+8,0),0)</f>
        <v>0</v>
      </c>
      <c r="AF1844">
        <f>IFERROR(VLOOKUP("906-339000-210",B:AB,23+8,0),0)</f>
        <v>0</v>
      </c>
      <c r="AG1844">
        <f>IFERROR(VLOOKUP("906-339000-210",B:AB,24+8,0),0)</f>
        <v>0</v>
      </c>
      <c r="AH1844">
        <f>IFERROR(VLOOKUP("906-339000-210",B:AB,25+8,0),0)</f>
        <v>0</v>
      </c>
      <c r="AI1844">
        <f>IFERROR(VLOOKUP("906-339000-210",B:AB,26+8,0),0)</f>
        <v>0</v>
      </c>
      <c r="AJ1844">
        <f>IFERROR(VLOOKUP("906-339000-210",B:AB,27+8,0),0)</f>
        <v>0</v>
      </c>
      <c r="AK1844">
        <f>IFERROR(VLOOKUP("906-339000-210",B:AB,28+8,0),0)</f>
        <v>0</v>
      </c>
      <c r="AL1844">
        <f>IFERROR(VLOOKUP("906-339000-210",B:AB,29+8,0),0)</f>
        <v>0</v>
      </c>
      <c r="AM1844">
        <f>IFERROR(VLOOKUP("906-339000-210",B:AB,30+8,0),0)</f>
        <v>0</v>
      </c>
      <c r="AN1844">
        <f>IFERROR(VLOOKUP("906-339000-210",B:AB,31+8,0),0)</f>
        <v>0</v>
      </c>
      <c r="AO1844">
        <f>SUN(INDIRECT(ADDRESS(1843,8)):INDIRECT(ADDRESS(1843,39)))</f>
        <v>0</v>
      </c>
    </row>
    <row r="1845" spans="1:41">
      <c r="H1845" t="s">
        <v>179</v>
      </c>
      <c r="J1845">
        <f>INDIRECT(ADDRESS(1845,9))+INDIRECT(ADDRESS(1843,10))-INDIRECT(ADDRESS(1844,10))</f>
        <v>0</v>
      </c>
      <c r="K1845">
        <f>INDIRECT(ADDRESS(1845,10))+INDIRECT(ADDRESS(1843,11))-INDIRECT(ADDRESS(1844,11))</f>
        <v>0</v>
      </c>
      <c r="L1845">
        <f>INDIRECT(ADDRESS(1845,11))+INDIRECT(ADDRESS(1843,12))-INDIRECT(ADDRESS(1844,12))</f>
        <v>0</v>
      </c>
      <c r="M1845">
        <f>INDIRECT(ADDRESS(1845,12))+INDIRECT(ADDRESS(1843,13))-INDIRECT(ADDRESS(1844,13))</f>
        <v>0</v>
      </c>
      <c r="N1845">
        <f>INDIRECT(ADDRESS(1845,13))+INDIRECT(ADDRESS(1843,14))-INDIRECT(ADDRESS(1844,14))</f>
        <v>0</v>
      </c>
      <c r="O1845">
        <f>INDIRECT(ADDRESS(1845,14))+INDIRECT(ADDRESS(1843,15))-INDIRECT(ADDRESS(1844,15))</f>
        <v>0</v>
      </c>
      <c r="P1845">
        <f>INDIRECT(ADDRESS(1845,15))+INDIRECT(ADDRESS(1843,16))-INDIRECT(ADDRESS(1844,16))</f>
        <v>0</v>
      </c>
      <c r="Q1845">
        <f>INDIRECT(ADDRESS(1845,16))+INDIRECT(ADDRESS(1843,17))-INDIRECT(ADDRESS(1844,17))</f>
        <v>0</v>
      </c>
      <c r="R1845">
        <f>INDIRECT(ADDRESS(1845,17))+INDIRECT(ADDRESS(1843,18))-INDIRECT(ADDRESS(1844,18))</f>
        <v>0</v>
      </c>
      <c r="S1845">
        <f>INDIRECT(ADDRESS(1845,18))+INDIRECT(ADDRESS(1843,19))-INDIRECT(ADDRESS(1844,19))</f>
        <v>0</v>
      </c>
      <c r="T1845">
        <f>INDIRECT(ADDRESS(1845,19))+INDIRECT(ADDRESS(1843,20))-INDIRECT(ADDRESS(1844,20))</f>
        <v>0</v>
      </c>
      <c r="U1845">
        <f>INDIRECT(ADDRESS(1845,20))+INDIRECT(ADDRESS(1843,21))-INDIRECT(ADDRESS(1844,21))</f>
        <v>0</v>
      </c>
      <c r="V1845">
        <f>INDIRECT(ADDRESS(1845,21))+INDIRECT(ADDRESS(1843,22))-INDIRECT(ADDRESS(1844,22))</f>
        <v>0</v>
      </c>
      <c r="W1845">
        <f>INDIRECT(ADDRESS(1845,22))+INDIRECT(ADDRESS(1843,23))-INDIRECT(ADDRESS(1844,23))</f>
        <v>0</v>
      </c>
      <c r="X1845">
        <f>INDIRECT(ADDRESS(1845,23))+INDIRECT(ADDRESS(1843,24))-INDIRECT(ADDRESS(1844,24))</f>
        <v>0</v>
      </c>
      <c r="Y1845">
        <f>INDIRECT(ADDRESS(1845,24))+INDIRECT(ADDRESS(1843,25))-INDIRECT(ADDRESS(1844,25))</f>
        <v>0</v>
      </c>
      <c r="Z1845">
        <f>INDIRECT(ADDRESS(1845,25))+INDIRECT(ADDRESS(1843,26))-INDIRECT(ADDRESS(1844,26))</f>
        <v>0</v>
      </c>
      <c r="AA1845">
        <f>INDIRECT(ADDRESS(1845,26))+INDIRECT(ADDRESS(1843,27))-INDIRECT(ADDRESS(1844,27))</f>
        <v>0</v>
      </c>
      <c r="AB1845">
        <f>INDIRECT(ADDRESS(1845,27))+INDIRECT(ADDRESS(1843,28))-INDIRECT(ADDRESS(1844,28))</f>
        <v>0</v>
      </c>
      <c r="AC1845">
        <f>INDIRECT(ADDRESS(1845,28))+INDIRECT(ADDRESS(1843,29))-INDIRECT(ADDRESS(1844,29))</f>
        <v>0</v>
      </c>
      <c r="AD1845">
        <f>INDIRECT(ADDRESS(1845,29))+INDIRECT(ADDRESS(1843,30))-INDIRECT(ADDRESS(1844,30))</f>
        <v>0</v>
      </c>
      <c r="AE1845">
        <f>INDIRECT(ADDRESS(1845,30))+INDIRECT(ADDRESS(1843,31))-INDIRECT(ADDRESS(1844,31))</f>
        <v>0</v>
      </c>
      <c r="AF1845">
        <f>INDIRECT(ADDRESS(1845,31))+INDIRECT(ADDRESS(1843,32))-INDIRECT(ADDRESS(1844,32))</f>
        <v>0</v>
      </c>
      <c r="AG1845">
        <f>INDIRECT(ADDRESS(1845,32))+INDIRECT(ADDRESS(1843,33))-INDIRECT(ADDRESS(1844,33))</f>
        <v>0</v>
      </c>
      <c r="AH1845">
        <f>INDIRECT(ADDRESS(1845,33))+INDIRECT(ADDRESS(1843,34))-INDIRECT(ADDRESS(1844,34))</f>
        <v>0</v>
      </c>
      <c r="AI1845">
        <f>INDIRECT(ADDRESS(1845,34))+INDIRECT(ADDRESS(1843,35))-INDIRECT(ADDRESS(1844,35))</f>
        <v>0</v>
      </c>
      <c r="AJ1845">
        <f>INDIRECT(ADDRESS(1845,35))+INDIRECT(ADDRESS(1843,36))-INDIRECT(ADDRESS(1844,36))</f>
        <v>0</v>
      </c>
      <c r="AK1845">
        <f>INDIRECT(ADDRESS(1845,36))+INDIRECT(ADDRESS(1843,37))-INDIRECT(ADDRESS(1844,37))</f>
        <v>0</v>
      </c>
      <c r="AL1845">
        <f>INDIRECT(ADDRESS(1845,37))+INDIRECT(ADDRESS(1843,38))-INDIRECT(ADDRESS(1844,38))</f>
        <v>0</v>
      </c>
      <c r="AM1845">
        <f>INDIRECT(ADDRESS(1845,38))+INDIRECT(ADDRESS(1843,39))-INDIRECT(ADDRESS(1844,39))</f>
        <v>0</v>
      </c>
      <c r="AN1845">
        <f>INDIRECT(ADDRESS(1845,39))+INDIRECT(ADDRESS(1843,40))-INDIRECT(ADDRESS(1844,40))</f>
        <v>0</v>
      </c>
      <c r="AO1845">
        <f>SUM(INDIRECT(ADDRESS(1844,8)):INDIRECT(ADDRESS(1844,39)))</f>
        <v>0</v>
      </c>
    </row>
    <row r="1846" spans="1:41">
      <c r="A1846" t="s">
        <v>185</v>
      </c>
      <c r="B1846" t="s">
        <v>842</v>
      </c>
      <c r="C1846" t="s">
        <v>843</v>
      </c>
      <c r="E1846">
        <v>1</v>
      </c>
      <c r="I1846" t="s">
        <v>177</v>
      </c>
    </row>
    <row r="1847" spans="1:41">
      <c r="I1847" t="s">
        <v>178</v>
      </c>
      <c r="J1847">
        <f>IFERROR(VLOOKUP("906-339000-210",B:AB,1+8,0),0)</f>
        <v>0</v>
      </c>
      <c r="K1847">
        <f>IFERROR(VLOOKUP("906-339000-210",B:AB,2+8,0),0)</f>
        <v>0</v>
      </c>
      <c r="L1847">
        <f>IFERROR(VLOOKUP("906-339000-210",B:AB,3+8,0),0)</f>
        <v>0</v>
      </c>
      <c r="M1847">
        <f>IFERROR(VLOOKUP("906-339000-210",B:AB,4+8,0),0)</f>
        <v>0</v>
      </c>
      <c r="N1847">
        <f>IFERROR(VLOOKUP("906-339000-210",B:AB,5+8,0),0)</f>
        <v>0</v>
      </c>
      <c r="O1847">
        <f>IFERROR(VLOOKUP("906-339000-210",B:AB,6+8,0),0)</f>
        <v>0</v>
      </c>
      <c r="P1847">
        <f>IFERROR(VLOOKUP("906-339000-210",B:AB,7+8,0),0)</f>
        <v>0</v>
      </c>
      <c r="Q1847">
        <f>IFERROR(VLOOKUP("906-339000-210",B:AB,8+8,0),0)</f>
        <v>0</v>
      </c>
      <c r="R1847">
        <f>IFERROR(VLOOKUP("906-339000-210",B:AB,9+8,0),0)</f>
        <v>0</v>
      </c>
      <c r="S1847">
        <f>IFERROR(VLOOKUP("906-339000-210",B:AB,10+8,0),0)</f>
        <v>0</v>
      </c>
      <c r="T1847">
        <f>IFERROR(VLOOKUP("906-339000-210",B:AB,11+8,0),0)</f>
        <v>0</v>
      </c>
      <c r="U1847">
        <f>IFERROR(VLOOKUP("906-339000-210",B:AB,12+8,0),0)</f>
        <v>0</v>
      </c>
      <c r="V1847">
        <f>IFERROR(VLOOKUP("906-339000-210",B:AB,13+8,0),0)</f>
        <v>0</v>
      </c>
      <c r="W1847">
        <f>IFERROR(VLOOKUP("906-339000-210",B:AB,14+8,0),0)</f>
        <v>0</v>
      </c>
      <c r="X1847">
        <f>IFERROR(VLOOKUP("906-339000-210",B:AB,15+8,0),0)</f>
        <v>0</v>
      </c>
      <c r="Y1847">
        <f>IFERROR(VLOOKUP("906-339000-210",B:AB,16+8,0),0)</f>
        <v>0</v>
      </c>
      <c r="Z1847">
        <f>IFERROR(VLOOKUP("906-339000-210",B:AB,17+8,0),0)</f>
        <v>0</v>
      </c>
      <c r="AA1847">
        <f>IFERROR(VLOOKUP("906-339000-210",B:AB,18+8,0),0)</f>
        <v>0</v>
      </c>
      <c r="AB1847">
        <f>IFERROR(VLOOKUP("906-339000-210",B:AB,19+8,0),0)</f>
        <v>0</v>
      </c>
      <c r="AC1847">
        <f>IFERROR(VLOOKUP("906-339000-210",B:AB,20+8,0),0)</f>
        <v>0</v>
      </c>
      <c r="AD1847">
        <f>IFERROR(VLOOKUP("906-339000-210",B:AB,21+8,0),0)</f>
        <v>0</v>
      </c>
      <c r="AE1847">
        <f>IFERROR(VLOOKUP("906-339000-210",B:AB,22+8,0),0)</f>
        <v>0</v>
      </c>
      <c r="AF1847">
        <f>IFERROR(VLOOKUP("906-339000-210",B:AB,23+8,0),0)</f>
        <v>0</v>
      </c>
      <c r="AG1847">
        <f>IFERROR(VLOOKUP("906-339000-210",B:AB,24+8,0),0)</f>
        <v>0</v>
      </c>
      <c r="AH1847">
        <f>IFERROR(VLOOKUP("906-339000-210",B:AB,25+8,0),0)</f>
        <v>0</v>
      </c>
      <c r="AI1847">
        <f>IFERROR(VLOOKUP("906-339000-210",B:AB,26+8,0),0)</f>
        <v>0</v>
      </c>
      <c r="AJ1847">
        <f>IFERROR(VLOOKUP("906-339000-210",B:AB,27+8,0),0)</f>
        <v>0</v>
      </c>
      <c r="AK1847">
        <f>IFERROR(VLOOKUP("906-339000-210",B:AB,28+8,0),0)</f>
        <v>0</v>
      </c>
      <c r="AL1847">
        <f>IFERROR(VLOOKUP("906-339000-210",B:AB,29+8,0),0)</f>
        <v>0</v>
      </c>
      <c r="AM1847">
        <f>IFERROR(VLOOKUP("906-339000-210",B:AB,30+8,0),0)</f>
        <v>0</v>
      </c>
      <c r="AN1847">
        <f>IFERROR(VLOOKUP("906-339000-210",B:AB,31+8,0),0)</f>
        <v>0</v>
      </c>
      <c r="AO1847">
        <f>SUN(INDIRECT(ADDRESS(1846,8)):INDIRECT(ADDRESS(1846,39)))</f>
        <v>0</v>
      </c>
    </row>
    <row r="1848" spans="1:41">
      <c r="H1848" t="s">
        <v>179</v>
      </c>
      <c r="J1848">
        <f>INDIRECT(ADDRESS(1848,9))+INDIRECT(ADDRESS(1846,10))-INDIRECT(ADDRESS(1847,10))</f>
        <v>0</v>
      </c>
      <c r="K1848">
        <f>INDIRECT(ADDRESS(1848,10))+INDIRECT(ADDRESS(1846,11))-INDIRECT(ADDRESS(1847,11))</f>
        <v>0</v>
      </c>
      <c r="L1848">
        <f>INDIRECT(ADDRESS(1848,11))+INDIRECT(ADDRESS(1846,12))-INDIRECT(ADDRESS(1847,12))</f>
        <v>0</v>
      </c>
      <c r="M1848">
        <f>INDIRECT(ADDRESS(1848,12))+INDIRECT(ADDRESS(1846,13))-INDIRECT(ADDRESS(1847,13))</f>
        <v>0</v>
      </c>
      <c r="N1848">
        <f>INDIRECT(ADDRESS(1848,13))+INDIRECT(ADDRESS(1846,14))-INDIRECT(ADDRESS(1847,14))</f>
        <v>0</v>
      </c>
      <c r="O1848">
        <f>INDIRECT(ADDRESS(1848,14))+INDIRECT(ADDRESS(1846,15))-INDIRECT(ADDRESS(1847,15))</f>
        <v>0</v>
      </c>
      <c r="P1848">
        <f>INDIRECT(ADDRESS(1848,15))+INDIRECT(ADDRESS(1846,16))-INDIRECT(ADDRESS(1847,16))</f>
        <v>0</v>
      </c>
      <c r="Q1848">
        <f>INDIRECT(ADDRESS(1848,16))+INDIRECT(ADDRESS(1846,17))-INDIRECT(ADDRESS(1847,17))</f>
        <v>0</v>
      </c>
      <c r="R1848">
        <f>INDIRECT(ADDRESS(1848,17))+INDIRECT(ADDRESS(1846,18))-INDIRECT(ADDRESS(1847,18))</f>
        <v>0</v>
      </c>
      <c r="S1848">
        <f>INDIRECT(ADDRESS(1848,18))+INDIRECT(ADDRESS(1846,19))-INDIRECT(ADDRESS(1847,19))</f>
        <v>0</v>
      </c>
      <c r="T1848">
        <f>INDIRECT(ADDRESS(1848,19))+INDIRECT(ADDRESS(1846,20))-INDIRECT(ADDRESS(1847,20))</f>
        <v>0</v>
      </c>
      <c r="U1848">
        <f>INDIRECT(ADDRESS(1848,20))+INDIRECT(ADDRESS(1846,21))-INDIRECT(ADDRESS(1847,21))</f>
        <v>0</v>
      </c>
      <c r="V1848">
        <f>INDIRECT(ADDRESS(1848,21))+INDIRECT(ADDRESS(1846,22))-INDIRECT(ADDRESS(1847,22))</f>
        <v>0</v>
      </c>
      <c r="W1848">
        <f>INDIRECT(ADDRESS(1848,22))+INDIRECT(ADDRESS(1846,23))-INDIRECT(ADDRESS(1847,23))</f>
        <v>0</v>
      </c>
      <c r="X1848">
        <f>INDIRECT(ADDRESS(1848,23))+INDIRECT(ADDRESS(1846,24))-INDIRECT(ADDRESS(1847,24))</f>
        <v>0</v>
      </c>
      <c r="Y1848">
        <f>INDIRECT(ADDRESS(1848,24))+INDIRECT(ADDRESS(1846,25))-INDIRECT(ADDRESS(1847,25))</f>
        <v>0</v>
      </c>
      <c r="Z1848">
        <f>INDIRECT(ADDRESS(1848,25))+INDIRECT(ADDRESS(1846,26))-INDIRECT(ADDRESS(1847,26))</f>
        <v>0</v>
      </c>
      <c r="AA1848">
        <f>INDIRECT(ADDRESS(1848,26))+INDIRECT(ADDRESS(1846,27))-INDIRECT(ADDRESS(1847,27))</f>
        <v>0</v>
      </c>
      <c r="AB1848">
        <f>INDIRECT(ADDRESS(1848,27))+INDIRECT(ADDRESS(1846,28))-INDIRECT(ADDRESS(1847,28))</f>
        <v>0</v>
      </c>
      <c r="AC1848">
        <f>INDIRECT(ADDRESS(1848,28))+INDIRECT(ADDRESS(1846,29))-INDIRECT(ADDRESS(1847,29))</f>
        <v>0</v>
      </c>
      <c r="AD1848">
        <f>INDIRECT(ADDRESS(1848,29))+INDIRECT(ADDRESS(1846,30))-INDIRECT(ADDRESS(1847,30))</f>
        <v>0</v>
      </c>
      <c r="AE1848">
        <f>INDIRECT(ADDRESS(1848,30))+INDIRECT(ADDRESS(1846,31))-INDIRECT(ADDRESS(1847,31))</f>
        <v>0</v>
      </c>
      <c r="AF1848">
        <f>INDIRECT(ADDRESS(1848,31))+INDIRECT(ADDRESS(1846,32))-INDIRECT(ADDRESS(1847,32))</f>
        <v>0</v>
      </c>
      <c r="AG1848">
        <f>INDIRECT(ADDRESS(1848,32))+INDIRECT(ADDRESS(1846,33))-INDIRECT(ADDRESS(1847,33))</f>
        <v>0</v>
      </c>
      <c r="AH1848">
        <f>INDIRECT(ADDRESS(1848,33))+INDIRECT(ADDRESS(1846,34))-INDIRECT(ADDRESS(1847,34))</f>
        <v>0</v>
      </c>
      <c r="AI1848">
        <f>INDIRECT(ADDRESS(1848,34))+INDIRECT(ADDRESS(1846,35))-INDIRECT(ADDRESS(1847,35))</f>
        <v>0</v>
      </c>
      <c r="AJ1848">
        <f>INDIRECT(ADDRESS(1848,35))+INDIRECT(ADDRESS(1846,36))-INDIRECT(ADDRESS(1847,36))</f>
        <v>0</v>
      </c>
      <c r="AK1848">
        <f>INDIRECT(ADDRESS(1848,36))+INDIRECT(ADDRESS(1846,37))-INDIRECT(ADDRESS(1847,37))</f>
        <v>0</v>
      </c>
      <c r="AL1848">
        <f>INDIRECT(ADDRESS(1848,37))+INDIRECT(ADDRESS(1846,38))-INDIRECT(ADDRESS(1847,38))</f>
        <v>0</v>
      </c>
      <c r="AM1848">
        <f>INDIRECT(ADDRESS(1848,38))+INDIRECT(ADDRESS(1846,39))-INDIRECT(ADDRESS(1847,39))</f>
        <v>0</v>
      </c>
      <c r="AN1848">
        <f>INDIRECT(ADDRESS(1848,39))+INDIRECT(ADDRESS(1846,40))-INDIRECT(ADDRESS(1847,40))</f>
        <v>0</v>
      </c>
      <c r="AO1848">
        <f>SUM(INDIRECT(ADDRESS(1847,8)):INDIRECT(ADDRESS(1847,39)))</f>
        <v>0</v>
      </c>
    </row>
    <row r="1849" spans="1:41">
      <c r="A1849" t="s">
        <v>185</v>
      </c>
      <c r="B1849" t="s">
        <v>160</v>
      </c>
      <c r="C1849" t="s">
        <v>845</v>
      </c>
      <c r="E1849">
        <v>0.003</v>
      </c>
      <c r="I1849" t="s">
        <v>177</v>
      </c>
    </row>
    <row r="1850" spans="1:41">
      <c r="I1850" t="s">
        <v>178</v>
      </c>
      <c r="J1850">
        <f>IFERROR(VLOOKUP("906-339000-210",B:AB,1+8,0),0)</f>
        <v>0</v>
      </c>
      <c r="K1850">
        <f>IFERROR(VLOOKUP("906-339000-210",B:AB,2+8,0),0)</f>
        <v>0</v>
      </c>
      <c r="L1850">
        <f>IFERROR(VLOOKUP("906-339000-210",B:AB,3+8,0),0)</f>
        <v>0</v>
      </c>
      <c r="M1850">
        <f>IFERROR(VLOOKUP("906-339000-210",B:AB,4+8,0),0)</f>
        <v>0</v>
      </c>
      <c r="N1850">
        <f>IFERROR(VLOOKUP("906-339000-210",B:AB,5+8,0),0)</f>
        <v>0</v>
      </c>
      <c r="O1850">
        <f>IFERROR(VLOOKUP("906-339000-210",B:AB,6+8,0),0)</f>
        <v>0</v>
      </c>
      <c r="P1850">
        <f>IFERROR(VLOOKUP("906-339000-210",B:AB,7+8,0),0)</f>
        <v>0</v>
      </c>
      <c r="Q1850">
        <f>IFERROR(VLOOKUP("906-339000-210",B:AB,8+8,0),0)</f>
        <v>0</v>
      </c>
      <c r="R1850">
        <f>IFERROR(VLOOKUP("906-339000-210",B:AB,9+8,0),0)</f>
        <v>0</v>
      </c>
      <c r="S1850">
        <f>IFERROR(VLOOKUP("906-339000-210",B:AB,10+8,0),0)</f>
        <v>0</v>
      </c>
      <c r="T1850">
        <f>IFERROR(VLOOKUP("906-339000-210",B:AB,11+8,0),0)</f>
        <v>0</v>
      </c>
      <c r="U1850">
        <f>IFERROR(VLOOKUP("906-339000-210",B:AB,12+8,0),0)</f>
        <v>0</v>
      </c>
      <c r="V1850">
        <f>IFERROR(VLOOKUP("906-339000-210",B:AB,13+8,0),0)</f>
        <v>0</v>
      </c>
      <c r="W1850">
        <f>IFERROR(VLOOKUP("906-339000-210",B:AB,14+8,0),0)</f>
        <v>0</v>
      </c>
      <c r="X1850">
        <f>IFERROR(VLOOKUP("906-339000-210",B:AB,15+8,0),0)</f>
        <v>0</v>
      </c>
      <c r="Y1850">
        <f>IFERROR(VLOOKUP("906-339000-210",B:AB,16+8,0),0)</f>
        <v>0</v>
      </c>
      <c r="Z1850">
        <f>IFERROR(VLOOKUP("906-339000-210",B:AB,17+8,0),0)</f>
        <v>0</v>
      </c>
      <c r="AA1850">
        <f>IFERROR(VLOOKUP("906-339000-210",B:AB,18+8,0),0)</f>
        <v>0</v>
      </c>
      <c r="AB1850">
        <f>IFERROR(VLOOKUP("906-339000-210",B:AB,19+8,0),0)</f>
        <v>0</v>
      </c>
      <c r="AC1850">
        <f>IFERROR(VLOOKUP("906-339000-210",B:AB,20+8,0),0)</f>
        <v>0</v>
      </c>
      <c r="AD1850">
        <f>IFERROR(VLOOKUP("906-339000-210",B:AB,21+8,0),0)</f>
        <v>0</v>
      </c>
      <c r="AE1850">
        <f>IFERROR(VLOOKUP("906-339000-210",B:AB,22+8,0),0)</f>
        <v>0</v>
      </c>
      <c r="AF1850">
        <f>IFERROR(VLOOKUP("906-339000-210",B:AB,23+8,0),0)</f>
        <v>0</v>
      </c>
      <c r="AG1850">
        <f>IFERROR(VLOOKUP("906-339000-210",B:AB,24+8,0),0)</f>
        <v>0</v>
      </c>
      <c r="AH1850">
        <f>IFERROR(VLOOKUP("906-339000-210",B:AB,25+8,0),0)</f>
        <v>0</v>
      </c>
      <c r="AI1850">
        <f>IFERROR(VLOOKUP("906-339000-210",B:AB,26+8,0),0)</f>
        <v>0</v>
      </c>
      <c r="AJ1850">
        <f>IFERROR(VLOOKUP("906-339000-210",B:AB,27+8,0),0)</f>
        <v>0</v>
      </c>
      <c r="AK1850">
        <f>IFERROR(VLOOKUP("906-339000-210",B:AB,28+8,0),0)</f>
        <v>0</v>
      </c>
      <c r="AL1850">
        <f>IFERROR(VLOOKUP("906-339000-210",B:AB,29+8,0),0)</f>
        <v>0</v>
      </c>
      <c r="AM1850">
        <f>IFERROR(VLOOKUP("906-339000-210",B:AB,30+8,0),0)</f>
        <v>0</v>
      </c>
      <c r="AN1850">
        <f>IFERROR(VLOOKUP("906-339000-210",B:AB,31+8,0),0)</f>
        <v>0</v>
      </c>
      <c r="AO1850">
        <f>SUN(INDIRECT(ADDRESS(1849,8)):INDIRECT(ADDRESS(1849,39)))</f>
        <v>0</v>
      </c>
    </row>
    <row r="1851" spans="1:41">
      <c r="H1851" t="s">
        <v>179</v>
      </c>
      <c r="J1851">
        <f>INDIRECT(ADDRESS(1851,9))+INDIRECT(ADDRESS(1849,10))-INDIRECT(ADDRESS(1850,10))</f>
        <v>0</v>
      </c>
      <c r="K1851">
        <f>INDIRECT(ADDRESS(1851,10))+INDIRECT(ADDRESS(1849,11))-INDIRECT(ADDRESS(1850,11))</f>
        <v>0</v>
      </c>
      <c r="L1851">
        <f>INDIRECT(ADDRESS(1851,11))+INDIRECT(ADDRESS(1849,12))-INDIRECT(ADDRESS(1850,12))</f>
        <v>0</v>
      </c>
      <c r="M1851">
        <f>INDIRECT(ADDRESS(1851,12))+INDIRECT(ADDRESS(1849,13))-INDIRECT(ADDRESS(1850,13))</f>
        <v>0</v>
      </c>
      <c r="N1851">
        <f>INDIRECT(ADDRESS(1851,13))+INDIRECT(ADDRESS(1849,14))-INDIRECT(ADDRESS(1850,14))</f>
        <v>0</v>
      </c>
      <c r="O1851">
        <f>INDIRECT(ADDRESS(1851,14))+INDIRECT(ADDRESS(1849,15))-INDIRECT(ADDRESS(1850,15))</f>
        <v>0</v>
      </c>
      <c r="P1851">
        <f>INDIRECT(ADDRESS(1851,15))+INDIRECT(ADDRESS(1849,16))-INDIRECT(ADDRESS(1850,16))</f>
        <v>0</v>
      </c>
      <c r="Q1851">
        <f>INDIRECT(ADDRESS(1851,16))+INDIRECT(ADDRESS(1849,17))-INDIRECT(ADDRESS(1850,17))</f>
        <v>0</v>
      </c>
      <c r="R1851">
        <f>INDIRECT(ADDRESS(1851,17))+INDIRECT(ADDRESS(1849,18))-INDIRECT(ADDRESS(1850,18))</f>
        <v>0</v>
      </c>
      <c r="S1851">
        <f>INDIRECT(ADDRESS(1851,18))+INDIRECT(ADDRESS(1849,19))-INDIRECT(ADDRESS(1850,19))</f>
        <v>0</v>
      </c>
      <c r="T1851">
        <f>INDIRECT(ADDRESS(1851,19))+INDIRECT(ADDRESS(1849,20))-INDIRECT(ADDRESS(1850,20))</f>
        <v>0</v>
      </c>
      <c r="U1851">
        <f>INDIRECT(ADDRESS(1851,20))+INDIRECT(ADDRESS(1849,21))-INDIRECT(ADDRESS(1850,21))</f>
        <v>0</v>
      </c>
      <c r="V1851">
        <f>INDIRECT(ADDRESS(1851,21))+INDIRECT(ADDRESS(1849,22))-INDIRECT(ADDRESS(1850,22))</f>
        <v>0</v>
      </c>
      <c r="W1851">
        <f>INDIRECT(ADDRESS(1851,22))+INDIRECT(ADDRESS(1849,23))-INDIRECT(ADDRESS(1850,23))</f>
        <v>0</v>
      </c>
      <c r="X1851">
        <f>INDIRECT(ADDRESS(1851,23))+INDIRECT(ADDRESS(1849,24))-INDIRECT(ADDRESS(1850,24))</f>
        <v>0</v>
      </c>
      <c r="Y1851">
        <f>INDIRECT(ADDRESS(1851,24))+INDIRECT(ADDRESS(1849,25))-INDIRECT(ADDRESS(1850,25))</f>
        <v>0</v>
      </c>
      <c r="Z1851">
        <f>INDIRECT(ADDRESS(1851,25))+INDIRECT(ADDRESS(1849,26))-INDIRECT(ADDRESS(1850,26))</f>
        <v>0</v>
      </c>
      <c r="AA1851">
        <f>INDIRECT(ADDRESS(1851,26))+INDIRECT(ADDRESS(1849,27))-INDIRECT(ADDRESS(1850,27))</f>
        <v>0</v>
      </c>
      <c r="AB1851">
        <f>INDIRECT(ADDRESS(1851,27))+INDIRECT(ADDRESS(1849,28))-INDIRECT(ADDRESS(1850,28))</f>
        <v>0</v>
      </c>
      <c r="AC1851">
        <f>INDIRECT(ADDRESS(1851,28))+INDIRECT(ADDRESS(1849,29))-INDIRECT(ADDRESS(1850,29))</f>
        <v>0</v>
      </c>
      <c r="AD1851">
        <f>INDIRECT(ADDRESS(1851,29))+INDIRECT(ADDRESS(1849,30))-INDIRECT(ADDRESS(1850,30))</f>
        <v>0</v>
      </c>
      <c r="AE1851">
        <f>INDIRECT(ADDRESS(1851,30))+INDIRECT(ADDRESS(1849,31))-INDIRECT(ADDRESS(1850,31))</f>
        <v>0</v>
      </c>
      <c r="AF1851">
        <f>INDIRECT(ADDRESS(1851,31))+INDIRECT(ADDRESS(1849,32))-INDIRECT(ADDRESS(1850,32))</f>
        <v>0</v>
      </c>
      <c r="AG1851">
        <f>INDIRECT(ADDRESS(1851,32))+INDIRECT(ADDRESS(1849,33))-INDIRECT(ADDRESS(1850,33))</f>
        <v>0</v>
      </c>
      <c r="AH1851">
        <f>INDIRECT(ADDRESS(1851,33))+INDIRECT(ADDRESS(1849,34))-INDIRECT(ADDRESS(1850,34))</f>
        <v>0</v>
      </c>
      <c r="AI1851">
        <f>INDIRECT(ADDRESS(1851,34))+INDIRECT(ADDRESS(1849,35))-INDIRECT(ADDRESS(1850,35))</f>
        <v>0</v>
      </c>
      <c r="AJ1851">
        <f>INDIRECT(ADDRESS(1851,35))+INDIRECT(ADDRESS(1849,36))-INDIRECT(ADDRESS(1850,36))</f>
        <v>0</v>
      </c>
      <c r="AK1851">
        <f>INDIRECT(ADDRESS(1851,36))+INDIRECT(ADDRESS(1849,37))-INDIRECT(ADDRESS(1850,37))</f>
        <v>0</v>
      </c>
      <c r="AL1851">
        <f>INDIRECT(ADDRESS(1851,37))+INDIRECT(ADDRESS(1849,38))-INDIRECT(ADDRESS(1850,38))</f>
        <v>0</v>
      </c>
      <c r="AM1851">
        <f>INDIRECT(ADDRESS(1851,38))+INDIRECT(ADDRESS(1849,39))-INDIRECT(ADDRESS(1850,39))</f>
        <v>0</v>
      </c>
      <c r="AN1851">
        <f>INDIRECT(ADDRESS(1851,39))+INDIRECT(ADDRESS(1849,40))-INDIRECT(ADDRESS(1850,40))</f>
        <v>0</v>
      </c>
      <c r="AO1851">
        <f>SUM(INDIRECT(ADDRESS(1850,8)):INDIRECT(ADDRESS(1850,39)))</f>
        <v>0</v>
      </c>
    </row>
    <row r="1852" spans="1:41">
      <c r="A1852" t="s">
        <v>8</v>
      </c>
      <c r="B1852" t="s">
        <v>156</v>
      </c>
      <c r="C1852" t="s">
        <v>153</v>
      </c>
      <c r="E1852">
        <v>0.003</v>
      </c>
      <c r="I1852" t="s">
        <v>177</v>
      </c>
    </row>
    <row r="1853" spans="1:41">
      <c r="I1853" t="s">
        <v>178</v>
      </c>
      <c r="J1853">
        <f>IFERROR(VLOOKUP("906-340000-210",Out!B:AB,1+8,0),0)</f>
        <v>0</v>
      </c>
      <c r="K1853">
        <f>IFERROR(VLOOKUP("906-340000-210",Out!B:AB,2+8,0),0)</f>
        <v>0</v>
      </c>
      <c r="L1853">
        <f>IFERROR(VLOOKUP("906-340000-210",Out!B:AB,3+8,0),0)</f>
        <v>0</v>
      </c>
      <c r="M1853">
        <f>IFERROR(VLOOKUP("906-340000-210",Out!B:AB,4+8,0),0)</f>
        <v>0</v>
      </c>
      <c r="N1853">
        <f>IFERROR(VLOOKUP("906-340000-210",Out!B:AB,5+8,0),0)</f>
        <v>0</v>
      </c>
      <c r="O1853">
        <f>IFERROR(VLOOKUP("906-340000-210",Out!B:AB,6+8,0),0)</f>
        <v>0</v>
      </c>
      <c r="P1853">
        <f>IFERROR(VLOOKUP("906-340000-210",Out!B:AB,7+8,0),0)</f>
        <v>0</v>
      </c>
      <c r="Q1853">
        <f>IFERROR(VLOOKUP("906-340000-210",Out!B:AB,8+8,0),0)</f>
        <v>0</v>
      </c>
      <c r="R1853">
        <f>IFERROR(VLOOKUP("906-340000-210",Out!B:AB,9+8,0),0)</f>
        <v>0</v>
      </c>
      <c r="S1853">
        <f>IFERROR(VLOOKUP("906-340000-210",Out!B:AB,10+8,0),0)</f>
        <v>0</v>
      </c>
      <c r="T1853">
        <f>IFERROR(VLOOKUP("906-340000-210",Out!B:AB,11+8,0),0)</f>
        <v>0</v>
      </c>
      <c r="U1853">
        <f>IFERROR(VLOOKUP("906-340000-210",Out!B:AB,12+8,0),0)</f>
        <v>0</v>
      </c>
      <c r="V1853">
        <f>IFERROR(VLOOKUP("906-340000-210",Out!B:AB,13+8,0),0)</f>
        <v>0</v>
      </c>
      <c r="W1853">
        <f>IFERROR(VLOOKUP("906-340000-210",Out!B:AB,14+8,0),0)</f>
        <v>0</v>
      </c>
      <c r="X1853">
        <f>IFERROR(VLOOKUP("906-340000-210",Out!B:AB,15+8,0),0)</f>
        <v>0</v>
      </c>
      <c r="Y1853">
        <f>IFERROR(VLOOKUP("906-340000-210",Out!B:AB,16+8,0),0)</f>
        <v>0</v>
      </c>
      <c r="Z1853">
        <f>IFERROR(VLOOKUP("906-340000-210",Out!B:AB,17+8,0),0)</f>
        <v>0</v>
      </c>
      <c r="AA1853">
        <f>IFERROR(VLOOKUP("906-340000-210",Out!B:AB,18+8,0),0)</f>
        <v>0</v>
      </c>
      <c r="AB1853">
        <f>IFERROR(VLOOKUP("906-340000-210",Out!B:AB,19+8,0),0)</f>
        <v>0</v>
      </c>
      <c r="AC1853">
        <f>IFERROR(VLOOKUP("906-340000-210",Out!B:AB,20+8,0),0)</f>
        <v>0</v>
      </c>
      <c r="AD1853">
        <f>IFERROR(VLOOKUP("906-340000-210",Out!B:AB,21+8,0),0)</f>
        <v>0</v>
      </c>
      <c r="AE1853">
        <f>IFERROR(VLOOKUP("906-340000-210",Out!B:AB,22+8,0),0)</f>
        <v>0</v>
      </c>
      <c r="AF1853">
        <f>IFERROR(VLOOKUP("906-340000-210",Out!B:AB,23+8,0),0)</f>
        <v>0</v>
      </c>
      <c r="AG1853">
        <f>IFERROR(VLOOKUP("906-340000-210",Out!B:AB,24+8,0),0)</f>
        <v>0</v>
      </c>
      <c r="AH1853">
        <f>IFERROR(VLOOKUP("906-340000-210",Out!B:AB,25+8,0),0)</f>
        <v>0</v>
      </c>
      <c r="AI1853">
        <f>IFERROR(VLOOKUP("906-340000-210",Out!B:AB,26+8,0),0)</f>
        <v>0</v>
      </c>
      <c r="AJ1853">
        <f>IFERROR(VLOOKUP("906-340000-210",Out!B:AB,27+8,0),0)</f>
        <v>0</v>
      </c>
      <c r="AK1853">
        <f>IFERROR(VLOOKUP("906-340000-210",Out!B:AB,28+8,0),0)</f>
        <v>0</v>
      </c>
      <c r="AL1853">
        <f>IFERROR(VLOOKUP("906-340000-210",Out!B:AB,29+8,0),0)</f>
        <v>0</v>
      </c>
      <c r="AM1853">
        <f>IFERROR(VLOOKUP("906-340000-210",Out!B:AB,30+8,0),0)</f>
        <v>0</v>
      </c>
      <c r="AN1853">
        <f>IFERROR(VLOOKUP("906-340000-210",Out!B:AB,31+8,0),0)</f>
        <v>0</v>
      </c>
      <c r="AO1853">
        <f>SUN(INDIRECT(ADDRESS(1852,8)):INDIRECT(ADDRESS(1852,39)))</f>
        <v>0</v>
      </c>
    </row>
    <row r="1854" spans="1:41">
      <c r="H1854" t="s">
        <v>179</v>
      </c>
      <c r="J1854">
        <f>INDIRECT(ADDRESS(1854,9))+INDIRECT(ADDRESS(1852,10))-INDIRECT(ADDRESS(1853,10))</f>
        <v>0</v>
      </c>
      <c r="K1854">
        <f>INDIRECT(ADDRESS(1854,10))+INDIRECT(ADDRESS(1852,11))-INDIRECT(ADDRESS(1853,11))</f>
        <v>0</v>
      </c>
      <c r="L1854">
        <f>INDIRECT(ADDRESS(1854,11))+INDIRECT(ADDRESS(1852,12))-INDIRECT(ADDRESS(1853,12))</f>
        <v>0</v>
      </c>
      <c r="M1854">
        <f>INDIRECT(ADDRESS(1854,12))+INDIRECT(ADDRESS(1852,13))-INDIRECT(ADDRESS(1853,13))</f>
        <v>0</v>
      </c>
      <c r="N1854">
        <f>INDIRECT(ADDRESS(1854,13))+INDIRECT(ADDRESS(1852,14))-INDIRECT(ADDRESS(1853,14))</f>
        <v>0</v>
      </c>
      <c r="O1854">
        <f>INDIRECT(ADDRESS(1854,14))+INDIRECT(ADDRESS(1852,15))-INDIRECT(ADDRESS(1853,15))</f>
        <v>0</v>
      </c>
      <c r="P1854">
        <f>INDIRECT(ADDRESS(1854,15))+INDIRECT(ADDRESS(1852,16))-INDIRECT(ADDRESS(1853,16))</f>
        <v>0</v>
      </c>
      <c r="Q1854">
        <f>INDIRECT(ADDRESS(1854,16))+INDIRECT(ADDRESS(1852,17))-INDIRECT(ADDRESS(1853,17))</f>
        <v>0</v>
      </c>
      <c r="R1854">
        <f>INDIRECT(ADDRESS(1854,17))+INDIRECT(ADDRESS(1852,18))-INDIRECT(ADDRESS(1853,18))</f>
        <v>0</v>
      </c>
      <c r="S1854">
        <f>INDIRECT(ADDRESS(1854,18))+INDIRECT(ADDRESS(1852,19))-INDIRECT(ADDRESS(1853,19))</f>
        <v>0</v>
      </c>
      <c r="T1854">
        <f>INDIRECT(ADDRESS(1854,19))+INDIRECT(ADDRESS(1852,20))-INDIRECT(ADDRESS(1853,20))</f>
        <v>0</v>
      </c>
      <c r="U1854">
        <f>INDIRECT(ADDRESS(1854,20))+INDIRECT(ADDRESS(1852,21))-INDIRECT(ADDRESS(1853,21))</f>
        <v>0</v>
      </c>
      <c r="V1854">
        <f>INDIRECT(ADDRESS(1854,21))+INDIRECT(ADDRESS(1852,22))-INDIRECT(ADDRESS(1853,22))</f>
        <v>0</v>
      </c>
      <c r="W1854">
        <f>INDIRECT(ADDRESS(1854,22))+INDIRECT(ADDRESS(1852,23))-INDIRECT(ADDRESS(1853,23))</f>
        <v>0</v>
      </c>
      <c r="X1854">
        <f>INDIRECT(ADDRESS(1854,23))+INDIRECT(ADDRESS(1852,24))-INDIRECT(ADDRESS(1853,24))</f>
        <v>0</v>
      </c>
      <c r="Y1854">
        <f>INDIRECT(ADDRESS(1854,24))+INDIRECT(ADDRESS(1852,25))-INDIRECT(ADDRESS(1853,25))</f>
        <v>0</v>
      </c>
      <c r="Z1854">
        <f>INDIRECT(ADDRESS(1854,25))+INDIRECT(ADDRESS(1852,26))-INDIRECT(ADDRESS(1853,26))</f>
        <v>0</v>
      </c>
      <c r="AA1854">
        <f>INDIRECT(ADDRESS(1854,26))+INDIRECT(ADDRESS(1852,27))-INDIRECT(ADDRESS(1853,27))</f>
        <v>0</v>
      </c>
      <c r="AB1854">
        <f>INDIRECT(ADDRESS(1854,27))+INDIRECT(ADDRESS(1852,28))-INDIRECT(ADDRESS(1853,28))</f>
        <v>0</v>
      </c>
      <c r="AC1854">
        <f>INDIRECT(ADDRESS(1854,28))+INDIRECT(ADDRESS(1852,29))-INDIRECT(ADDRESS(1853,29))</f>
        <v>0</v>
      </c>
      <c r="AD1854">
        <f>INDIRECT(ADDRESS(1854,29))+INDIRECT(ADDRESS(1852,30))-INDIRECT(ADDRESS(1853,30))</f>
        <v>0</v>
      </c>
      <c r="AE1854">
        <f>INDIRECT(ADDRESS(1854,30))+INDIRECT(ADDRESS(1852,31))-INDIRECT(ADDRESS(1853,31))</f>
        <v>0</v>
      </c>
      <c r="AF1854">
        <f>INDIRECT(ADDRESS(1854,31))+INDIRECT(ADDRESS(1852,32))-INDIRECT(ADDRESS(1853,32))</f>
        <v>0</v>
      </c>
      <c r="AG1854">
        <f>INDIRECT(ADDRESS(1854,32))+INDIRECT(ADDRESS(1852,33))-INDIRECT(ADDRESS(1853,33))</f>
        <v>0</v>
      </c>
      <c r="AH1854">
        <f>INDIRECT(ADDRESS(1854,33))+INDIRECT(ADDRESS(1852,34))-INDIRECT(ADDRESS(1853,34))</f>
        <v>0</v>
      </c>
      <c r="AI1854">
        <f>INDIRECT(ADDRESS(1854,34))+INDIRECT(ADDRESS(1852,35))-INDIRECT(ADDRESS(1853,35))</f>
        <v>0</v>
      </c>
      <c r="AJ1854">
        <f>INDIRECT(ADDRESS(1854,35))+INDIRECT(ADDRESS(1852,36))-INDIRECT(ADDRESS(1853,36))</f>
        <v>0</v>
      </c>
      <c r="AK1854">
        <f>INDIRECT(ADDRESS(1854,36))+INDIRECT(ADDRESS(1852,37))-INDIRECT(ADDRESS(1853,37))</f>
        <v>0</v>
      </c>
      <c r="AL1854">
        <f>INDIRECT(ADDRESS(1854,37))+INDIRECT(ADDRESS(1852,38))-INDIRECT(ADDRESS(1853,38))</f>
        <v>0</v>
      </c>
      <c r="AM1854">
        <f>INDIRECT(ADDRESS(1854,38))+INDIRECT(ADDRESS(1852,39))-INDIRECT(ADDRESS(1853,39))</f>
        <v>0</v>
      </c>
      <c r="AN1854">
        <f>INDIRECT(ADDRESS(1854,39))+INDIRECT(ADDRESS(1852,40))-INDIRECT(ADDRESS(1853,40))</f>
        <v>0</v>
      </c>
      <c r="AO1854">
        <f>SUM(INDIRECT(ADDRESS(1853,8)):INDIRECT(ADDRESS(1853,39)))</f>
        <v>0</v>
      </c>
    </row>
    <row r="1855" spans="1:41">
      <c r="A1855" t="s">
        <v>180</v>
      </c>
      <c r="B1855" t="s">
        <v>847</v>
      </c>
      <c r="C1855" t="s">
        <v>839</v>
      </c>
      <c r="E1855">
        <v>1</v>
      </c>
      <c r="I1855" t="s">
        <v>177</v>
      </c>
    </row>
    <row r="1856" spans="1:41">
      <c r="I1856" t="s">
        <v>178</v>
      </c>
      <c r="J1856">
        <f>IFERROR(VLOOKUP("906-340000-210",B:AB,1+8,0),0)</f>
        <v>0</v>
      </c>
      <c r="K1856">
        <f>IFERROR(VLOOKUP("906-340000-210",B:AB,2+8,0),0)</f>
        <v>0</v>
      </c>
      <c r="L1856">
        <f>IFERROR(VLOOKUP("906-340000-210",B:AB,3+8,0),0)</f>
        <v>0</v>
      </c>
      <c r="M1856">
        <f>IFERROR(VLOOKUP("906-340000-210",B:AB,4+8,0),0)</f>
        <v>0</v>
      </c>
      <c r="N1856">
        <f>IFERROR(VLOOKUP("906-340000-210",B:AB,5+8,0),0)</f>
        <v>0</v>
      </c>
      <c r="O1856">
        <f>IFERROR(VLOOKUP("906-340000-210",B:AB,6+8,0),0)</f>
        <v>0</v>
      </c>
      <c r="P1856">
        <f>IFERROR(VLOOKUP("906-340000-210",B:AB,7+8,0),0)</f>
        <v>0</v>
      </c>
      <c r="Q1856">
        <f>IFERROR(VLOOKUP("906-340000-210",B:AB,8+8,0),0)</f>
        <v>0</v>
      </c>
      <c r="R1856">
        <f>IFERROR(VLOOKUP("906-340000-210",B:AB,9+8,0),0)</f>
        <v>0</v>
      </c>
      <c r="S1856">
        <f>IFERROR(VLOOKUP("906-340000-210",B:AB,10+8,0),0)</f>
        <v>0</v>
      </c>
      <c r="T1856">
        <f>IFERROR(VLOOKUP("906-340000-210",B:AB,11+8,0),0)</f>
        <v>0</v>
      </c>
      <c r="U1856">
        <f>IFERROR(VLOOKUP("906-340000-210",B:AB,12+8,0),0)</f>
        <v>0</v>
      </c>
      <c r="V1856">
        <f>IFERROR(VLOOKUP("906-340000-210",B:AB,13+8,0),0)</f>
        <v>0</v>
      </c>
      <c r="W1856">
        <f>IFERROR(VLOOKUP("906-340000-210",B:AB,14+8,0),0)</f>
        <v>0</v>
      </c>
      <c r="X1856">
        <f>IFERROR(VLOOKUP("906-340000-210",B:AB,15+8,0),0)</f>
        <v>0</v>
      </c>
      <c r="Y1856">
        <f>IFERROR(VLOOKUP("906-340000-210",B:AB,16+8,0),0)</f>
        <v>0</v>
      </c>
      <c r="Z1856">
        <f>IFERROR(VLOOKUP("906-340000-210",B:AB,17+8,0),0)</f>
        <v>0</v>
      </c>
      <c r="AA1856">
        <f>IFERROR(VLOOKUP("906-340000-210",B:AB,18+8,0),0)</f>
        <v>0</v>
      </c>
      <c r="AB1856">
        <f>IFERROR(VLOOKUP("906-340000-210",B:AB,19+8,0),0)</f>
        <v>0</v>
      </c>
      <c r="AC1856">
        <f>IFERROR(VLOOKUP("906-340000-210",B:AB,20+8,0),0)</f>
        <v>0</v>
      </c>
      <c r="AD1856">
        <f>IFERROR(VLOOKUP("906-340000-210",B:AB,21+8,0),0)</f>
        <v>0</v>
      </c>
      <c r="AE1856">
        <f>IFERROR(VLOOKUP("906-340000-210",B:AB,22+8,0),0)</f>
        <v>0</v>
      </c>
      <c r="AF1856">
        <f>IFERROR(VLOOKUP("906-340000-210",B:AB,23+8,0),0)</f>
        <v>0</v>
      </c>
      <c r="AG1856">
        <f>IFERROR(VLOOKUP("906-340000-210",B:AB,24+8,0),0)</f>
        <v>0</v>
      </c>
      <c r="AH1856">
        <f>IFERROR(VLOOKUP("906-340000-210",B:AB,25+8,0),0)</f>
        <v>0</v>
      </c>
      <c r="AI1856">
        <f>IFERROR(VLOOKUP("906-340000-210",B:AB,26+8,0),0)</f>
        <v>0</v>
      </c>
      <c r="AJ1856">
        <f>IFERROR(VLOOKUP("906-340000-210",B:AB,27+8,0),0)</f>
        <v>0</v>
      </c>
      <c r="AK1856">
        <f>IFERROR(VLOOKUP("906-340000-210",B:AB,28+8,0),0)</f>
        <v>0</v>
      </c>
      <c r="AL1856">
        <f>IFERROR(VLOOKUP("906-340000-210",B:AB,29+8,0),0)</f>
        <v>0</v>
      </c>
      <c r="AM1856">
        <f>IFERROR(VLOOKUP("906-340000-210",B:AB,30+8,0),0)</f>
        <v>0</v>
      </c>
      <c r="AN1856">
        <f>IFERROR(VLOOKUP("906-340000-210",B:AB,31+8,0),0)</f>
        <v>0</v>
      </c>
      <c r="AO1856">
        <f>SUN(INDIRECT(ADDRESS(1855,8)):INDIRECT(ADDRESS(1855,39)))</f>
        <v>0</v>
      </c>
    </row>
    <row r="1857" spans="1:41">
      <c r="H1857" t="s">
        <v>179</v>
      </c>
      <c r="J1857">
        <f>INDIRECT(ADDRESS(1857,9))+INDIRECT(ADDRESS(1855,10))-INDIRECT(ADDRESS(1856,10))</f>
        <v>0</v>
      </c>
      <c r="K1857">
        <f>INDIRECT(ADDRESS(1857,10))+INDIRECT(ADDRESS(1855,11))-INDIRECT(ADDRESS(1856,11))</f>
        <v>0</v>
      </c>
      <c r="L1857">
        <f>INDIRECT(ADDRESS(1857,11))+INDIRECT(ADDRESS(1855,12))-INDIRECT(ADDRESS(1856,12))</f>
        <v>0</v>
      </c>
      <c r="M1857">
        <f>INDIRECT(ADDRESS(1857,12))+INDIRECT(ADDRESS(1855,13))-INDIRECT(ADDRESS(1856,13))</f>
        <v>0</v>
      </c>
      <c r="N1857">
        <f>INDIRECT(ADDRESS(1857,13))+INDIRECT(ADDRESS(1855,14))-INDIRECT(ADDRESS(1856,14))</f>
        <v>0</v>
      </c>
      <c r="O1857">
        <f>INDIRECT(ADDRESS(1857,14))+INDIRECT(ADDRESS(1855,15))-INDIRECT(ADDRESS(1856,15))</f>
        <v>0</v>
      </c>
      <c r="P1857">
        <f>INDIRECT(ADDRESS(1857,15))+INDIRECT(ADDRESS(1855,16))-INDIRECT(ADDRESS(1856,16))</f>
        <v>0</v>
      </c>
      <c r="Q1857">
        <f>INDIRECT(ADDRESS(1857,16))+INDIRECT(ADDRESS(1855,17))-INDIRECT(ADDRESS(1856,17))</f>
        <v>0</v>
      </c>
      <c r="R1857">
        <f>INDIRECT(ADDRESS(1857,17))+INDIRECT(ADDRESS(1855,18))-INDIRECT(ADDRESS(1856,18))</f>
        <v>0</v>
      </c>
      <c r="S1857">
        <f>INDIRECT(ADDRESS(1857,18))+INDIRECT(ADDRESS(1855,19))-INDIRECT(ADDRESS(1856,19))</f>
        <v>0</v>
      </c>
      <c r="T1857">
        <f>INDIRECT(ADDRESS(1857,19))+INDIRECT(ADDRESS(1855,20))-INDIRECT(ADDRESS(1856,20))</f>
        <v>0</v>
      </c>
      <c r="U1857">
        <f>INDIRECT(ADDRESS(1857,20))+INDIRECT(ADDRESS(1855,21))-INDIRECT(ADDRESS(1856,21))</f>
        <v>0</v>
      </c>
      <c r="V1857">
        <f>INDIRECT(ADDRESS(1857,21))+INDIRECT(ADDRESS(1855,22))-INDIRECT(ADDRESS(1856,22))</f>
        <v>0</v>
      </c>
      <c r="W1857">
        <f>INDIRECT(ADDRESS(1857,22))+INDIRECT(ADDRESS(1855,23))-INDIRECT(ADDRESS(1856,23))</f>
        <v>0</v>
      </c>
      <c r="X1857">
        <f>INDIRECT(ADDRESS(1857,23))+INDIRECT(ADDRESS(1855,24))-INDIRECT(ADDRESS(1856,24))</f>
        <v>0</v>
      </c>
      <c r="Y1857">
        <f>INDIRECT(ADDRESS(1857,24))+INDIRECT(ADDRESS(1855,25))-INDIRECT(ADDRESS(1856,25))</f>
        <v>0</v>
      </c>
      <c r="Z1857">
        <f>INDIRECT(ADDRESS(1857,25))+INDIRECT(ADDRESS(1855,26))-INDIRECT(ADDRESS(1856,26))</f>
        <v>0</v>
      </c>
      <c r="AA1857">
        <f>INDIRECT(ADDRESS(1857,26))+INDIRECT(ADDRESS(1855,27))-INDIRECT(ADDRESS(1856,27))</f>
        <v>0</v>
      </c>
      <c r="AB1857">
        <f>INDIRECT(ADDRESS(1857,27))+INDIRECT(ADDRESS(1855,28))-INDIRECT(ADDRESS(1856,28))</f>
        <v>0</v>
      </c>
      <c r="AC1857">
        <f>INDIRECT(ADDRESS(1857,28))+INDIRECT(ADDRESS(1855,29))-INDIRECT(ADDRESS(1856,29))</f>
        <v>0</v>
      </c>
      <c r="AD1857">
        <f>INDIRECT(ADDRESS(1857,29))+INDIRECT(ADDRESS(1855,30))-INDIRECT(ADDRESS(1856,30))</f>
        <v>0</v>
      </c>
      <c r="AE1857">
        <f>INDIRECT(ADDRESS(1857,30))+INDIRECT(ADDRESS(1855,31))-INDIRECT(ADDRESS(1856,31))</f>
        <v>0</v>
      </c>
      <c r="AF1857">
        <f>INDIRECT(ADDRESS(1857,31))+INDIRECT(ADDRESS(1855,32))-INDIRECT(ADDRESS(1856,32))</f>
        <v>0</v>
      </c>
      <c r="AG1857">
        <f>INDIRECT(ADDRESS(1857,32))+INDIRECT(ADDRESS(1855,33))-INDIRECT(ADDRESS(1856,33))</f>
        <v>0</v>
      </c>
      <c r="AH1857">
        <f>INDIRECT(ADDRESS(1857,33))+INDIRECT(ADDRESS(1855,34))-INDIRECT(ADDRESS(1856,34))</f>
        <v>0</v>
      </c>
      <c r="AI1857">
        <f>INDIRECT(ADDRESS(1857,34))+INDIRECT(ADDRESS(1855,35))-INDIRECT(ADDRESS(1856,35))</f>
        <v>0</v>
      </c>
      <c r="AJ1857">
        <f>INDIRECT(ADDRESS(1857,35))+INDIRECT(ADDRESS(1855,36))-INDIRECT(ADDRESS(1856,36))</f>
        <v>0</v>
      </c>
      <c r="AK1857">
        <f>INDIRECT(ADDRESS(1857,36))+INDIRECT(ADDRESS(1855,37))-INDIRECT(ADDRESS(1856,37))</f>
        <v>0</v>
      </c>
      <c r="AL1857">
        <f>INDIRECT(ADDRESS(1857,37))+INDIRECT(ADDRESS(1855,38))-INDIRECT(ADDRESS(1856,38))</f>
        <v>0</v>
      </c>
      <c r="AM1857">
        <f>INDIRECT(ADDRESS(1857,38))+INDIRECT(ADDRESS(1855,39))-INDIRECT(ADDRESS(1856,39))</f>
        <v>0</v>
      </c>
      <c r="AN1857">
        <f>INDIRECT(ADDRESS(1857,39))+INDIRECT(ADDRESS(1855,40))-INDIRECT(ADDRESS(1856,40))</f>
        <v>0</v>
      </c>
      <c r="AO1857">
        <f>SUM(INDIRECT(ADDRESS(1856,8)):INDIRECT(ADDRESS(1856,39)))</f>
        <v>0</v>
      </c>
    </row>
    <row r="1858" spans="1:41">
      <c r="A1858" t="s">
        <v>180</v>
      </c>
      <c r="B1858" t="s">
        <v>840</v>
      </c>
      <c r="C1858" t="s">
        <v>841</v>
      </c>
      <c r="E1858">
        <v>1</v>
      </c>
      <c r="I1858" t="s">
        <v>177</v>
      </c>
    </row>
    <row r="1859" spans="1:41">
      <c r="I1859" t="s">
        <v>178</v>
      </c>
      <c r="J1859">
        <f>IFERROR(VLOOKUP("906-340000-210",B:AB,1+8,0),0)</f>
        <v>0</v>
      </c>
      <c r="K1859">
        <f>IFERROR(VLOOKUP("906-340000-210",B:AB,2+8,0),0)</f>
        <v>0</v>
      </c>
      <c r="L1859">
        <f>IFERROR(VLOOKUP("906-340000-210",B:AB,3+8,0),0)</f>
        <v>0</v>
      </c>
      <c r="M1859">
        <f>IFERROR(VLOOKUP("906-340000-210",B:AB,4+8,0),0)</f>
        <v>0</v>
      </c>
      <c r="N1859">
        <f>IFERROR(VLOOKUP("906-340000-210",B:AB,5+8,0),0)</f>
        <v>0</v>
      </c>
      <c r="O1859">
        <f>IFERROR(VLOOKUP("906-340000-210",B:AB,6+8,0),0)</f>
        <v>0</v>
      </c>
      <c r="P1859">
        <f>IFERROR(VLOOKUP("906-340000-210",B:AB,7+8,0),0)</f>
        <v>0</v>
      </c>
      <c r="Q1859">
        <f>IFERROR(VLOOKUP("906-340000-210",B:AB,8+8,0),0)</f>
        <v>0</v>
      </c>
      <c r="R1859">
        <f>IFERROR(VLOOKUP("906-340000-210",B:AB,9+8,0),0)</f>
        <v>0</v>
      </c>
      <c r="S1859">
        <f>IFERROR(VLOOKUP("906-340000-210",B:AB,10+8,0),0)</f>
        <v>0</v>
      </c>
      <c r="T1859">
        <f>IFERROR(VLOOKUP("906-340000-210",B:AB,11+8,0),0)</f>
        <v>0</v>
      </c>
      <c r="U1859">
        <f>IFERROR(VLOOKUP("906-340000-210",B:AB,12+8,0),0)</f>
        <v>0</v>
      </c>
      <c r="V1859">
        <f>IFERROR(VLOOKUP("906-340000-210",B:AB,13+8,0),0)</f>
        <v>0</v>
      </c>
      <c r="W1859">
        <f>IFERROR(VLOOKUP("906-340000-210",B:AB,14+8,0),0)</f>
        <v>0</v>
      </c>
      <c r="X1859">
        <f>IFERROR(VLOOKUP("906-340000-210",B:AB,15+8,0),0)</f>
        <v>0</v>
      </c>
      <c r="Y1859">
        <f>IFERROR(VLOOKUP("906-340000-210",B:AB,16+8,0),0)</f>
        <v>0</v>
      </c>
      <c r="Z1859">
        <f>IFERROR(VLOOKUP("906-340000-210",B:AB,17+8,0),0)</f>
        <v>0</v>
      </c>
      <c r="AA1859">
        <f>IFERROR(VLOOKUP("906-340000-210",B:AB,18+8,0),0)</f>
        <v>0</v>
      </c>
      <c r="AB1859">
        <f>IFERROR(VLOOKUP("906-340000-210",B:AB,19+8,0),0)</f>
        <v>0</v>
      </c>
      <c r="AC1859">
        <f>IFERROR(VLOOKUP("906-340000-210",B:AB,20+8,0),0)</f>
        <v>0</v>
      </c>
      <c r="AD1859">
        <f>IFERROR(VLOOKUP("906-340000-210",B:AB,21+8,0),0)</f>
        <v>0</v>
      </c>
      <c r="AE1859">
        <f>IFERROR(VLOOKUP("906-340000-210",B:AB,22+8,0),0)</f>
        <v>0</v>
      </c>
      <c r="AF1859">
        <f>IFERROR(VLOOKUP("906-340000-210",B:AB,23+8,0),0)</f>
        <v>0</v>
      </c>
      <c r="AG1859">
        <f>IFERROR(VLOOKUP("906-340000-210",B:AB,24+8,0),0)</f>
        <v>0</v>
      </c>
      <c r="AH1859">
        <f>IFERROR(VLOOKUP("906-340000-210",B:AB,25+8,0),0)</f>
        <v>0</v>
      </c>
      <c r="AI1859">
        <f>IFERROR(VLOOKUP("906-340000-210",B:AB,26+8,0),0)</f>
        <v>0</v>
      </c>
      <c r="AJ1859">
        <f>IFERROR(VLOOKUP("906-340000-210",B:AB,27+8,0),0)</f>
        <v>0</v>
      </c>
      <c r="AK1859">
        <f>IFERROR(VLOOKUP("906-340000-210",B:AB,28+8,0),0)</f>
        <v>0</v>
      </c>
      <c r="AL1859">
        <f>IFERROR(VLOOKUP("906-340000-210",B:AB,29+8,0),0)</f>
        <v>0</v>
      </c>
      <c r="AM1859">
        <f>IFERROR(VLOOKUP("906-340000-210",B:AB,30+8,0),0)</f>
        <v>0</v>
      </c>
      <c r="AN1859">
        <f>IFERROR(VLOOKUP("906-340000-210",B:AB,31+8,0),0)</f>
        <v>0</v>
      </c>
      <c r="AO1859">
        <f>SUN(INDIRECT(ADDRESS(1858,8)):INDIRECT(ADDRESS(1858,39)))</f>
        <v>0</v>
      </c>
    </row>
    <row r="1860" spans="1:41">
      <c r="H1860" t="s">
        <v>179</v>
      </c>
      <c r="J1860">
        <f>INDIRECT(ADDRESS(1860,9))+INDIRECT(ADDRESS(1858,10))-INDIRECT(ADDRESS(1859,10))</f>
        <v>0</v>
      </c>
      <c r="K1860">
        <f>INDIRECT(ADDRESS(1860,10))+INDIRECT(ADDRESS(1858,11))-INDIRECT(ADDRESS(1859,11))</f>
        <v>0</v>
      </c>
      <c r="L1860">
        <f>INDIRECT(ADDRESS(1860,11))+INDIRECT(ADDRESS(1858,12))-INDIRECT(ADDRESS(1859,12))</f>
        <v>0</v>
      </c>
      <c r="M1860">
        <f>INDIRECT(ADDRESS(1860,12))+INDIRECT(ADDRESS(1858,13))-INDIRECT(ADDRESS(1859,13))</f>
        <v>0</v>
      </c>
      <c r="N1860">
        <f>INDIRECT(ADDRESS(1860,13))+INDIRECT(ADDRESS(1858,14))-INDIRECT(ADDRESS(1859,14))</f>
        <v>0</v>
      </c>
      <c r="O1860">
        <f>INDIRECT(ADDRESS(1860,14))+INDIRECT(ADDRESS(1858,15))-INDIRECT(ADDRESS(1859,15))</f>
        <v>0</v>
      </c>
      <c r="P1860">
        <f>INDIRECT(ADDRESS(1860,15))+INDIRECT(ADDRESS(1858,16))-INDIRECT(ADDRESS(1859,16))</f>
        <v>0</v>
      </c>
      <c r="Q1860">
        <f>INDIRECT(ADDRESS(1860,16))+INDIRECT(ADDRESS(1858,17))-INDIRECT(ADDRESS(1859,17))</f>
        <v>0</v>
      </c>
      <c r="R1860">
        <f>INDIRECT(ADDRESS(1860,17))+INDIRECT(ADDRESS(1858,18))-INDIRECT(ADDRESS(1859,18))</f>
        <v>0</v>
      </c>
      <c r="S1860">
        <f>INDIRECT(ADDRESS(1860,18))+INDIRECT(ADDRESS(1858,19))-INDIRECT(ADDRESS(1859,19))</f>
        <v>0</v>
      </c>
      <c r="T1860">
        <f>INDIRECT(ADDRESS(1860,19))+INDIRECT(ADDRESS(1858,20))-INDIRECT(ADDRESS(1859,20))</f>
        <v>0</v>
      </c>
      <c r="U1860">
        <f>INDIRECT(ADDRESS(1860,20))+INDIRECT(ADDRESS(1858,21))-INDIRECT(ADDRESS(1859,21))</f>
        <v>0</v>
      </c>
      <c r="V1860">
        <f>INDIRECT(ADDRESS(1860,21))+INDIRECT(ADDRESS(1858,22))-INDIRECT(ADDRESS(1859,22))</f>
        <v>0</v>
      </c>
      <c r="W1860">
        <f>INDIRECT(ADDRESS(1860,22))+INDIRECT(ADDRESS(1858,23))-INDIRECT(ADDRESS(1859,23))</f>
        <v>0</v>
      </c>
      <c r="X1860">
        <f>INDIRECT(ADDRESS(1860,23))+INDIRECT(ADDRESS(1858,24))-INDIRECT(ADDRESS(1859,24))</f>
        <v>0</v>
      </c>
      <c r="Y1860">
        <f>INDIRECT(ADDRESS(1860,24))+INDIRECT(ADDRESS(1858,25))-INDIRECT(ADDRESS(1859,25))</f>
        <v>0</v>
      </c>
      <c r="Z1860">
        <f>INDIRECT(ADDRESS(1860,25))+INDIRECT(ADDRESS(1858,26))-INDIRECT(ADDRESS(1859,26))</f>
        <v>0</v>
      </c>
      <c r="AA1860">
        <f>INDIRECT(ADDRESS(1860,26))+INDIRECT(ADDRESS(1858,27))-INDIRECT(ADDRESS(1859,27))</f>
        <v>0</v>
      </c>
      <c r="AB1860">
        <f>INDIRECT(ADDRESS(1860,27))+INDIRECT(ADDRESS(1858,28))-INDIRECT(ADDRESS(1859,28))</f>
        <v>0</v>
      </c>
      <c r="AC1860">
        <f>INDIRECT(ADDRESS(1860,28))+INDIRECT(ADDRESS(1858,29))-INDIRECT(ADDRESS(1859,29))</f>
        <v>0</v>
      </c>
      <c r="AD1860">
        <f>INDIRECT(ADDRESS(1860,29))+INDIRECT(ADDRESS(1858,30))-INDIRECT(ADDRESS(1859,30))</f>
        <v>0</v>
      </c>
      <c r="AE1860">
        <f>INDIRECT(ADDRESS(1860,30))+INDIRECT(ADDRESS(1858,31))-INDIRECT(ADDRESS(1859,31))</f>
        <v>0</v>
      </c>
      <c r="AF1860">
        <f>INDIRECT(ADDRESS(1860,31))+INDIRECT(ADDRESS(1858,32))-INDIRECT(ADDRESS(1859,32))</f>
        <v>0</v>
      </c>
      <c r="AG1860">
        <f>INDIRECT(ADDRESS(1860,32))+INDIRECT(ADDRESS(1858,33))-INDIRECT(ADDRESS(1859,33))</f>
        <v>0</v>
      </c>
      <c r="AH1860">
        <f>INDIRECT(ADDRESS(1860,33))+INDIRECT(ADDRESS(1858,34))-INDIRECT(ADDRESS(1859,34))</f>
        <v>0</v>
      </c>
      <c r="AI1860">
        <f>INDIRECT(ADDRESS(1860,34))+INDIRECT(ADDRESS(1858,35))-INDIRECT(ADDRESS(1859,35))</f>
        <v>0</v>
      </c>
      <c r="AJ1860">
        <f>INDIRECT(ADDRESS(1860,35))+INDIRECT(ADDRESS(1858,36))-INDIRECT(ADDRESS(1859,36))</f>
        <v>0</v>
      </c>
      <c r="AK1860">
        <f>INDIRECT(ADDRESS(1860,36))+INDIRECT(ADDRESS(1858,37))-INDIRECT(ADDRESS(1859,37))</f>
        <v>0</v>
      </c>
      <c r="AL1860">
        <f>INDIRECT(ADDRESS(1860,37))+INDIRECT(ADDRESS(1858,38))-INDIRECT(ADDRESS(1859,38))</f>
        <v>0</v>
      </c>
      <c r="AM1860">
        <f>INDIRECT(ADDRESS(1860,38))+INDIRECT(ADDRESS(1858,39))-INDIRECT(ADDRESS(1859,39))</f>
        <v>0</v>
      </c>
      <c r="AN1860">
        <f>INDIRECT(ADDRESS(1860,39))+INDIRECT(ADDRESS(1858,40))-INDIRECT(ADDRESS(1859,40))</f>
        <v>0</v>
      </c>
      <c r="AO1860">
        <f>SUM(INDIRECT(ADDRESS(1859,8)):INDIRECT(ADDRESS(1859,39)))</f>
        <v>0</v>
      </c>
    </row>
    <row r="1861" spans="1:41">
      <c r="A1861" t="s">
        <v>185</v>
      </c>
      <c r="B1861" t="s">
        <v>848</v>
      </c>
      <c r="C1861" t="s">
        <v>843</v>
      </c>
      <c r="E1861">
        <v>1</v>
      </c>
      <c r="I1861" t="s">
        <v>177</v>
      </c>
    </row>
    <row r="1862" spans="1:41">
      <c r="I1862" t="s">
        <v>178</v>
      </c>
      <c r="J1862">
        <f>IFERROR(VLOOKUP("906-340000-210",B:AB,1+8,0),0)</f>
        <v>0</v>
      </c>
      <c r="K1862">
        <f>IFERROR(VLOOKUP("906-340000-210",B:AB,2+8,0),0)</f>
        <v>0</v>
      </c>
      <c r="L1862">
        <f>IFERROR(VLOOKUP("906-340000-210",B:AB,3+8,0),0)</f>
        <v>0</v>
      </c>
      <c r="M1862">
        <f>IFERROR(VLOOKUP("906-340000-210",B:AB,4+8,0),0)</f>
        <v>0</v>
      </c>
      <c r="N1862">
        <f>IFERROR(VLOOKUP("906-340000-210",B:AB,5+8,0),0)</f>
        <v>0</v>
      </c>
      <c r="O1862">
        <f>IFERROR(VLOOKUP("906-340000-210",B:AB,6+8,0),0)</f>
        <v>0</v>
      </c>
      <c r="P1862">
        <f>IFERROR(VLOOKUP("906-340000-210",B:AB,7+8,0),0)</f>
        <v>0</v>
      </c>
      <c r="Q1862">
        <f>IFERROR(VLOOKUP("906-340000-210",B:AB,8+8,0),0)</f>
        <v>0</v>
      </c>
      <c r="R1862">
        <f>IFERROR(VLOOKUP("906-340000-210",B:AB,9+8,0),0)</f>
        <v>0</v>
      </c>
      <c r="S1862">
        <f>IFERROR(VLOOKUP("906-340000-210",B:AB,10+8,0),0)</f>
        <v>0</v>
      </c>
      <c r="T1862">
        <f>IFERROR(VLOOKUP("906-340000-210",B:AB,11+8,0),0)</f>
        <v>0</v>
      </c>
      <c r="U1862">
        <f>IFERROR(VLOOKUP("906-340000-210",B:AB,12+8,0),0)</f>
        <v>0</v>
      </c>
      <c r="V1862">
        <f>IFERROR(VLOOKUP("906-340000-210",B:AB,13+8,0),0)</f>
        <v>0</v>
      </c>
      <c r="W1862">
        <f>IFERROR(VLOOKUP("906-340000-210",B:AB,14+8,0),0)</f>
        <v>0</v>
      </c>
      <c r="X1862">
        <f>IFERROR(VLOOKUP("906-340000-210",B:AB,15+8,0),0)</f>
        <v>0</v>
      </c>
      <c r="Y1862">
        <f>IFERROR(VLOOKUP("906-340000-210",B:AB,16+8,0),0)</f>
        <v>0</v>
      </c>
      <c r="Z1862">
        <f>IFERROR(VLOOKUP("906-340000-210",B:AB,17+8,0),0)</f>
        <v>0</v>
      </c>
      <c r="AA1862">
        <f>IFERROR(VLOOKUP("906-340000-210",B:AB,18+8,0),0)</f>
        <v>0</v>
      </c>
      <c r="AB1862">
        <f>IFERROR(VLOOKUP("906-340000-210",B:AB,19+8,0),0)</f>
        <v>0</v>
      </c>
      <c r="AC1862">
        <f>IFERROR(VLOOKUP("906-340000-210",B:AB,20+8,0),0)</f>
        <v>0</v>
      </c>
      <c r="AD1862">
        <f>IFERROR(VLOOKUP("906-340000-210",B:AB,21+8,0),0)</f>
        <v>0</v>
      </c>
      <c r="AE1862">
        <f>IFERROR(VLOOKUP("906-340000-210",B:AB,22+8,0),0)</f>
        <v>0</v>
      </c>
      <c r="AF1862">
        <f>IFERROR(VLOOKUP("906-340000-210",B:AB,23+8,0),0)</f>
        <v>0</v>
      </c>
      <c r="AG1862">
        <f>IFERROR(VLOOKUP("906-340000-210",B:AB,24+8,0),0)</f>
        <v>0</v>
      </c>
      <c r="AH1862">
        <f>IFERROR(VLOOKUP("906-340000-210",B:AB,25+8,0),0)</f>
        <v>0</v>
      </c>
      <c r="AI1862">
        <f>IFERROR(VLOOKUP("906-340000-210",B:AB,26+8,0),0)</f>
        <v>0</v>
      </c>
      <c r="AJ1862">
        <f>IFERROR(VLOOKUP("906-340000-210",B:AB,27+8,0),0)</f>
        <v>0</v>
      </c>
      <c r="AK1862">
        <f>IFERROR(VLOOKUP("906-340000-210",B:AB,28+8,0),0)</f>
        <v>0</v>
      </c>
      <c r="AL1862">
        <f>IFERROR(VLOOKUP("906-340000-210",B:AB,29+8,0),0)</f>
        <v>0</v>
      </c>
      <c r="AM1862">
        <f>IFERROR(VLOOKUP("906-340000-210",B:AB,30+8,0),0)</f>
        <v>0</v>
      </c>
      <c r="AN1862">
        <f>IFERROR(VLOOKUP("906-340000-210",B:AB,31+8,0),0)</f>
        <v>0</v>
      </c>
      <c r="AO1862">
        <f>SUN(INDIRECT(ADDRESS(1861,8)):INDIRECT(ADDRESS(1861,39)))</f>
        <v>0</v>
      </c>
    </row>
    <row r="1863" spans="1:41">
      <c r="H1863" t="s">
        <v>179</v>
      </c>
      <c r="J1863">
        <f>INDIRECT(ADDRESS(1863,9))+INDIRECT(ADDRESS(1861,10))-INDIRECT(ADDRESS(1862,10))</f>
        <v>0</v>
      </c>
      <c r="K1863">
        <f>INDIRECT(ADDRESS(1863,10))+INDIRECT(ADDRESS(1861,11))-INDIRECT(ADDRESS(1862,11))</f>
        <v>0</v>
      </c>
      <c r="L1863">
        <f>INDIRECT(ADDRESS(1863,11))+INDIRECT(ADDRESS(1861,12))-INDIRECT(ADDRESS(1862,12))</f>
        <v>0</v>
      </c>
      <c r="M1863">
        <f>INDIRECT(ADDRESS(1863,12))+INDIRECT(ADDRESS(1861,13))-INDIRECT(ADDRESS(1862,13))</f>
        <v>0</v>
      </c>
      <c r="N1863">
        <f>INDIRECT(ADDRESS(1863,13))+INDIRECT(ADDRESS(1861,14))-INDIRECT(ADDRESS(1862,14))</f>
        <v>0</v>
      </c>
      <c r="O1863">
        <f>INDIRECT(ADDRESS(1863,14))+INDIRECT(ADDRESS(1861,15))-INDIRECT(ADDRESS(1862,15))</f>
        <v>0</v>
      </c>
      <c r="P1863">
        <f>INDIRECT(ADDRESS(1863,15))+INDIRECT(ADDRESS(1861,16))-INDIRECT(ADDRESS(1862,16))</f>
        <v>0</v>
      </c>
      <c r="Q1863">
        <f>INDIRECT(ADDRESS(1863,16))+INDIRECT(ADDRESS(1861,17))-INDIRECT(ADDRESS(1862,17))</f>
        <v>0</v>
      </c>
      <c r="R1863">
        <f>INDIRECT(ADDRESS(1863,17))+INDIRECT(ADDRESS(1861,18))-INDIRECT(ADDRESS(1862,18))</f>
        <v>0</v>
      </c>
      <c r="S1863">
        <f>INDIRECT(ADDRESS(1863,18))+INDIRECT(ADDRESS(1861,19))-INDIRECT(ADDRESS(1862,19))</f>
        <v>0</v>
      </c>
      <c r="T1863">
        <f>INDIRECT(ADDRESS(1863,19))+INDIRECT(ADDRESS(1861,20))-INDIRECT(ADDRESS(1862,20))</f>
        <v>0</v>
      </c>
      <c r="U1863">
        <f>INDIRECT(ADDRESS(1863,20))+INDIRECT(ADDRESS(1861,21))-INDIRECT(ADDRESS(1862,21))</f>
        <v>0</v>
      </c>
      <c r="V1863">
        <f>INDIRECT(ADDRESS(1863,21))+INDIRECT(ADDRESS(1861,22))-INDIRECT(ADDRESS(1862,22))</f>
        <v>0</v>
      </c>
      <c r="W1863">
        <f>INDIRECT(ADDRESS(1863,22))+INDIRECT(ADDRESS(1861,23))-INDIRECT(ADDRESS(1862,23))</f>
        <v>0</v>
      </c>
      <c r="X1863">
        <f>INDIRECT(ADDRESS(1863,23))+INDIRECT(ADDRESS(1861,24))-INDIRECT(ADDRESS(1862,24))</f>
        <v>0</v>
      </c>
      <c r="Y1863">
        <f>INDIRECT(ADDRESS(1863,24))+INDIRECT(ADDRESS(1861,25))-INDIRECT(ADDRESS(1862,25))</f>
        <v>0</v>
      </c>
      <c r="Z1863">
        <f>INDIRECT(ADDRESS(1863,25))+INDIRECT(ADDRESS(1861,26))-INDIRECT(ADDRESS(1862,26))</f>
        <v>0</v>
      </c>
      <c r="AA1863">
        <f>INDIRECT(ADDRESS(1863,26))+INDIRECT(ADDRESS(1861,27))-INDIRECT(ADDRESS(1862,27))</f>
        <v>0</v>
      </c>
      <c r="AB1863">
        <f>INDIRECT(ADDRESS(1863,27))+INDIRECT(ADDRESS(1861,28))-INDIRECT(ADDRESS(1862,28))</f>
        <v>0</v>
      </c>
      <c r="AC1863">
        <f>INDIRECT(ADDRESS(1863,28))+INDIRECT(ADDRESS(1861,29))-INDIRECT(ADDRESS(1862,29))</f>
        <v>0</v>
      </c>
      <c r="AD1863">
        <f>INDIRECT(ADDRESS(1863,29))+INDIRECT(ADDRESS(1861,30))-INDIRECT(ADDRESS(1862,30))</f>
        <v>0</v>
      </c>
      <c r="AE1863">
        <f>INDIRECT(ADDRESS(1863,30))+INDIRECT(ADDRESS(1861,31))-INDIRECT(ADDRESS(1862,31))</f>
        <v>0</v>
      </c>
      <c r="AF1863">
        <f>INDIRECT(ADDRESS(1863,31))+INDIRECT(ADDRESS(1861,32))-INDIRECT(ADDRESS(1862,32))</f>
        <v>0</v>
      </c>
      <c r="AG1863">
        <f>INDIRECT(ADDRESS(1863,32))+INDIRECT(ADDRESS(1861,33))-INDIRECT(ADDRESS(1862,33))</f>
        <v>0</v>
      </c>
      <c r="AH1863">
        <f>INDIRECT(ADDRESS(1863,33))+INDIRECT(ADDRESS(1861,34))-INDIRECT(ADDRESS(1862,34))</f>
        <v>0</v>
      </c>
      <c r="AI1863">
        <f>INDIRECT(ADDRESS(1863,34))+INDIRECT(ADDRESS(1861,35))-INDIRECT(ADDRESS(1862,35))</f>
        <v>0</v>
      </c>
      <c r="AJ1863">
        <f>INDIRECT(ADDRESS(1863,35))+INDIRECT(ADDRESS(1861,36))-INDIRECT(ADDRESS(1862,36))</f>
        <v>0</v>
      </c>
      <c r="AK1863">
        <f>INDIRECT(ADDRESS(1863,36))+INDIRECT(ADDRESS(1861,37))-INDIRECT(ADDRESS(1862,37))</f>
        <v>0</v>
      </c>
      <c r="AL1863">
        <f>INDIRECT(ADDRESS(1863,37))+INDIRECT(ADDRESS(1861,38))-INDIRECT(ADDRESS(1862,38))</f>
        <v>0</v>
      </c>
      <c r="AM1863">
        <f>INDIRECT(ADDRESS(1863,38))+INDIRECT(ADDRESS(1861,39))-INDIRECT(ADDRESS(1862,39))</f>
        <v>0</v>
      </c>
      <c r="AN1863">
        <f>INDIRECT(ADDRESS(1863,39))+INDIRECT(ADDRESS(1861,40))-INDIRECT(ADDRESS(1862,40))</f>
        <v>0</v>
      </c>
      <c r="AO1863">
        <f>SUM(INDIRECT(ADDRESS(1862,8)):INDIRECT(ADDRESS(1862,39)))</f>
        <v>0</v>
      </c>
    </row>
    <row r="1864" spans="1:41">
      <c r="A1864" t="s">
        <v>185</v>
      </c>
      <c r="B1864" t="s">
        <v>160</v>
      </c>
      <c r="C1864" t="s">
        <v>845</v>
      </c>
      <c r="E1864">
        <v>0.003</v>
      </c>
      <c r="I1864" t="s">
        <v>177</v>
      </c>
    </row>
    <row r="1865" spans="1:41">
      <c r="I1865" t="s">
        <v>178</v>
      </c>
      <c r="J1865">
        <f>IFERROR(VLOOKUP("906-340000-210",B:AB,1+8,0),0)</f>
        <v>0</v>
      </c>
      <c r="K1865">
        <f>IFERROR(VLOOKUP("906-340000-210",B:AB,2+8,0),0)</f>
        <v>0</v>
      </c>
      <c r="L1865">
        <f>IFERROR(VLOOKUP("906-340000-210",B:AB,3+8,0),0)</f>
        <v>0</v>
      </c>
      <c r="M1865">
        <f>IFERROR(VLOOKUP("906-340000-210",B:AB,4+8,0),0)</f>
        <v>0</v>
      </c>
      <c r="N1865">
        <f>IFERROR(VLOOKUP("906-340000-210",B:AB,5+8,0),0)</f>
        <v>0</v>
      </c>
      <c r="O1865">
        <f>IFERROR(VLOOKUP("906-340000-210",B:AB,6+8,0),0)</f>
        <v>0</v>
      </c>
      <c r="P1865">
        <f>IFERROR(VLOOKUP("906-340000-210",B:AB,7+8,0),0)</f>
        <v>0</v>
      </c>
      <c r="Q1865">
        <f>IFERROR(VLOOKUP("906-340000-210",B:AB,8+8,0),0)</f>
        <v>0</v>
      </c>
      <c r="R1865">
        <f>IFERROR(VLOOKUP("906-340000-210",B:AB,9+8,0),0)</f>
        <v>0</v>
      </c>
      <c r="S1865">
        <f>IFERROR(VLOOKUP("906-340000-210",B:AB,10+8,0),0)</f>
        <v>0</v>
      </c>
      <c r="T1865">
        <f>IFERROR(VLOOKUP("906-340000-210",B:AB,11+8,0),0)</f>
        <v>0</v>
      </c>
      <c r="U1865">
        <f>IFERROR(VLOOKUP("906-340000-210",B:AB,12+8,0),0)</f>
        <v>0</v>
      </c>
      <c r="V1865">
        <f>IFERROR(VLOOKUP("906-340000-210",B:AB,13+8,0),0)</f>
        <v>0</v>
      </c>
      <c r="W1865">
        <f>IFERROR(VLOOKUP("906-340000-210",B:AB,14+8,0),0)</f>
        <v>0</v>
      </c>
      <c r="X1865">
        <f>IFERROR(VLOOKUP("906-340000-210",B:AB,15+8,0),0)</f>
        <v>0</v>
      </c>
      <c r="Y1865">
        <f>IFERROR(VLOOKUP("906-340000-210",B:AB,16+8,0),0)</f>
        <v>0</v>
      </c>
      <c r="Z1865">
        <f>IFERROR(VLOOKUP("906-340000-210",B:AB,17+8,0),0)</f>
        <v>0</v>
      </c>
      <c r="AA1865">
        <f>IFERROR(VLOOKUP("906-340000-210",B:AB,18+8,0),0)</f>
        <v>0</v>
      </c>
      <c r="AB1865">
        <f>IFERROR(VLOOKUP("906-340000-210",B:AB,19+8,0),0)</f>
        <v>0</v>
      </c>
      <c r="AC1865">
        <f>IFERROR(VLOOKUP("906-340000-210",B:AB,20+8,0),0)</f>
        <v>0</v>
      </c>
      <c r="AD1865">
        <f>IFERROR(VLOOKUP("906-340000-210",B:AB,21+8,0),0)</f>
        <v>0</v>
      </c>
      <c r="AE1865">
        <f>IFERROR(VLOOKUP("906-340000-210",B:AB,22+8,0),0)</f>
        <v>0</v>
      </c>
      <c r="AF1865">
        <f>IFERROR(VLOOKUP("906-340000-210",B:AB,23+8,0),0)</f>
        <v>0</v>
      </c>
      <c r="AG1865">
        <f>IFERROR(VLOOKUP("906-340000-210",B:AB,24+8,0),0)</f>
        <v>0</v>
      </c>
      <c r="AH1865">
        <f>IFERROR(VLOOKUP("906-340000-210",B:AB,25+8,0),0)</f>
        <v>0</v>
      </c>
      <c r="AI1865">
        <f>IFERROR(VLOOKUP("906-340000-210",B:AB,26+8,0),0)</f>
        <v>0</v>
      </c>
      <c r="AJ1865">
        <f>IFERROR(VLOOKUP("906-340000-210",B:AB,27+8,0),0)</f>
        <v>0</v>
      </c>
      <c r="AK1865">
        <f>IFERROR(VLOOKUP("906-340000-210",B:AB,28+8,0),0)</f>
        <v>0</v>
      </c>
      <c r="AL1865">
        <f>IFERROR(VLOOKUP("906-340000-210",B:AB,29+8,0),0)</f>
        <v>0</v>
      </c>
      <c r="AM1865">
        <f>IFERROR(VLOOKUP("906-340000-210",B:AB,30+8,0),0)</f>
        <v>0</v>
      </c>
      <c r="AN1865">
        <f>IFERROR(VLOOKUP("906-340000-210",B:AB,31+8,0),0)</f>
        <v>0</v>
      </c>
      <c r="AO1865">
        <f>SUN(INDIRECT(ADDRESS(1864,8)):INDIRECT(ADDRESS(1864,39)))</f>
        <v>0</v>
      </c>
    </row>
    <row r="1866" spans="1:41">
      <c r="H1866" t="s">
        <v>179</v>
      </c>
      <c r="J1866">
        <f>INDIRECT(ADDRESS(1866,9))+INDIRECT(ADDRESS(1864,10))-INDIRECT(ADDRESS(1865,10))</f>
        <v>0</v>
      </c>
      <c r="K1866">
        <f>INDIRECT(ADDRESS(1866,10))+INDIRECT(ADDRESS(1864,11))-INDIRECT(ADDRESS(1865,11))</f>
        <v>0</v>
      </c>
      <c r="L1866">
        <f>INDIRECT(ADDRESS(1866,11))+INDIRECT(ADDRESS(1864,12))-INDIRECT(ADDRESS(1865,12))</f>
        <v>0</v>
      </c>
      <c r="M1866">
        <f>INDIRECT(ADDRESS(1866,12))+INDIRECT(ADDRESS(1864,13))-INDIRECT(ADDRESS(1865,13))</f>
        <v>0</v>
      </c>
      <c r="N1866">
        <f>INDIRECT(ADDRESS(1866,13))+INDIRECT(ADDRESS(1864,14))-INDIRECT(ADDRESS(1865,14))</f>
        <v>0</v>
      </c>
      <c r="O1866">
        <f>INDIRECT(ADDRESS(1866,14))+INDIRECT(ADDRESS(1864,15))-INDIRECT(ADDRESS(1865,15))</f>
        <v>0</v>
      </c>
      <c r="P1866">
        <f>INDIRECT(ADDRESS(1866,15))+INDIRECT(ADDRESS(1864,16))-INDIRECT(ADDRESS(1865,16))</f>
        <v>0</v>
      </c>
      <c r="Q1866">
        <f>INDIRECT(ADDRESS(1866,16))+INDIRECT(ADDRESS(1864,17))-INDIRECT(ADDRESS(1865,17))</f>
        <v>0</v>
      </c>
      <c r="R1866">
        <f>INDIRECT(ADDRESS(1866,17))+INDIRECT(ADDRESS(1864,18))-INDIRECT(ADDRESS(1865,18))</f>
        <v>0</v>
      </c>
      <c r="S1866">
        <f>INDIRECT(ADDRESS(1866,18))+INDIRECT(ADDRESS(1864,19))-INDIRECT(ADDRESS(1865,19))</f>
        <v>0</v>
      </c>
      <c r="T1866">
        <f>INDIRECT(ADDRESS(1866,19))+INDIRECT(ADDRESS(1864,20))-INDIRECT(ADDRESS(1865,20))</f>
        <v>0</v>
      </c>
      <c r="U1866">
        <f>INDIRECT(ADDRESS(1866,20))+INDIRECT(ADDRESS(1864,21))-INDIRECT(ADDRESS(1865,21))</f>
        <v>0</v>
      </c>
      <c r="V1866">
        <f>INDIRECT(ADDRESS(1866,21))+INDIRECT(ADDRESS(1864,22))-INDIRECT(ADDRESS(1865,22))</f>
        <v>0</v>
      </c>
      <c r="W1866">
        <f>INDIRECT(ADDRESS(1866,22))+INDIRECT(ADDRESS(1864,23))-INDIRECT(ADDRESS(1865,23))</f>
        <v>0</v>
      </c>
      <c r="X1866">
        <f>INDIRECT(ADDRESS(1866,23))+INDIRECT(ADDRESS(1864,24))-INDIRECT(ADDRESS(1865,24))</f>
        <v>0</v>
      </c>
      <c r="Y1866">
        <f>INDIRECT(ADDRESS(1866,24))+INDIRECT(ADDRESS(1864,25))-INDIRECT(ADDRESS(1865,25))</f>
        <v>0</v>
      </c>
      <c r="Z1866">
        <f>INDIRECT(ADDRESS(1866,25))+INDIRECT(ADDRESS(1864,26))-INDIRECT(ADDRESS(1865,26))</f>
        <v>0</v>
      </c>
      <c r="AA1866">
        <f>INDIRECT(ADDRESS(1866,26))+INDIRECT(ADDRESS(1864,27))-INDIRECT(ADDRESS(1865,27))</f>
        <v>0</v>
      </c>
      <c r="AB1866">
        <f>INDIRECT(ADDRESS(1866,27))+INDIRECT(ADDRESS(1864,28))-INDIRECT(ADDRESS(1865,28))</f>
        <v>0</v>
      </c>
      <c r="AC1866">
        <f>INDIRECT(ADDRESS(1866,28))+INDIRECT(ADDRESS(1864,29))-INDIRECT(ADDRESS(1865,29))</f>
        <v>0</v>
      </c>
      <c r="AD1866">
        <f>INDIRECT(ADDRESS(1866,29))+INDIRECT(ADDRESS(1864,30))-INDIRECT(ADDRESS(1865,30))</f>
        <v>0</v>
      </c>
      <c r="AE1866">
        <f>INDIRECT(ADDRESS(1866,30))+INDIRECT(ADDRESS(1864,31))-INDIRECT(ADDRESS(1865,31))</f>
        <v>0</v>
      </c>
      <c r="AF1866">
        <f>INDIRECT(ADDRESS(1866,31))+INDIRECT(ADDRESS(1864,32))-INDIRECT(ADDRESS(1865,32))</f>
        <v>0</v>
      </c>
      <c r="AG1866">
        <f>INDIRECT(ADDRESS(1866,32))+INDIRECT(ADDRESS(1864,33))-INDIRECT(ADDRESS(1865,33))</f>
        <v>0</v>
      </c>
      <c r="AH1866">
        <f>INDIRECT(ADDRESS(1866,33))+INDIRECT(ADDRESS(1864,34))-INDIRECT(ADDRESS(1865,34))</f>
        <v>0</v>
      </c>
      <c r="AI1866">
        <f>INDIRECT(ADDRESS(1866,34))+INDIRECT(ADDRESS(1864,35))-INDIRECT(ADDRESS(1865,35))</f>
        <v>0</v>
      </c>
      <c r="AJ1866">
        <f>INDIRECT(ADDRESS(1866,35))+INDIRECT(ADDRESS(1864,36))-INDIRECT(ADDRESS(1865,36))</f>
        <v>0</v>
      </c>
      <c r="AK1866">
        <f>INDIRECT(ADDRESS(1866,36))+INDIRECT(ADDRESS(1864,37))-INDIRECT(ADDRESS(1865,37))</f>
        <v>0</v>
      </c>
      <c r="AL1866">
        <f>INDIRECT(ADDRESS(1866,37))+INDIRECT(ADDRESS(1864,38))-INDIRECT(ADDRESS(1865,38))</f>
        <v>0</v>
      </c>
      <c r="AM1866">
        <f>INDIRECT(ADDRESS(1866,38))+INDIRECT(ADDRESS(1864,39))-INDIRECT(ADDRESS(1865,39))</f>
        <v>0</v>
      </c>
      <c r="AN1866">
        <f>INDIRECT(ADDRESS(1866,39))+INDIRECT(ADDRESS(1864,40))-INDIRECT(ADDRESS(1865,40))</f>
        <v>0</v>
      </c>
      <c r="AO1866">
        <f>SUM(INDIRECT(ADDRESS(1865,8)):INDIRECT(ADDRESS(1865,39)))</f>
        <v>0</v>
      </c>
    </row>
    <row r="1867" spans="1:41">
      <c r="A1867" t="s">
        <v>8</v>
      </c>
      <c r="B1867" t="s">
        <v>157</v>
      </c>
      <c r="C1867" t="s">
        <v>153</v>
      </c>
      <c r="E1867">
        <v>0.003</v>
      </c>
      <c r="I1867" t="s">
        <v>177</v>
      </c>
    </row>
    <row r="1868" spans="1:41">
      <c r="I1868" t="s">
        <v>178</v>
      </c>
      <c r="J1868">
        <f>IFERROR(VLOOKUP("906-475000-210",Out!B:AB,1+8,0),0)</f>
        <v>0</v>
      </c>
      <c r="K1868">
        <f>IFERROR(VLOOKUP("906-475000-210",Out!B:AB,2+8,0),0)</f>
        <v>0</v>
      </c>
      <c r="L1868">
        <f>IFERROR(VLOOKUP("906-475000-210",Out!B:AB,3+8,0),0)</f>
        <v>0</v>
      </c>
      <c r="M1868">
        <f>IFERROR(VLOOKUP("906-475000-210",Out!B:AB,4+8,0),0)</f>
        <v>0</v>
      </c>
      <c r="N1868">
        <f>IFERROR(VLOOKUP("906-475000-210",Out!B:AB,5+8,0),0)</f>
        <v>0</v>
      </c>
      <c r="O1868">
        <f>IFERROR(VLOOKUP("906-475000-210",Out!B:AB,6+8,0),0)</f>
        <v>0</v>
      </c>
      <c r="P1868">
        <f>IFERROR(VLOOKUP("906-475000-210",Out!B:AB,7+8,0),0)</f>
        <v>0</v>
      </c>
      <c r="Q1868">
        <f>IFERROR(VLOOKUP("906-475000-210",Out!B:AB,8+8,0),0)</f>
        <v>0</v>
      </c>
      <c r="R1868">
        <f>IFERROR(VLOOKUP("906-475000-210",Out!B:AB,9+8,0),0)</f>
        <v>0</v>
      </c>
      <c r="S1868">
        <f>IFERROR(VLOOKUP("906-475000-210",Out!B:AB,10+8,0),0)</f>
        <v>0</v>
      </c>
      <c r="T1868">
        <f>IFERROR(VLOOKUP("906-475000-210",Out!B:AB,11+8,0),0)</f>
        <v>0</v>
      </c>
      <c r="U1868">
        <f>IFERROR(VLOOKUP("906-475000-210",Out!B:AB,12+8,0),0)</f>
        <v>0</v>
      </c>
      <c r="V1868">
        <f>IFERROR(VLOOKUP("906-475000-210",Out!B:AB,13+8,0),0)</f>
        <v>0</v>
      </c>
      <c r="W1868">
        <f>IFERROR(VLOOKUP("906-475000-210",Out!B:AB,14+8,0),0)</f>
        <v>0</v>
      </c>
      <c r="X1868">
        <f>IFERROR(VLOOKUP("906-475000-210",Out!B:AB,15+8,0),0)</f>
        <v>0</v>
      </c>
      <c r="Y1868">
        <f>IFERROR(VLOOKUP("906-475000-210",Out!B:AB,16+8,0),0)</f>
        <v>0</v>
      </c>
      <c r="Z1868">
        <f>IFERROR(VLOOKUP("906-475000-210",Out!B:AB,17+8,0),0)</f>
        <v>0</v>
      </c>
      <c r="AA1868">
        <f>IFERROR(VLOOKUP("906-475000-210",Out!B:AB,18+8,0),0)</f>
        <v>0</v>
      </c>
      <c r="AB1868">
        <f>IFERROR(VLOOKUP("906-475000-210",Out!B:AB,19+8,0),0)</f>
        <v>0</v>
      </c>
      <c r="AC1868">
        <f>IFERROR(VLOOKUP("906-475000-210",Out!B:AB,20+8,0),0)</f>
        <v>0</v>
      </c>
      <c r="AD1868">
        <f>IFERROR(VLOOKUP("906-475000-210",Out!B:AB,21+8,0),0)</f>
        <v>0</v>
      </c>
      <c r="AE1868">
        <f>IFERROR(VLOOKUP("906-475000-210",Out!B:AB,22+8,0),0)</f>
        <v>0</v>
      </c>
      <c r="AF1868">
        <f>IFERROR(VLOOKUP("906-475000-210",Out!B:AB,23+8,0),0)</f>
        <v>0</v>
      </c>
      <c r="AG1868">
        <f>IFERROR(VLOOKUP("906-475000-210",Out!B:AB,24+8,0),0)</f>
        <v>0</v>
      </c>
      <c r="AH1868">
        <f>IFERROR(VLOOKUP("906-475000-210",Out!B:AB,25+8,0),0)</f>
        <v>0</v>
      </c>
      <c r="AI1868">
        <f>IFERROR(VLOOKUP("906-475000-210",Out!B:AB,26+8,0),0)</f>
        <v>0</v>
      </c>
      <c r="AJ1868">
        <f>IFERROR(VLOOKUP("906-475000-210",Out!B:AB,27+8,0),0)</f>
        <v>0</v>
      </c>
      <c r="AK1868">
        <f>IFERROR(VLOOKUP("906-475000-210",Out!B:AB,28+8,0),0)</f>
        <v>0</v>
      </c>
      <c r="AL1868">
        <f>IFERROR(VLOOKUP("906-475000-210",Out!B:AB,29+8,0),0)</f>
        <v>0</v>
      </c>
      <c r="AM1868">
        <f>IFERROR(VLOOKUP("906-475000-210",Out!B:AB,30+8,0),0)</f>
        <v>0</v>
      </c>
      <c r="AN1868">
        <f>IFERROR(VLOOKUP("906-475000-210",Out!B:AB,31+8,0),0)</f>
        <v>0</v>
      </c>
      <c r="AO1868">
        <f>SUN(INDIRECT(ADDRESS(1867,8)):INDIRECT(ADDRESS(1867,39)))</f>
        <v>0</v>
      </c>
    </row>
    <row r="1869" spans="1:41">
      <c r="H1869" t="s">
        <v>179</v>
      </c>
      <c r="J1869">
        <f>INDIRECT(ADDRESS(1869,9))+INDIRECT(ADDRESS(1867,10))-INDIRECT(ADDRESS(1868,10))</f>
        <v>0</v>
      </c>
      <c r="K1869">
        <f>INDIRECT(ADDRESS(1869,10))+INDIRECT(ADDRESS(1867,11))-INDIRECT(ADDRESS(1868,11))</f>
        <v>0</v>
      </c>
      <c r="L1869">
        <f>INDIRECT(ADDRESS(1869,11))+INDIRECT(ADDRESS(1867,12))-INDIRECT(ADDRESS(1868,12))</f>
        <v>0</v>
      </c>
      <c r="M1869">
        <f>INDIRECT(ADDRESS(1869,12))+INDIRECT(ADDRESS(1867,13))-INDIRECT(ADDRESS(1868,13))</f>
        <v>0</v>
      </c>
      <c r="N1869">
        <f>INDIRECT(ADDRESS(1869,13))+INDIRECT(ADDRESS(1867,14))-INDIRECT(ADDRESS(1868,14))</f>
        <v>0</v>
      </c>
      <c r="O1869">
        <f>INDIRECT(ADDRESS(1869,14))+INDIRECT(ADDRESS(1867,15))-INDIRECT(ADDRESS(1868,15))</f>
        <v>0</v>
      </c>
      <c r="P1869">
        <f>INDIRECT(ADDRESS(1869,15))+INDIRECT(ADDRESS(1867,16))-INDIRECT(ADDRESS(1868,16))</f>
        <v>0</v>
      </c>
      <c r="Q1869">
        <f>INDIRECT(ADDRESS(1869,16))+INDIRECT(ADDRESS(1867,17))-INDIRECT(ADDRESS(1868,17))</f>
        <v>0</v>
      </c>
      <c r="R1869">
        <f>INDIRECT(ADDRESS(1869,17))+INDIRECT(ADDRESS(1867,18))-INDIRECT(ADDRESS(1868,18))</f>
        <v>0</v>
      </c>
      <c r="S1869">
        <f>INDIRECT(ADDRESS(1869,18))+INDIRECT(ADDRESS(1867,19))-INDIRECT(ADDRESS(1868,19))</f>
        <v>0</v>
      </c>
      <c r="T1869">
        <f>INDIRECT(ADDRESS(1869,19))+INDIRECT(ADDRESS(1867,20))-INDIRECT(ADDRESS(1868,20))</f>
        <v>0</v>
      </c>
      <c r="U1869">
        <f>INDIRECT(ADDRESS(1869,20))+INDIRECT(ADDRESS(1867,21))-INDIRECT(ADDRESS(1868,21))</f>
        <v>0</v>
      </c>
      <c r="V1869">
        <f>INDIRECT(ADDRESS(1869,21))+INDIRECT(ADDRESS(1867,22))-INDIRECT(ADDRESS(1868,22))</f>
        <v>0</v>
      </c>
      <c r="W1869">
        <f>INDIRECT(ADDRESS(1869,22))+INDIRECT(ADDRESS(1867,23))-INDIRECT(ADDRESS(1868,23))</f>
        <v>0</v>
      </c>
      <c r="X1869">
        <f>INDIRECT(ADDRESS(1869,23))+INDIRECT(ADDRESS(1867,24))-INDIRECT(ADDRESS(1868,24))</f>
        <v>0</v>
      </c>
      <c r="Y1869">
        <f>INDIRECT(ADDRESS(1869,24))+INDIRECT(ADDRESS(1867,25))-INDIRECT(ADDRESS(1868,25))</f>
        <v>0</v>
      </c>
      <c r="Z1869">
        <f>INDIRECT(ADDRESS(1869,25))+INDIRECT(ADDRESS(1867,26))-INDIRECT(ADDRESS(1868,26))</f>
        <v>0</v>
      </c>
      <c r="AA1869">
        <f>INDIRECT(ADDRESS(1869,26))+INDIRECT(ADDRESS(1867,27))-INDIRECT(ADDRESS(1868,27))</f>
        <v>0</v>
      </c>
      <c r="AB1869">
        <f>INDIRECT(ADDRESS(1869,27))+INDIRECT(ADDRESS(1867,28))-INDIRECT(ADDRESS(1868,28))</f>
        <v>0</v>
      </c>
      <c r="AC1869">
        <f>INDIRECT(ADDRESS(1869,28))+INDIRECT(ADDRESS(1867,29))-INDIRECT(ADDRESS(1868,29))</f>
        <v>0</v>
      </c>
      <c r="AD1869">
        <f>INDIRECT(ADDRESS(1869,29))+INDIRECT(ADDRESS(1867,30))-INDIRECT(ADDRESS(1868,30))</f>
        <v>0</v>
      </c>
      <c r="AE1869">
        <f>INDIRECT(ADDRESS(1869,30))+INDIRECT(ADDRESS(1867,31))-INDIRECT(ADDRESS(1868,31))</f>
        <v>0</v>
      </c>
      <c r="AF1869">
        <f>INDIRECT(ADDRESS(1869,31))+INDIRECT(ADDRESS(1867,32))-INDIRECT(ADDRESS(1868,32))</f>
        <v>0</v>
      </c>
      <c r="AG1869">
        <f>INDIRECT(ADDRESS(1869,32))+INDIRECT(ADDRESS(1867,33))-INDIRECT(ADDRESS(1868,33))</f>
        <v>0</v>
      </c>
      <c r="AH1869">
        <f>INDIRECT(ADDRESS(1869,33))+INDIRECT(ADDRESS(1867,34))-INDIRECT(ADDRESS(1868,34))</f>
        <v>0</v>
      </c>
      <c r="AI1869">
        <f>INDIRECT(ADDRESS(1869,34))+INDIRECT(ADDRESS(1867,35))-INDIRECT(ADDRESS(1868,35))</f>
        <v>0</v>
      </c>
      <c r="AJ1869">
        <f>INDIRECT(ADDRESS(1869,35))+INDIRECT(ADDRESS(1867,36))-INDIRECT(ADDRESS(1868,36))</f>
        <v>0</v>
      </c>
      <c r="AK1869">
        <f>INDIRECT(ADDRESS(1869,36))+INDIRECT(ADDRESS(1867,37))-INDIRECT(ADDRESS(1868,37))</f>
        <v>0</v>
      </c>
      <c r="AL1869">
        <f>INDIRECT(ADDRESS(1869,37))+INDIRECT(ADDRESS(1867,38))-INDIRECT(ADDRESS(1868,38))</f>
        <v>0</v>
      </c>
      <c r="AM1869">
        <f>INDIRECT(ADDRESS(1869,38))+INDIRECT(ADDRESS(1867,39))-INDIRECT(ADDRESS(1868,39))</f>
        <v>0</v>
      </c>
      <c r="AN1869">
        <f>INDIRECT(ADDRESS(1869,39))+INDIRECT(ADDRESS(1867,40))-INDIRECT(ADDRESS(1868,40))</f>
        <v>0</v>
      </c>
      <c r="AO1869">
        <f>SUM(INDIRECT(ADDRESS(1868,8)):INDIRECT(ADDRESS(1868,39)))</f>
        <v>0</v>
      </c>
    </row>
    <row r="1870" spans="1:41">
      <c r="A1870" t="s">
        <v>180</v>
      </c>
      <c r="B1870" t="s">
        <v>849</v>
      </c>
      <c r="C1870" t="s">
        <v>850</v>
      </c>
      <c r="E1870">
        <v>1</v>
      </c>
      <c r="I1870" t="s">
        <v>177</v>
      </c>
    </row>
    <row r="1871" spans="1:41">
      <c r="I1871" t="s">
        <v>178</v>
      </c>
      <c r="J1871">
        <f>IFERROR(VLOOKUP("906-475000-210",B:AB,1+8,0),0)</f>
        <v>0</v>
      </c>
      <c r="K1871">
        <f>IFERROR(VLOOKUP("906-475000-210",B:AB,2+8,0),0)</f>
        <v>0</v>
      </c>
      <c r="L1871">
        <f>IFERROR(VLOOKUP("906-475000-210",B:AB,3+8,0),0)</f>
        <v>0</v>
      </c>
      <c r="M1871">
        <f>IFERROR(VLOOKUP("906-475000-210",B:AB,4+8,0),0)</f>
        <v>0</v>
      </c>
      <c r="N1871">
        <f>IFERROR(VLOOKUP("906-475000-210",B:AB,5+8,0),0)</f>
        <v>0</v>
      </c>
      <c r="O1871">
        <f>IFERROR(VLOOKUP("906-475000-210",B:AB,6+8,0),0)</f>
        <v>0</v>
      </c>
      <c r="P1871">
        <f>IFERROR(VLOOKUP("906-475000-210",B:AB,7+8,0),0)</f>
        <v>0</v>
      </c>
      <c r="Q1871">
        <f>IFERROR(VLOOKUP("906-475000-210",B:AB,8+8,0),0)</f>
        <v>0</v>
      </c>
      <c r="R1871">
        <f>IFERROR(VLOOKUP("906-475000-210",B:AB,9+8,0),0)</f>
        <v>0</v>
      </c>
      <c r="S1871">
        <f>IFERROR(VLOOKUP("906-475000-210",B:AB,10+8,0),0)</f>
        <v>0</v>
      </c>
      <c r="T1871">
        <f>IFERROR(VLOOKUP("906-475000-210",B:AB,11+8,0),0)</f>
        <v>0</v>
      </c>
      <c r="U1871">
        <f>IFERROR(VLOOKUP("906-475000-210",B:AB,12+8,0),0)</f>
        <v>0</v>
      </c>
      <c r="V1871">
        <f>IFERROR(VLOOKUP("906-475000-210",B:AB,13+8,0),0)</f>
        <v>0</v>
      </c>
      <c r="W1871">
        <f>IFERROR(VLOOKUP("906-475000-210",B:AB,14+8,0),0)</f>
        <v>0</v>
      </c>
      <c r="X1871">
        <f>IFERROR(VLOOKUP("906-475000-210",B:AB,15+8,0),0)</f>
        <v>0</v>
      </c>
      <c r="Y1871">
        <f>IFERROR(VLOOKUP("906-475000-210",B:AB,16+8,0),0)</f>
        <v>0</v>
      </c>
      <c r="Z1871">
        <f>IFERROR(VLOOKUP("906-475000-210",B:AB,17+8,0),0)</f>
        <v>0</v>
      </c>
      <c r="AA1871">
        <f>IFERROR(VLOOKUP("906-475000-210",B:AB,18+8,0),0)</f>
        <v>0</v>
      </c>
      <c r="AB1871">
        <f>IFERROR(VLOOKUP("906-475000-210",B:AB,19+8,0),0)</f>
        <v>0</v>
      </c>
      <c r="AC1871">
        <f>IFERROR(VLOOKUP("906-475000-210",B:AB,20+8,0),0)</f>
        <v>0</v>
      </c>
      <c r="AD1871">
        <f>IFERROR(VLOOKUP("906-475000-210",B:AB,21+8,0),0)</f>
        <v>0</v>
      </c>
      <c r="AE1871">
        <f>IFERROR(VLOOKUP("906-475000-210",B:AB,22+8,0),0)</f>
        <v>0</v>
      </c>
      <c r="AF1871">
        <f>IFERROR(VLOOKUP("906-475000-210",B:AB,23+8,0),0)</f>
        <v>0</v>
      </c>
      <c r="AG1871">
        <f>IFERROR(VLOOKUP("906-475000-210",B:AB,24+8,0),0)</f>
        <v>0</v>
      </c>
      <c r="AH1871">
        <f>IFERROR(VLOOKUP("906-475000-210",B:AB,25+8,0),0)</f>
        <v>0</v>
      </c>
      <c r="AI1871">
        <f>IFERROR(VLOOKUP("906-475000-210",B:AB,26+8,0),0)</f>
        <v>0</v>
      </c>
      <c r="AJ1871">
        <f>IFERROR(VLOOKUP("906-475000-210",B:AB,27+8,0),0)</f>
        <v>0</v>
      </c>
      <c r="AK1871">
        <f>IFERROR(VLOOKUP("906-475000-210",B:AB,28+8,0),0)</f>
        <v>0</v>
      </c>
      <c r="AL1871">
        <f>IFERROR(VLOOKUP("906-475000-210",B:AB,29+8,0),0)</f>
        <v>0</v>
      </c>
      <c r="AM1871">
        <f>IFERROR(VLOOKUP("906-475000-210",B:AB,30+8,0),0)</f>
        <v>0</v>
      </c>
      <c r="AN1871">
        <f>IFERROR(VLOOKUP("906-475000-210",B:AB,31+8,0),0)</f>
        <v>0</v>
      </c>
      <c r="AO1871">
        <f>SUN(INDIRECT(ADDRESS(1870,8)):INDIRECT(ADDRESS(1870,39)))</f>
        <v>0</v>
      </c>
    </row>
    <row r="1872" spans="1:41">
      <c r="H1872" t="s">
        <v>179</v>
      </c>
      <c r="J1872">
        <f>INDIRECT(ADDRESS(1872,9))+INDIRECT(ADDRESS(1870,10))-INDIRECT(ADDRESS(1871,10))</f>
        <v>0</v>
      </c>
      <c r="K1872">
        <f>INDIRECT(ADDRESS(1872,10))+INDIRECT(ADDRESS(1870,11))-INDIRECT(ADDRESS(1871,11))</f>
        <v>0</v>
      </c>
      <c r="L1872">
        <f>INDIRECT(ADDRESS(1872,11))+INDIRECT(ADDRESS(1870,12))-INDIRECT(ADDRESS(1871,12))</f>
        <v>0</v>
      </c>
      <c r="M1872">
        <f>INDIRECT(ADDRESS(1872,12))+INDIRECT(ADDRESS(1870,13))-INDIRECT(ADDRESS(1871,13))</f>
        <v>0</v>
      </c>
      <c r="N1872">
        <f>INDIRECT(ADDRESS(1872,13))+INDIRECT(ADDRESS(1870,14))-INDIRECT(ADDRESS(1871,14))</f>
        <v>0</v>
      </c>
      <c r="O1872">
        <f>INDIRECT(ADDRESS(1872,14))+INDIRECT(ADDRESS(1870,15))-INDIRECT(ADDRESS(1871,15))</f>
        <v>0</v>
      </c>
      <c r="P1872">
        <f>INDIRECT(ADDRESS(1872,15))+INDIRECT(ADDRESS(1870,16))-INDIRECT(ADDRESS(1871,16))</f>
        <v>0</v>
      </c>
      <c r="Q1872">
        <f>INDIRECT(ADDRESS(1872,16))+INDIRECT(ADDRESS(1870,17))-INDIRECT(ADDRESS(1871,17))</f>
        <v>0</v>
      </c>
      <c r="R1872">
        <f>INDIRECT(ADDRESS(1872,17))+INDIRECT(ADDRESS(1870,18))-INDIRECT(ADDRESS(1871,18))</f>
        <v>0</v>
      </c>
      <c r="S1872">
        <f>INDIRECT(ADDRESS(1872,18))+INDIRECT(ADDRESS(1870,19))-INDIRECT(ADDRESS(1871,19))</f>
        <v>0</v>
      </c>
      <c r="T1872">
        <f>INDIRECT(ADDRESS(1872,19))+INDIRECT(ADDRESS(1870,20))-INDIRECT(ADDRESS(1871,20))</f>
        <v>0</v>
      </c>
      <c r="U1872">
        <f>INDIRECT(ADDRESS(1872,20))+INDIRECT(ADDRESS(1870,21))-INDIRECT(ADDRESS(1871,21))</f>
        <v>0</v>
      </c>
      <c r="V1872">
        <f>INDIRECT(ADDRESS(1872,21))+INDIRECT(ADDRESS(1870,22))-INDIRECT(ADDRESS(1871,22))</f>
        <v>0</v>
      </c>
      <c r="W1872">
        <f>INDIRECT(ADDRESS(1872,22))+INDIRECT(ADDRESS(1870,23))-INDIRECT(ADDRESS(1871,23))</f>
        <v>0</v>
      </c>
      <c r="X1872">
        <f>INDIRECT(ADDRESS(1872,23))+INDIRECT(ADDRESS(1870,24))-INDIRECT(ADDRESS(1871,24))</f>
        <v>0</v>
      </c>
      <c r="Y1872">
        <f>INDIRECT(ADDRESS(1872,24))+INDIRECT(ADDRESS(1870,25))-INDIRECT(ADDRESS(1871,25))</f>
        <v>0</v>
      </c>
      <c r="Z1872">
        <f>INDIRECT(ADDRESS(1872,25))+INDIRECT(ADDRESS(1870,26))-INDIRECT(ADDRESS(1871,26))</f>
        <v>0</v>
      </c>
      <c r="AA1872">
        <f>INDIRECT(ADDRESS(1872,26))+INDIRECT(ADDRESS(1870,27))-INDIRECT(ADDRESS(1871,27))</f>
        <v>0</v>
      </c>
      <c r="AB1872">
        <f>INDIRECT(ADDRESS(1872,27))+INDIRECT(ADDRESS(1870,28))-INDIRECT(ADDRESS(1871,28))</f>
        <v>0</v>
      </c>
      <c r="AC1872">
        <f>INDIRECT(ADDRESS(1872,28))+INDIRECT(ADDRESS(1870,29))-INDIRECT(ADDRESS(1871,29))</f>
        <v>0</v>
      </c>
      <c r="AD1872">
        <f>INDIRECT(ADDRESS(1872,29))+INDIRECT(ADDRESS(1870,30))-INDIRECT(ADDRESS(1871,30))</f>
        <v>0</v>
      </c>
      <c r="AE1872">
        <f>INDIRECT(ADDRESS(1872,30))+INDIRECT(ADDRESS(1870,31))-INDIRECT(ADDRESS(1871,31))</f>
        <v>0</v>
      </c>
      <c r="AF1872">
        <f>INDIRECT(ADDRESS(1872,31))+INDIRECT(ADDRESS(1870,32))-INDIRECT(ADDRESS(1871,32))</f>
        <v>0</v>
      </c>
      <c r="AG1872">
        <f>INDIRECT(ADDRESS(1872,32))+INDIRECT(ADDRESS(1870,33))-INDIRECT(ADDRESS(1871,33))</f>
        <v>0</v>
      </c>
      <c r="AH1872">
        <f>INDIRECT(ADDRESS(1872,33))+INDIRECT(ADDRESS(1870,34))-INDIRECT(ADDRESS(1871,34))</f>
        <v>0</v>
      </c>
      <c r="AI1872">
        <f>INDIRECT(ADDRESS(1872,34))+INDIRECT(ADDRESS(1870,35))-INDIRECT(ADDRESS(1871,35))</f>
        <v>0</v>
      </c>
      <c r="AJ1872">
        <f>INDIRECT(ADDRESS(1872,35))+INDIRECT(ADDRESS(1870,36))-INDIRECT(ADDRESS(1871,36))</f>
        <v>0</v>
      </c>
      <c r="AK1872">
        <f>INDIRECT(ADDRESS(1872,36))+INDIRECT(ADDRESS(1870,37))-INDIRECT(ADDRESS(1871,37))</f>
        <v>0</v>
      </c>
      <c r="AL1872">
        <f>INDIRECT(ADDRESS(1872,37))+INDIRECT(ADDRESS(1870,38))-INDIRECT(ADDRESS(1871,38))</f>
        <v>0</v>
      </c>
      <c r="AM1872">
        <f>INDIRECT(ADDRESS(1872,38))+INDIRECT(ADDRESS(1870,39))-INDIRECT(ADDRESS(1871,39))</f>
        <v>0</v>
      </c>
      <c r="AN1872">
        <f>INDIRECT(ADDRESS(1872,39))+INDIRECT(ADDRESS(1870,40))-INDIRECT(ADDRESS(1871,40))</f>
        <v>0</v>
      </c>
      <c r="AO1872">
        <f>SUM(INDIRECT(ADDRESS(1871,8)):INDIRECT(ADDRESS(1871,39)))</f>
        <v>0</v>
      </c>
    </row>
    <row r="1873" spans="1:41">
      <c r="A1873" t="s">
        <v>180</v>
      </c>
      <c r="B1873" t="s">
        <v>840</v>
      </c>
      <c r="C1873" t="s">
        <v>841</v>
      </c>
      <c r="E1873">
        <v>1</v>
      </c>
      <c r="I1873" t="s">
        <v>177</v>
      </c>
    </row>
    <row r="1874" spans="1:41">
      <c r="I1874" t="s">
        <v>178</v>
      </c>
      <c r="J1874">
        <f>IFERROR(VLOOKUP("906-475000-210",B:AB,1+8,0),0)</f>
        <v>0</v>
      </c>
      <c r="K1874">
        <f>IFERROR(VLOOKUP("906-475000-210",B:AB,2+8,0),0)</f>
        <v>0</v>
      </c>
      <c r="L1874">
        <f>IFERROR(VLOOKUP("906-475000-210",B:AB,3+8,0),0)</f>
        <v>0</v>
      </c>
      <c r="M1874">
        <f>IFERROR(VLOOKUP("906-475000-210",B:AB,4+8,0),0)</f>
        <v>0</v>
      </c>
      <c r="N1874">
        <f>IFERROR(VLOOKUP("906-475000-210",B:AB,5+8,0),0)</f>
        <v>0</v>
      </c>
      <c r="O1874">
        <f>IFERROR(VLOOKUP("906-475000-210",B:AB,6+8,0),0)</f>
        <v>0</v>
      </c>
      <c r="P1874">
        <f>IFERROR(VLOOKUP("906-475000-210",B:AB,7+8,0),0)</f>
        <v>0</v>
      </c>
      <c r="Q1874">
        <f>IFERROR(VLOOKUP("906-475000-210",B:AB,8+8,0),0)</f>
        <v>0</v>
      </c>
      <c r="R1874">
        <f>IFERROR(VLOOKUP("906-475000-210",B:AB,9+8,0),0)</f>
        <v>0</v>
      </c>
      <c r="S1874">
        <f>IFERROR(VLOOKUP("906-475000-210",B:AB,10+8,0),0)</f>
        <v>0</v>
      </c>
      <c r="T1874">
        <f>IFERROR(VLOOKUP("906-475000-210",B:AB,11+8,0),0)</f>
        <v>0</v>
      </c>
      <c r="U1874">
        <f>IFERROR(VLOOKUP("906-475000-210",B:AB,12+8,0),0)</f>
        <v>0</v>
      </c>
      <c r="V1874">
        <f>IFERROR(VLOOKUP("906-475000-210",B:AB,13+8,0),0)</f>
        <v>0</v>
      </c>
      <c r="W1874">
        <f>IFERROR(VLOOKUP("906-475000-210",B:AB,14+8,0),0)</f>
        <v>0</v>
      </c>
      <c r="X1874">
        <f>IFERROR(VLOOKUP("906-475000-210",B:AB,15+8,0),0)</f>
        <v>0</v>
      </c>
      <c r="Y1874">
        <f>IFERROR(VLOOKUP("906-475000-210",B:AB,16+8,0),0)</f>
        <v>0</v>
      </c>
      <c r="Z1874">
        <f>IFERROR(VLOOKUP("906-475000-210",B:AB,17+8,0),0)</f>
        <v>0</v>
      </c>
      <c r="AA1874">
        <f>IFERROR(VLOOKUP("906-475000-210",B:AB,18+8,0),0)</f>
        <v>0</v>
      </c>
      <c r="AB1874">
        <f>IFERROR(VLOOKUP("906-475000-210",B:AB,19+8,0),0)</f>
        <v>0</v>
      </c>
      <c r="AC1874">
        <f>IFERROR(VLOOKUP("906-475000-210",B:AB,20+8,0),0)</f>
        <v>0</v>
      </c>
      <c r="AD1874">
        <f>IFERROR(VLOOKUP("906-475000-210",B:AB,21+8,0),0)</f>
        <v>0</v>
      </c>
      <c r="AE1874">
        <f>IFERROR(VLOOKUP("906-475000-210",B:AB,22+8,0),0)</f>
        <v>0</v>
      </c>
      <c r="AF1874">
        <f>IFERROR(VLOOKUP("906-475000-210",B:AB,23+8,0),0)</f>
        <v>0</v>
      </c>
      <c r="AG1874">
        <f>IFERROR(VLOOKUP("906-475000-210",B:AB,24+8,0),0)</f>
        <v>0</v>
      </c>
      <c r="AH1874">
        <f>IFERROR(VLOOKUP("906-475000-210",B:AB,25+8,0),0)</f>
        <v>0</v>
      </c>
      <c r="AI1874">
        <f>IFERROR(VLOOKUP("906-475000-210",B:AB,26+8,0),0)</f>
        <v>0</v>
      </c>
      <c r="AJ1874">
        <f>IFERROR(VLOOKUP("906-475000-210",B:AB,27+8,0),0)</f>
        <v>0</v>
      </c>
      <c r="AK1874">
        <f>IFERROR(VLOOKUP("906-475000-210",B:AB,28+8,0),0)</f>
        <v>0</v>
      </c>
      <c r="AL1874">
        <f>IFERROR(VLOOKUP("906-475000-210",B:AB,29+8,0),0)</f>
        <v>0</v>
      </c>
      <c r="AM1874">
        <f>IFERROR(VLOOKUP("906-475000-210",B:AB,30+8,0),0)</f>
        <v>0</v>
      </c>
      <c r="AN1874">
        <f>IFERROR(VLOOKUP("906-475000-210",B:AB,31+8,0),0)</f>
        <v>0</v>
      </c>
      <c r="AO1874">
        <f>SUN(INDIRECT(ADDRESS(1873,8)):INDIRECT(ADDRESS(1873,39)))</f>
        <v>0</v>
      </c>
    </row>
    <row r="1875" spans="1:41">
      <c r="H1875" t="s">
        <v>179</v>
      </c>
      <c r="J1875">
        <f>INDIRECT(ADDRESS(1875,9))+INDIRECT(ADDRESS(1873,10))-INDIRECT(ADDRESS(1874,10))</f>
        <v>0</v>
      </c>
      <c r="K1875">
        <f>INDIRECT(ADDRESS(1875,10))+INDIRECT(ADDRESS(1873,11))-INDIRECT(ADDRESS(1874,11))</f>
        <v>0</v>
      </c>
      <c r="L1875">
        <f>INDIRECT(ADDRESS(1875,11))+INDIRECT(ADDRESS(1873,12))-INDIRECT(ADDRESS(1874,12))</f>
        <v>0</v>
      </c>
      <c r="M1875">
        <f>INDIRECT(ADDRESS(1875,12))+INDIRECT(ADDRESS(1873,13))-INDIRECT(ADDRESS(1874,13))</f>
        <v>0</v>
      </c>
      <c r="N1875">
        <f>INDIRECT(ADDRESS(1875,13))+INDIRECT(ADDRESS(1873,14))-INDIRECT(ADDRESS(1874,14))</f>
        <v>0</v>
      </c>
      <c r="O1875">
        <f>INDIRECT(ADDRESS(1875,14))+INDIRECT(ADDRESS(1873,15))-INDIRECT(ADDRESS(1874,15))</f>
        <v>0</v>
      </c>
      <c r="P1875">
        <f>INDIRECT(ADDRESS(1875,15))+INDIRECT(ADDRESS(1873,16))-INDIRECT(ADDRESS(1874,16))</f>
        <v>0</v>
      </c>
      <c r="Q1875">
        <f>INDIRECT(ADDRESS(1875,16))+INDIRECT(ADDRESS(1873,17))-INDIRECT(ADDRESS(1874,17))</f>
        <v>0</v>
      </c>
      <c r="R1875">
        <f>INDIRECT(ADDRESS(1875,17))+INDIRECT(ADDRESS(1873,18))-INDIRECT(ADDRESS(1874,18))</f>
        <v>0</v>
      </c>
      <c r="S1875">
        <f>INDIRECT(ADDRESS(1875,18))+INDIRECT(ADDRESS(1873,19))-INDIRECT(ADDRESS(1874,19))</f>
        <v>0</v>
      </c>
      <c r="T1875">
        <f>INDIRECT(ADDRESS(1875,19))+INDIRECT(ADDRESS(1873,20))-INDIRECT(ADDRESS(1874,20))</f>
        <v>0</v>
      </c>
      <c r="U1875">
        <f>INDIRECT(ADDRESS(1875,20))+INDIRECT(ADDRESS(1873,21))-INDIRECT(ADDRESS(1874,21))</f>
        <v>0</v>
      </c>
      <c r="V1875">
        <f>INDIRECT(ADDRESS(1875,21))+INDIRECT(ADDRESS(1873,22))-INDIRECT(ADDRESS(1874,22))</f>
        <v>0</v>
      </c>
      <c r="W1875">
        <f>INDIRECT(ADDRESS(1875,22))+INDIRECT(ADDRESS(1873,23))-INDIRECT(ADDRESS(1874,23))</f>
        <v>0</v>
      </c>
      <c r="X1875">
        <f>INDIRECT(ADDRESS(1875,23))+INDIRECT(ADDRESS(1873,24))-INDIRECT(ADDRESS(1874,24))</f>
        <v>0</v>
      </c>
      <c r="Y1875">
        <f>INDIRECT(ADDRESS(1875,24))+INDIRECT(ADDRESS(1873,25))-INDIRECT(ADDRESS(1874,25))</f>
        <v>0</v>
      </c>
      <c r="Z1875">
        <f>INDIRECT(ADDRESS(1875,25))+INDIRECT(ADDRESS(1873,26))-INDIRECT(ADDRESS(1874,26))</f>
        <v>0</v>
      </c>
      <c r="AA1875">
        <f>INDIRECT(ADDRESS(1875,26))+INDIRECT(ADDRESS(1873,27))-INDIRECT(ADDRESS(1874,27))</f>
        <v>0</v>
      </c>
      <c r="AB1875">
        <f>INDIRECT(ADDRESS(1875,27))+INDIRECT(ADDRESS(1873,28))-INDIRECT(ADDRESS(1874,28))</f>
        <v>0</v>
      </c>
      <c r="AC1875">
        <f>INDIRECT(ADDRESS(1875,28))+INDIRECT(ADDRESS(1873,29))-INDIRECT(ADDRESS(1874,29))</f>
        <v>0</v>
      </c>
      <c r="AD1875">
        <f>INDIRECT(ADDRESS(1875,29))+INDIRECT(ADDRESS(1873,30))-INDIRECT(ADDRESS(1874,30))</f>
        <v>0</v>
      </c>
      <c r="AE1875">
        <f>INDIRECT(ADDRESS(1875,30))+INDIRECT(ADDRESS(1873,31))-INDIRECT(ADDRESS(1874,31))</f>
        <v>0</v>
      </c>
      <c r="AF1875">
        <f>INDIRECT(ADDRESS(1875,31))+INDIRECT(ADDRESS(1873,32))-INDIRECT(ADDRESS(1874,32))</f>
        <v>0</v>
      </c>
      <c r="AG1875">
        <f>INDIRECT(ADDRESS(1875,32))+INDIRECT(ADDRESS(1873,33))-INDIRECT(ADDRESS(1874,33))</f>
        <v>0</v>
      </c>
      <c r="AH1875">
        <f>INDIRECT(ADDRESS(1875,33))+INDIRECT(ADDRESS(1873,34))-INDIRECT(ADDRESS(1874,34))</f>
        <v>0</v>
      </c>
      <c r="AI1875">
        <f>INDIRECT(ADDRESS(1875,34))+INDIRECT(ADDRESS(1873,35))-INDIRECT(ADDRESS(1874,35))</f>
        <v>0</v>
      </c>
      <c r="AJ1875">
        <f>INDIRECT(ADDRESS(1875,35))+INDIRECT(ADDRESS(1873,36))-INDIRECT(ADDRESS(1874,36))</f>
        <v>0</v>
      </c>
      <c r="AK1875">
        <f>INDIRECT(ADDRESS(1875,36))+INDIRECT(ADDRESS(1873,37))-INDIRECT(ADDRESS(1874,37))</f>
        <v>0</v>
      </c>
      <c r="AL1875">
        <f>INDIRECT(ADDRESS(1875,37))+INDIRECT(ADDRESS(1873,38))-INDIRECT(ADDRESS(1874,38))</f>
        <v>0</v>
      </c>
      <c r="AM1875">
        <f>INDIRECT(ADDRESS(1875,38))+INDIRECT(ADDRESS(1873,39))-INDIRECT(ADDRESS(1874,39))</f>
        <v>0</v>
      </c>
      <c r="AN1875">
        <f>INDIRECT(ADDRESS(1875,39))+INDIRECT(ADDRESS(1873,40))-INDIRECT(ADDRESS(1874,40))</f>
        <v>0</v>
      </c>
      <c r="AO1875">
        <f>SUM(INDIRECT(ADDRESS(1874,8)):INDIRECT(ADDRESS(1874,39)))</f>
        <v>0</v>
      </c>
    </row>
    <row r="1876" spans="1:41">
      <c r="A1876" t="s">
        <v>185</v>
      </c>
      <c r="B1876" t="s">
        <v>842</v>
      </c>
      <c r="C1876" t="s">
        <v>843</v>
      </c>
      <c r="E1876">
        <v>1</v>
      </c>
      <c r="I1876" t="s">
        <v>177</v>
      </c>
    </row>
    <row r="1877" spans="1:41">
      <c r="I1877" t="s">
        <v>178</v>
      </c>
      <c r="J1877">
        <f>IFERROR(VLOOKUP("906-475000-210",B:AB,1+8,0),0)</f>
        <v>0</v>
      </c>
      <c r="K1877">
        <f>IFERROR(VLOOKUP("906-475000-210",B:AB,2+8,0),0)</f>
        <v>0</v>
      </c>
      <c r="L1877">
        <f>IFERROR(VLOOKUP("906-475000-210",B:AB,3+8,0),0)</f>
        <v>0</v>
      </c>
      <c r="M1877">
        <f>IFERROR(VLOOKUP("906-475000-210",B:AB,4+8,0),0)</f>
        <v>0</v>
      </c>
      <c r="N1877">
        <f>IFERROR(VLOOKUP("906-475000-210",B:AB,5+8,0),0)</f>
        <v>0</v>
      </c>
      <c r="O1877">
        <f>IFERROR(VLOOKUP("906-475000-210",B:AB,6+8,0),0)</f>
        <v>0</v>
      </c>
      <c r="P1877">
        <f>IFERROR(VLOOKUP("906-475000-210",B:AB,7+8,0),0)</f>
        <v>0</v>
      </c>
      <c r="Q1877">
        <f>IFERROR(VLOOKUP("906-475000-210",B:AB,8+8,0),0)</f>
        <v>0</v>
      </c>
      <c r="R1877">
        <f>IFERROR(VLOOKUP("906-475000-210",B:AB,9+8,0),0)</f>
        <v>0</v>
      </c>
      <c r="S1877">
        <f>IFERROR(VLOOKUP("906-475000-210",B:AB,10+8,0),0)</f>
        <v>0</v>
      </c>
      <c r="T1877">
        <f>IFERROR(VLOOKUP("906-475000-210",B:AB,11+8,0),0)</f>
        <v>0</v>
      </c>
      <c r="U1877">
        <f>IFERROR(VLOOKUP("906-475000-210",B:AB,12+8,0),0)</f>
        <v>0</v>
      </c>
      <c r="V1877">
        <f>IFERROR(VLOOKUP("906-475000-210",B:AB,13+8,0),0)</f>
        <v>0</v>
      </c>
      <c r="W1877">
        <f>IFERROR(VLOOKUP("906-475000-210",B:AB,14+8,0),0)</f>
        <v>0</v>
      </c>
      <c r="X1877">
        <f>IFERROR(VLOOKUP("906-475000-210",B:AB,15+8,0),0)</f>
        <v>0</v>
      </c>
      <c r="Y1877">
        <f>IFERROR(VLOOKUP("906-475000-210",B:AB,16+8,0),0)</f>
        <v>0</v>
      </c>
      <c r="Z1877">
        <f>IFERROR(VLOOKUP("906-475000-210",B:AB,17+8,0),0)</f>
        <v>0</v>
      </c>
      <c r="AA1877">
        <f>IFERROR(VLOOKUP("906-475000-210",B:AB,18+8,0),0)</f>
        <v>0</v>
      </c>
      <c r="AB1877">
        <f>IFERROR(VLOOKUP("906-475000-210",B:AB,19+8,0),0)</f>
        <v>0</v>
      </c>
      <c r="AC1877">
        <f>IFERROR(VLOOKUP("906-475000-210",B:AB,20+8,0),0)</f>
        <v>0</v>
      </c>
      <c r="AD1877">
        <f>IFERROR(VLOOKUP("906-475000-210",B:AB,21+8,0),0)</f>
        <v>0</v>
      </c>
      <c r="AE1877">
        <f>IFERROR(VLOOKUP("906-475000-210",B:AB,22+8,0),0)</f>
        <v>0</v>
      </c>
      <c r="AF1877">
        <f>IFERROR(VLOOKUP("906-475000-210",B:AB,23+8,0),0)</f>
        <v>0</v>
      </c>
      <c r="AG1877">
        <f>IFERROR(VLOOKUP("906-475000-210",B:AB,24+8,0),0)</f>
        <v>0</v>
      </c>
      <c r="AH1877">
        <f>IFERROR(VLOOKUP("906-475000-210",B:AB,25+8,0),0)</f>
        <v>0</v>
      </c>
      <c r="AI1877">
        <f>IFERROR(VLOOKUP("906-475000-210",B:AB,26+8,0),0)</f>
        <v>0</v>
      </c>
      <c r="AJ1877">
        <f>IFERROR(VLOOKUP("906-475000-210",B:AB,27+8,0),0)</f>
        <v>0</v>
      </c>
      <c r="AK1877">
        <f>IFERROR(VLOOKUP("906-475000-210",B:AB,28+8,0),0)</f>
        <v>0</v>
      </c>
      <c r="AL1877">
        <f>IFERROR(VLOOKUP("906-475000-210",B:AB,29+8,0),0)</f>
        <v>0</v>
      </c>
      <c r="AM1877">
        <f>IFERROR(VLOOKUP("906-475000-210",B:AB,30+8,0),0)</f>
        <v>0</v>
      </c>
      <c r="AN1877">
        <f>IFERROR(VLOOKUP("906-475000-210",B:AB,31+8,0),0)</f>
        <v>0</v>
      </c>
      <c r="AO1877">
        <f>SUN(INDIRECT(ADDRESS(1876,8)):INDIRECT(ADDRESS(1876,39)))</f>
        <v>0</v>
      </c>
    </row>
    <row r="1878" spans="1:41">
      <c r="H1878" t="s">
        <v>179</v>
      </c>
      <c r="J1878">
        <f>INDIRECT(ADDRESS(1878,9))+INDIRECT(ADDRESS(1876,10))-INDIRECT(ADDRESS(1877,10))</f>
        <v>0</v>
      </c>
      <c r="K1878">
        <f>INDIRECT(ADDRESS(1878,10))+INDIRECT(ADDRESS(1876,11))-INDIRECT(ADDRESS(1877,11))</f>
        <v>0</v>
      </c>
      <c r="L1878">
        <f>INDIRECT(ADDRESS(1878,11))+INDIRECT(ADDRESS(1876,12))-INDIRECT(ADDRESS(1877,12))</f>
        <v>0</v>
      </c>
      <c r="M1878">
        <f>INDIRECT(ADDRESS(1878,12))+INDIRECT(ADDRESS(1876,13))-INDIRECT(ADDRESS(1877,13))</f>
        <v>0</v>
      </c>
      <c r="N1878">
        <f>INDIRECT(ADDRESS(1878,13))+INDIRECT(ADDRESS(1876,14))-INDIRECT(ADDRESS(1877,14))</f>
        <v>0</v>
      </c>
      <c r="O1878">
        <f>INDIRECT(ADDRESS(1878,14))+INDIRECT(ADDRESS(1876,15))-INDIRECT(ADDRESS(1877,15))</f>
        <v>0</v>
      </c>
      <c r="P1878">
        <f>INDIRECT(ADDRESS(1878,15))+INDIRECT(ADDRESS(1876,16))-INDIRECT(ADDRESS(1877,16))</f>
        <v>0</v>
      </c>
      <c r="Q1878">
        <f>INDIRECT(ADDRESS(1878,16))+INDIRECT(ADDRESS(1876,17))-INDIRECT(ADDRESS(1877,17))</f>
        <v>0</v>
      </c>
      <c r="R1878">
        <f>INDIRECT(ADDRESS(1878,17))+INDIRECT(ADDRESS(1876,18))-INDIRECT(ADDRESS(1877,18))</f>
        <v>0</v>
      </c>
      <c r="S1878">
        <f>INDIRECT(ADDRESS(1878,18))+INDIRECT(ADDRESS(1876,19))-INDIRECT(ADDRESS(1877,19))</f>
        <v>0</v>
      </c>
      <c r="T1878">
        <f>INDIRECT(ADDRESS(1878,19))+INDIRECT(ADDRESS(1876,20))-INDIRECT(ADDRESS(1877,20))</f>
        <v>0</v>
      </c>
      <c r="U1878">
        <f>INDIRECT(ADDRESS(1878,20))+INDIRECT(ADDRESS(1876,21))-INDIRECT(ADDRESS(1877,21))</f>
        <v>0</v>
      </c>
      <c r="V1878">
        <f>INDIRECT(ADDRESS(1878,21))+INDIRECT(ADDRESS(1876,22))-INDIRECT(ADDRESS(1877,22))</f>
        <v>0</v>
      </c>
      <c r="W1878">
        <f>INDIRECT(ADDRESS(1878,22))+INDIRECT(ADDRESS(1876,23))-INDIRECT(ADDRESS(1877,23))</f>
        <v>0</v>
      </c>
      <c r="X1878">
        <f>INDIRECT(ADDRESS(1878,23))+INDIRECT(ADDRESS(1876,24))-INDIRECT(ADDRESS(1877,24))</f>
        <v>0</v>
      </c>
      <c r="Y1878">
        <f>INDIRECT(ADDRESS(1878,24))+INDIRECT(ADDRESS(1876,25))-INDIRECT(ADDRESS(1877,25))</f>
        <v>0</v>
      </c>
      <c r="Z1878">
        <f>INDIRECT(ADDRESS(1878,25))+INDIRECT(ADDRESS(1876,26))-INDIRECT(ADDRESS(1877,26))</f>
        <v>0</v>
      </c>
      <c r="AA1878">
        <f>INDIRECT(ADDRESS(1878,26))+INDIRECT(ADDRESS(1876,27))-INDIRECT(ADDRESS(1877,27))</f>
        <v>0</v>
      </c>
      <c r="AB1878">
        <f>INDIRECT(ADDRESS(1878,27))+INDIRECT(ADDRESS(1876,28))-INDIRECT(ADDRESS(1877,28))</f>
        <v>0</v>
      </c>
      <c r="AC1878">
        <f>INDIRECT(ADDRESS(1878,28))+INDIRECT(ADDRESS(1876,29))-INDIRECT(ADDRESS(1877,29))</f>
        <v>0</v>
      </c>
      <c r="AD1878">
        <f>INDIRECT(ADDRESS(1878,29))+INDIRECT(ADDRESS(1876,30))-INDIRECT(ADDRESS(1877,30))</f>
        <v>0</v>
      </c>
      <c r="AE1878">
        <f>INDIRECT(ADDRESS(1878,30))+INDIRECT(ADDRESS(1876,31))-INDIRECT(ADDRESS(1877,31))</f>
        <v>0</v>
      </c>
      <c r="AF1878">
        <f>INDIRECT(ADDRESS(1878,31))+INDIRECT(ADDRESS(1876,32))-INDIRECT(ADDRESS(1877,32))</f>
        <v>0</v>
      </c>
      <c r="AG1878">
        <f>INDIRECT(ADDRESS(1878,32))+INDIRECT(ADDRESS(1876,33))-INDIRECT(ADDRESS(1877,33))</f>
        <v>0</v>
      </c>
      <c r="AH1878">
        <f>INDIRECT(ADDRESS(1878,33))+INDIRECT(ADDRESS(1876,34))-INDIRECT(ADDRESS(1877,34))</f>
        <v>0</v>
      </c>
      <c r="AI1878">
        <f>INDIRECT(ADDRESS(1878,34))+INDIRECT(ADDRESS(1876,35))-INDIRECT(ADDRESS(1877,35))</f>
        <v>0</v>
      </c>
      <c r="AJ1878">
        <f>INDIRECT(ADDRESS(1878,35))+INDIRECT(ADDRESS(1876,36))-INDIRECT(ADDRESS(1877,36))</f>
        <v>0</v>
      </c>
      <c r="AK1878">
        <f>INDIRECT(ADDRESS(1878,36))+INDIRECT(ADDRESS(1876,37))-INDIRECT(ADDRESS(1877,37))</f>
        <v>0</v>
      </c>
      <c r="AL1878">
        <f>INDIRECT(ADDRESS(1878,37))+INDIRECT(ADDRESS(1876,38))-INDIRECT(ADDRESS(1877,38))</f>
        <v>0</v>
      </c>
      <c r="AM1878">
        <f>INDIRECT(ADDRESS(1878,38))+INDIRECT(ADDRESS(1876,39))-INDIRECT(ADDRESS(1877,39))</f>
        <v>0</v>
      </c>
      <c r="AN1878">
        <f>INDIRECT(ADDRESS(1878,39))+INDIRECT(ADDRESS(1876,40))-INDIRECT(ADDRESS(1877,40))</f>
        <v>0</v>
      </c>
      <c r="AO1878">
        <f>SUM(INDIRECT(ADDRESS(1877,8)):INDIRECT(ADDRESS(1877,39)))</f>
        <v>0</v>
      </c>
    </row>
    <row r="1879" spans="1:41">
      <c r="A1879" t="s">
        <v>185</v>
      </c>
      <c r="B1879" t="s">
        <v>160</v>
      </c>
      <c r="C1879" t="s">
        <v>845</v>
      </c>
      <c r="E1879">
        <v>0.003</v>
      </c>
      <c r="I1879" t="s">
        <v>177</v>
      </c>
    </row>
    <row r="1880" spans="1:41">
      <c r="I1880" t="s">
        <v>178</v>
      </c>
      <c r="J1880">
        <f>IFERROR(VLOOKUP("906-475000-210",B:AB,1+8,0),0)</f>
        <v>0</v>
      </c>
      <c r="K1880">
        <f>IFERROR(VLOOKUP("906-475000-210",B:AB,2+8,0),0)</f>
        <v>0</v>
      </c>
      <c r="L1880">
        <f>IFERROR(VLOOKUP("906-475000-210",B:AB,3+8,0),0)</f>
        <v>0</v>
      </c>
      <c r="M1880">
        <f>IFERROR(VLOOKUP("906-475000-210",B:AB,4+8,0),0)</f>
        <v>0</v>
      </c>
      <c r="N1880">
        <f>IFERROR(VLOOKUP("906-475000-210",B:AB,5+8,0),0)</f>
        <v>0</v>
      </c>
      <c r="O1880">
        <f>IFERROR(VLOOKUP("906-475000-210",B:AB,6+8,0),0)</f>
        <v>0</v>
      </c>
      <c r="P1880">
        <f>IFERROR(VLOOKUP("906-475000-210",B:AB,7+8,0),0)</f>
        <v>0</v>
      </c>
      <c r="Q1880">
        <f>IFERROR(VLOOKUP("906-475000-210",B:AB,8+8,0),0)</f>
        <v>0</v>
      </c>
      <c r="R1880">
        <f>IFERROR(VLOOKUP("906-475000-210",B:AB,9+8,0),0)</f>
        <v>0</v>
      </c>
      <c r="S1880">
        <f>IFERROR(VLOOKUP("906-475000-210",B:AB,10+8,0),0)</f>
        <v>0</v>
      </c>
      <c r="T1880">
        <f>IFERROR(VLOOKUP("906-475000-210",B:AB,11+8,0),0)</f>
        <v>0</v>
      </c>
      <c r="U1880">
        <f>IFERROR(VLOOKUP("906-475000-210",B:AB,12+8,0),0)</f>
        <v>0</v>
      </c>
      <c r="V1880">
        <f>IFERROR(VLOOKUP("906-475000-210",B:AB,13+8,0),0)</f>
        <v>0</v>
      </c>
      <c r="W1880">
        <f>IFERROR(VLOOKUP("906-475000-210",B:AB,14+8,0),0)</f>
        <v>0</v>
      </c>
      <c r="X1880">
        <f>IFERROR(VLOOKUP("906-475000-210",B:AB,15+8,0),0)</f>
        <v>0</v>
      </c>
      <c r="Y1880">
        <f>IFERROR(VLOOKUP("906-475000-210",B:AB,16+8,0),0)</f>
        <v>0</v>
      </c>
      <c r="Z1880">
        <f>IFERROR(VLOOKUP("906-475000-210",B:AB,17+8,0),0)</f>
        <v>0</v>
      </c>
      <c r="AA1880">
        <f>IFERROR(VLOOKUP("906-475000-210",B:AB,18+8,0),0)</f>
        <v>0</v>
      </c>
      <c r="AB1880">
        <f>IFERROR(VLOOKUP("906-475000-210",B:AB,19+8,0),0)</f>
        <v>0</v>
      </c>
      <c r="AC1880">
        <f>IFERROR(VLOOKUP("906-475000-210",B:AB,20+8,0),0)</f>
        <v>0</v>
      </c>
      <c r="AD1880">
        <f>IFERROR(VLOOKUP("906-475000-210",B:AB,21+8,0),0)</f>
        <v>0</v>
      </c>
      <c r="AE1880">
        <f>IFERROR(VLOOKUP("906-475000-210",B:AB,22+8,0),0)</f>
        <v>0</v>
      </c>
      <c r="AF1880">
        <f>IFERROR(VLOOKUP("906-475000-210",B:AB,23+8,0),0)</f>
        <v>0</v>
      </c>
      <c r="AG1880">
        <f>IFERROR(VLOOKUP("906-475000-210",B:AB,24+8,0),0)</f>
        <v>0</v>
      </c>
      <c r="AH1880">
        <f>IFERROR(VLOOKUP("906-475000-210",B:AB,25+8,0),0)</f>
        <v>0</v>
      </c>
      <c r="AI1880">
        <f>IFERROR(VLOOKUP("906-475000-210",B:AB,26+8,0),0)</f>
        <v>0</v>
      </c>
      <c r="AJ1880">
        <f>IFERROR(VLOOKUP("906-475000-210",B:AB,27+8,0),0)</f>
        <v>0</v>
      </c>
      <c r="AK1880">
        <f>IFERROR(VLOOKUP("906-475000-210",B:AB,28+8,0),0)</f>
        <v>0</v>
      </c>
      <c r="AL1880">
        <f>IFERROR(VLOOKUP("906-475000-210",B:AB,29+8,0),0)</f>
        <v>0</v>
      </c>
      <c r="AM1880">
        <f>IFERROR(VLOOKUP("906-475000-210",B:AB,30+8,0),0)</f>
        <v>0</v>
      </c>
      <c r="AN1880">
        <f>IFERROR(VLOOKUP("906-475000-210",B:AB,31+8,0),0)</f>
        <v>0</v>
      </c>
      <c r="AO1880">
        <f>SUN(INDIRECT(ADDRESS(1879,8)):INDIRECT(ADDRESS(1879,39)))</f>
        <v>0</v>
      </c>
    </row>
    <row r="1881" spans="1:41">
      <c r="H1881" t="s">
        <v>179</v>
      </c>
      <c r="J1881">
        <f>INDIRECT(ADDRESS(1881,9))+INDIRECT(ADDRESS(1879,10))-INDIRECT(ADDRESS(1880,10))</f>
        <v>0</v>
      </c>
      <c r="K1881">
        <f>INDIRECT(ADDRESS(1881,10))+INDIRECT(ADDRESS(1879,11))-INDIRECT(ADDRESS(1880,11))</f>
        <v>0</v>
      </c>
      <c r="L1881">
        <f>INDIRECT(ADDRESS(1881,11))+INDIRECT(ADDRESS(1879,12))-INDIRECT(ADDRESS(1880,12))</f>
        <v>0</v>
      </c>
      <c r="M1881">
        <f>INDIRECT(ADDRESS(1881,12))+INDIRECT(ADDRESS(1879,13))-INDIRECT(ADDRESS(1880,13))</f>
        <v>0</v>
      </c>
      <c r="N1881">
        <f>INDIRECT(ADDRESS(1881,13))+INDIRECT(ADDRESS(1879,14))-INDIRECT(ADDRESS(1880,14))</f>
        <v>0</v>
      </c>
      <c r="O1881">
        <f>INDIRECT(ADDRESS(1881,14))+INDIRECT(ADDRESS(1879,15))-INDIRECT(ADDRESS(1880,15))</f>
        <v>0</v>
      </c>
      <c r="P1881">
        <f>INDIRECT(ADDRESS(1881,15))+INDIRECT(ADDRESS(1879,16))-INDIRECT(ADDRESS(1880,16))</f>
        <v>0</v>
      </c>
      <c r="Q1881">
        <f>INDIRECT(ADDRESS(1881,16))+INDIRECT(ADDRESS(1879,17))-INDIRECT(ADDRESS(1880,17))</f>
        <v>0</v>
      </c>
      <c r="R1881">
        <f>INDIRECT(ADDRESS(1881,17))+INDIRECT(ADDRESS(1879,18))-INDIRECT(ADDRESS(1880,18))</f>
        <v>0</v>
      </c>
      <c r="S1881">
        <f>INDIRECT(ADDRESS(1881,18))+INDIRECT(ADDRESS(1879,19))-INDIRECT(ADDRESS(1880,19))</f>
        <v>0</v>
      </c>
      <c r="T1881">
        <f>INDIRECT(ADDRESS(1881,19))+INDIRECT(ADDRESS(1879,20))-INDIRECT(ADDRESS(1880,20))</f>
        <v>0</v>
      </c>
      <c r="U1881">
        <f>INDIRECT(ADDRESS(1881,20))+INDIRECT(ADDRESS(1879,21))-INDIRECT(ADDRESS(1880,21))</f>
        <v>0</v>
      </c>
      <c r="V1881">
        <f>INDIRECT(ADDRESS(1881,21))+INDIRECT(ADDRESS(1879,22))-INDIRECT(ADDRESS(1880,22))</f>
        <v>0</v>
      </c>
      <c r="W1881">
        <f>INDIRECT(ADDRESS(1881,22))+INDIRECT(ADDRESS(1879,23))-INDIRECT(ADDRESS(1880,23))</f>
        <v>0</v>
      </c>
      <c r="X1881">
        <f>INDIRECT(ADDRESS(1881,23))+INDIRECT(ADDRESS(1879,24))-INDIRECT(ADDRESS(1880,24))</f>
        <v>0</v>
      </c>
      <c r="Y1881">
        <f>INDIRECT(ADDRESS(1881,24))+INDIRECT(ADDRESS(1879,25))-INDIRECT(ADDRESS(1880,25))</f>
        <v>0</v>
      </c>
      <c r="Z1881">
        <f>INDIRECT(ADDRESS(1881,25))+INDIRECT(ADDRESS(1879,26))-INDIRECT(ADDRESS(1880,26))</f>
        <v>0</v>
      </c>
      <c r="AA1881">
        <f>INDIRECT(ADDRESS(1881,26))+INDIRECT(ADDRESS(1879,27))-INDIRECT(ADDRESS(1880,27))</f>
        <v>0</v>
      </c>
      <c r="AB1881">
        <f>INDIRECT(ADDRESS(1881,27))+INDIRECT(ADDRESS(1879,28))-INDIRECT(ADDRESS(1880,28))</f>
        <v>0</v>
      </c>
      <c r="AC1881">
        <f>INDIRECT(ADDRESS(1881,28))+INDIRECT(ADDRESS(1879,29))-INDIRECT(ADDRESS(1880,29))</f>
        <v>0</v>
      </c>
      <c r="AD1881">
        <f>INDIRECT(ADDRESS(1881,29))+INDIRECT(ADDRESS(1879,30))-INDIRECT(ADDRESS(1880,30))</f>
        <v>0</v>
      </c>
      <c r="AE1881">
        <f>INDIRECT(ADDRESS(1881,30))+INDIRECT(ADDRESS(1879,31))-INDIRECT(ADDRESS(1880,31))</f>
        <v>0</v>
      </c>
      <c r="AF1881">
        <f>INDIRECT(ADDRESS(1881,31))+INDIRECT(ADDRESS(1879,32))-INDIRECT(ADDRESS(1880,32))</f>
        <v>0</v>
      </c>
      <c r="AG1881">
        <f>INDIRECT(ADDRESS(1881,32))+INDIRECT(ADDRESS(1879,33))-INDIRECT(ADDRESS(1880,33))</f>
        <v>0</v>
      </c>
      <c r="AH1881">
        <f>INDIRECT(ADDRESS(1881,33))+INDIRECT(ADDRESS(1879,34))-INDIRECT(ADDRESS(1880,34))</f>
        <v>0</v>
      </c>
      <c r="AI1881">
        <f>INDIRECT(ADDRESS(1881,34))+INDIRECT(ADDRESS(1879,35))-INDIRECT(ADDRESS(1880,35))</f>
        <v>0</v>
      </c>
      <c r="AJ1881">
        <f>INDIRECT(ADDRESS(1881,35))+INDIRECT(ADDRESS(1879,36))-INDIRECT(ADDRESS(1880,36))</f>
        <v>0</v>
      </c>
      <c r="AK1881">
        <f>INDIRECT(ADDRESS(1881,36))+INDIRECT(ADDRESS(1879,37))-INDIRECT(ADDRESS(1880,37))</f>
        <v>0</v>
      </c>
      <c r="AL1881">
        <f>INDIRECT(ADDRESS(1881,37))+INDIRECT(ADDRESS(1879,38))-INDIRECT(ADDRESS(1880,38))</f>
        <v>0</v>
      </c>
      <c r="AM1881">
        <f>INDIRECT(ADDRESS(1881,38))+INDIRECT(ADDRESS(1879,39))-INDIRECT(ADDRESS(1880,39))</f>
        <v>0</v>
      </c>
      <c r="AN1881">
        <f>INDIRECT(ADDRESS(1881,39))+INDIRECT(ADDRESS(1879,40))-INDIRECT(ADDRESS(1880,40))</f>
        <v>0</v>
      </c>
      <c r="AO1881">
        <f>SUM(INDIRECT(ADDRESS(1880,8)):INDIRECT(ADDRESS(1880,39)))</f>
        <v>0</v>
      </c>
    </row>
    <row r="1882" spans="1:41">
      <c r="A1882" t="s">
        <v>8</v>
      </c>
      <c r="B1882" t="s">
        <v>158</v>
      </c>
      <c r="C1882" t="s">
        <v>153</v>
      </c>
      <c r="E1882">
        <v>0.003</v>
      </c>
      <c r="I1882" t="s">
        <v>177</v>
      </c>
    </row>
    <row r="1883" spans="1:41">
      <c r="I1883" t="s">
        <v>178</v>
      </c>
      <c r="J1883">
        <f>IFERROR(VLOOKUP("906-476000-210",Out!B:AB,1+8,0),0)</f>
        <v>0</v>
      </c>
      <c r="K1883">
        <f>IFERROR(VLOOKUP("906-476000-210",Out!B:AB,2+8,0),0)</f>
        <v>0</v>
      </c>
      <c r="L1883">
        <f>IFERROR(VLOOKUP("906-476000-210",Out!B:AB,3+8,0),0)</f>
        <v>0</v>
      </c>
      <c r="M1883">
        <f>IFERROR(VLOOKUP("906-476000-210",Out!B:AB,4+8,0),0)</f>
        <v>0</v>
      </c>
      <c r="N1883">
        <f>IFERROR(VLOOKUP("906-476000-210",Out!B:AB,5+8,0),0)</f>
        <v>0</v>
      </c>
      <c r="O1883">
        <f>IFERROR(VLOOKUP("906-476000-210",Out!B:AB,6+8,0),0)</f>
        <v>0</v>
      </c>
      <c r="P1883">
        <f>IFERROR(VLOOKUP("906-476000-210",Out!B:AB,7+8,0),0)</f>
        <v>0</v>
      </c>
      <c r="Q1883">
        <f>IFERROR(VLOOKUP("906-476000-210",Out!B:AB,8+8,0),0)</f>
        <v>0</v>
      </c>
      <c r="R1883">
        <f>IFERROR(VLOOKUP("906-476000-210",Out!B:AB,9+8,0),0)</f>
        <v>0</v>
      </c>
      <c r="S1883">
        <f>IFERROR(VLOOKUP("906-476000-210",Out!B:AB,10+8,0),0)</f>
        <v>0</v>
      </c>
      <c r="T1883">
        <f>IFERROR(VLOOKUP("906-476000-210",Out!B:AB,11+8,0),0)</f>
        <v>0</v>
      </c>
      <c r="U1883">
        <f>IFERROR(VLOOKUP("906-476000-210",Out!B:AB,12+8,0),0)</f>
        <v>0</v>
      </c>
      <c r="V1883">
        <f>IFERROR(VLOOKUP("906-476000-210",Out!B:AB,13+8,0),0)</f>
        <v>0</v>
      </c>
      <c r="W1883">
        <f>IFERROR(VLOOKUP("906-476000-210",Out!B:AB,14+8,0),0)</f>
        <v>0</v>
      </c>
      <c r="X1883">
        <f>IFERROR(VLOOKUP("906-476000-210",Out!B:AB,15+8,0),0)</f>
        <v>0</v>
      </c>
      <c r="Y1883">
        <f>IFERROR(VLOOKUP("906-476000-210",Out!B:AB,16+8,0),0)</f>
        <v>0</v>
      </c>
      <c r="Z1883">
        <f>IFERROR(VLOOKUP("906-476000-210",Out!B:AB,17+8,0),0)</f>
        <v>0</v>
      </c>
      <c r="AA1883">
        <f>IFERROR(VLOOKUP("906-476000-210",Out!B:AB,18+8,0),0)</f>
        <v>0</v>
      </c>
      <c r="AB1883">
        <f>IFERROR(VLOOKUP("906-476000-210",Out!B:AB,19+8,0),0)</f>
        <v>0</v>
      </c>
      <c r="AC1883">
        <f>IFERROR(VLOOKUP("906-476000-210",Out!B:AB,20+8,0),0)</f>
        <v>0</v>
      </c>
      <c r="AD1883">
        <f>IFERROR(VLOOKUP("906-476000-210",Out!B:AB,21+8,0),0)</f>
        <v>0</v>
      </c>
      <c r="AE1883">
        <f>IFERROR(VLOOKUP("906-476000-210",Out!B:AB,22+8,0),0)</f>
        <v>0</v>
      </c>
      <c r="AF1883">
        <f>IFERROR(VLOOKUP("906-476000-210",Out!B:AB,23+8,0),0)</f>
        <v>0</v>
      </c>
      <c r="AG1883">
        <f>IFERROR(VLOOKUP("906-476000-210",Out!B:AB,24+8,0),0)</f>
        <v>0</v>
      </c>
      <c r="AH1883">
        <f>IFERROR(VLOOKUP("906-476000-210",Out!B:AB,25+8,0),0)</f>
        <v>0</v>
      </c>
      <c r="AI1883">
        <f>IFERROR(VLOOKUP("906-476000-210",Out!B:AB,26+8,0),0)</f>
        <v>0</v>
      </c>
      <c r="AJ1883">
        <f>IFERROR(VLOOKUP("906-476000-210",Out!B:AB,27+8,0),0)</f>
        <v>0</v>
      </c>
      <c r="AK1883">
        <f>IFERROR(VLOOKUP("906-476000-210",Out!B:AB,28+8,0),0)</f>
        <v>0</v>
      </c>
      <c r="AL1883">
        <f>IFERROR(VLOOKUP("906-476000-210",Out!B:AB,29+8,0),0)</f>
        <v>0</v>
      </c>
      <c r="AM1883">
        <f>IFERROR(VLOOKUP("906-476000-210",Out!B:AB,30+8,0),0)</f>
        <v>0</v>
      </c>
      <c r="AN1883">
        <f>IFERROR(VLOOKUP("906-476000-210",Out!B:AB,31+8,0),0)</f>
        <v>0</v>
      </c>
      <c r="AO1883">
        <f>SUN(INDIRECT(ADDRESS(1882,8)):INDIRECT(ADDRESS(1882,39)))</f>
        <v>0</v>
      </c>
    </row>
    <row r="1884" spans="1:41">
      <c r="H1884" t="s">
        <v>179</v>
      </c>
      <c r="J1884">
        <f>INDIRECT(ADDRESS(1884,9))+INDIRECT(ADDRESS(1882,10))-INDIRECT(ADDRESS(1883,10))</f>
        <v>0</v>
      </c>
      <c r="K1884">
        <f>INDIRECT(ADDRESS(1884,10))+INDIRECT(ADDRESS(1882,11))-INDIRECT(ADDRESS(1883,11))</f>
        <v>0</v>
      </c>
      <c r="L1884">
        <f>INDIRECT(ADDRESS(1884,11))+INDIRECT(ADDRESS(1882,12))-INDIRECT(ADDRESS(1883,12))</f>
        <v>0</v>
      </c>
      <c r="M1884">
        <f>INDIRECT(ADDRESS(1884,12))+INDIRECT(ADDRESS(1882,13))-INDIRECT(ADDRESS(1883,13))</f>
        <v>0</v>
      </c>
      <c r="N1884">
        <f>INDIRECT(ADDRESS(1884,13))+INDIRECT(ADDRESS(1882,14))-INDIRECT(ADDRESS(1883,14))</f>
        <v>0</v>
      </c>
      <c r="O1884">
        <f>INDIRECT(ADDRESS(1884,14))+INDIRECT(ADDRESS(1882,15))-INDIRECT(ADDRESS(1883,15))</f>
        <v>0</v>
      </c>
      <c r="P1884">
        <f>INDIRECT(ADDRESS(1884,15))+INDIRECT(ADDRESS(1882,16))-INDIRECT(ADDRESS(1883,16))</f>
        <v>0</v>
      </c>
      <c r="Q1884">
        <f>INDIRECT(ADDRESS(1884,16))+INDIRECT(ADDRESS(1882,17))-INDIRECT(ADDRESS(1883,17))</f>
        <v>0</v>
      </c>
      <c r="R1884">
        <f>INDIRECT(ADDRESS(1884,17))+INDIRECT(ADDRESS(1882,18))-INDIRECT(ADDRESS(1883,18))</f>
        <v>0</v>
      </c>
      <c r="S1884">
        <f>INDIRECT(ADDRESS(1884,18))+INDIRECT(ADDRESS(1882,19))-INDIRECT(ADDRESS(1883,19))</f>
        <v>0</v>
      </c>
      <c r="T1884">
        <f>INDIRECT(ADDRESS(1884,19))+INDIRECT(ADDRESS(1882,20))-INDIRECT(ADDRESS(1883,20))</f>
        <v>0</v>
      </c>
      <c r="U1884">
        <f>INDIRECT(ADDRESS(1884,20))+INDIRECT(ADDRESS(1882,21))-INDIRECT(ADDRESS(1883,21))</f>
        <v>0</v>
      </c>
      <c r="V1884">
        <f>INDIRECT(ADDRESS(1884,21))+INDIRECT(ADDRESS(1882,22))-INDIRECT(ADDRESS(1883,22))</f>
        <v>0</v>
      </c>
      <c r="W1884">
        <f>INDIRECT(ADDRESS(1884,22))+INDIRECT(ADDRESS(1882,23))-INDIRECT(ADDRESS(1883,23))</f>
        <v>0</v>
      </c>
      <c r="X1884">
        <f>INDIRECT(ADDRESS(1884,23))+INDIRECT(ADDRESS(1882,24))-INDIRECT(ADDRESS(1883,24))</f>
        <v>0</v>
      </c>
      <c r="Y1884">
        <f>INDIRECT(ADDRESS(1884,24))+INDIRECT(ADDRESS(1882,25))-INDIRECT(ADDRESS(1883,25))</f>
        <v>0</v>
      </c>
      <c r="Z1884">
        <f>INDIRECT(ADDRESS(1884,25))+INDIRECT(ADDRESS(1882,26))-INDIRECT(ADDRESS(1883,26))</f>
        <v>0</v>
      </c>
      <c r="AA1884">
        <f>INDIRECT(ADDRESS(1884,26))+INDIRECT(ADDRESS(1882,27))-INDIRECT(ADDRESS(1883,27))</f>
        <v>0</v>
      </c>
      <c r="AB1884">
        <f>INDIRECT(ADDRESS(1884,27))+INDIRECT(ADDRESS(1882,28))-INDIRECT(ADDRESS(1883,28))</f>
        <v>0</v>
      </c>
      <c r="AC1884">
        <f>INDIRECT(ADDRESS(1884,28))+INDIRECT(ADDRESS(1882,29))-INDIRECT(ADDRESS(1883,29))</f>
        <v>0</v>
      </c>
      <c r="AD1884">
        <f>INDIRECT(ADDRESS(1884,29))+INDIRECT(ADDRESS(1882,30))-INDIRECT(ADDRESS(1883,30))</f>
        <v>0</v>
      </c>
      <c r="AE1884">
        <f>INDIRECT(ADDRESS(1884,30))+INDIRECT(ADDRESS(1882,31))-INDIRECT(ADDRESS(1883,31))</f>
        <v>0</v>
      </c>
      <c r="AF1884">
        <f>INDIRECT(ADDRESS(1884,31))+INDIRECT(ADDRESS(1882,32))-INDIRECT(ADDRESS(1883,32))</f>
        <v>0</v>
      </c>
      <c r="AG1884">
        <f>INDIRECT(ADDRESS(1884,32))+INDIRECT(ADDRESS(1882,33))-INDIRECT(ADDRESS(1883,33))</f>
        <v>0</v>
      </c>
      <c r="AH1884">
        <f>INDIRECT(ADDRESS(1884,33))+INDIRECT(ADDRESS(1882,34))-INDIRECT(ADDRESS(1883,34))</f>
        <v>0</v>
      </c>
      <c r="AI1884">
        <f>INDIRECT(ADDRESS(1884,34))+INDIRECT(ADDRESS(1882,35))-INDIRECT(ADDRESS(1883,35))</f>
        <v>0</v>
      </c>
      <c r="AJ1884">
        <f>INDIRECT(ADDRESS(1884,35))+INDIRECT(ADDRESS(1882,36))-INDIRECT(ADDRESS(1883,36))</f>
        <v>0</v>
      </c>
      <c r="AK1884">
        <f>INDIRECT(ADDRESS(1884,36))+INDIRECT(ADDRESS(1882,37))-INDIRECT(ADDRESS(1883,37))</f>
        <v>0</v>
      </c>
      <c r="AL1884">
        <f>INDIRECT(ADDRESS(1884,37))+INDIRECT(ADDRESS(1882,38))-INDIRECT(ADDRESS(1883,38))</f>
        <v>0</v>
      </c>
      <c r="AM1884">
        <f>INDIRECT(ADDRESS(1884,38))+INDIRECT(ADDRESS(1882,39))-INDIRECT(ADDRESS(1883,39))</f>
        <v>0</v>
      </c>
      <c r="AN1884">
        <f>INDIRECT(ADDRESS(1884,39))+INDIRECT(ADDRESS(1882,40))-INDIRECT(ADDRESS(1883,40))</f>
        <v>0</v>
      </c>
      <c r="AO1884">
        <f>SUM(INDIRECT(ADDRESS(1883,8)):INDIRECT(ADDRESS(1883,39)))</f>
        <v>0</v>
      </c>
    </row>
    <row r="1885" spans="1:41">
      <c r="A1885" t="s">
        <v>180</v>
      </c>
      <c r="B1885" t="s">
        <v>851</v>
      </c>
      <c r="C1885" t="s">
        <v>839</v>
      </c>
      <c r="E1885">
        <v>1</v>
      </c>
      <c r="I1885" t="s">
        <v>177</v>
      </c>
    </row>
    <row r="1886" spans="1:41">
      <c r="I1886" t="s">
        <v>178</v>
      </c>
      <c r="J1886">
        <f>IFERROR(VLOOKUP("906-476000-210",B:AB,1+8,0),0)</f>
        <v>0</v>
      </c>
      <c r="K1886">
        <f>IFERROR(VLOOKUP("906-476000-210",B:AB,2+8,0),0)</f>
        <v>0</v>
      </c>
      <c r="L1886">
        <f>IFERROR(VLOOKUP("906-476000-210",B:AB,3+8,0),0)</f>
        <v>0</v>
      </c>
      <c r="M1886">
        <f>IFERROR(VLOOKUP("906-476000-210",B:AB,4+8,0),0)</f>
        <v>0</v>
      </c>
      <c r="N1886">
        <f>IFERROR(VLOOKUP("906-476000-210",B:AB,5+8,0),0)</f>
        <v>0</v>
      </c>
      <c r="O1886">
        <f>IFERROR(VLOOKUP("906-476000-210",B:AB,6+8,0),0)</f>
        <v>0</v>
      </c>
      <c r="P1886">
        <f>IFERROR(VLOOKUP("906-476000-210",B:AB,7+8,0),0)</f>
        <v>0</v>
      </c>
      <c r="Q1886">
        <f>IFERROR(VLOOKUP("906-476000-210",B:AB,8+8,0),0)</f>
        <v>0</v>
      </c>
      <c r="R1886">
        <f>IFERROR(VLOOKUP("906-476000-210",B:AB,9+8,0),0)</f>
        <v>0</v>
      </c>
      <c r="S1886">
        <f>IFERROR(VLOOKUP("906-476000-210",B:AB,10+8,0),0)</f>
        <v>0</v>
      </c>
      <c r="T1886">
        <f>IFERROR(VLOOKUP("906-476000-210",B:AB,11+8,0),0)</f>
        <v>0</v>
      </c>
      <c r="U1886">
        <f>IFERROR(VLOOKUP("906-476000-210",B:AB,12+8,0),0)</f>
        <v>0</v>
      </c>
      <c r="V1886">
        <f>IFERROR(VLOOKUP("906-476000-210",B:AB,13+8,0),0)</f>
        <v>0</v>
      </c>
      <c r="W1886">
        <f>IFERROR(VLOOKUP("906-476000-210",B:AB,14+8,0),0)</f>
        <v>0</v>
      </c>
      <c r="X1886">
        <f>IFERROR(VLOOKUP("906-476000-210",B:AB,15+8,0),0)</f>
        <v>0</v>
      </c>
      <c r="Y1886">
        <f>IFERROR(VLOOKUP("906-476000-210",B:AB,16+8,0),0)</f>
        <v>0</v>
      </c>
      <c r="Z1886">
        <f>IFERROR(VLOOKUP("906-476000-210",B:AB,17+8,0),0)</f>
        <v>0</v>
      </c>
      <c r="AA1886">
        <f>IFERROR(VLOOKUP("906-476000-210",B:AB,18+8,0),0)</f>
        <v>0</v>
      </c>
      <c r="AB1886">
        <f>IFERROR(VLOOKUP("906-476000-210",B:AB,19+8,0),0)</f>
        <v>0</v>
      </c>
      <c r="AC1886">
        <f>IFERROR(VLOOKUP("906-476000-210",B:AB,20+8,0),0)</f>
        <v>0</v>
      </c>
      <c r="AD1886">
        <f>IFERROR(VLOOKUP("906-476000-210",B:AB,21+8,0),0)</f>
        <v>0</v>
      </c>
      <c r="AE1886">
        <f>IFERROR(VLOOKUP("906-476000-210",B:AB,22+8,0),0)</f>
        <v>0</v>
      </c>
      <c r="AF1886">
        <f>IFERROR(VLOOKUP("906-476000-210",B:AB,23+8,0),0)</f>
        <v>0</v>
      </c>
      <c r="AG1886">
        <f>IFERROR(VLOOKUP("906-476000-210",B:AB,24+8,0),0)</f>
        <v>0</v>
      </c>
      <c r="AH1886">
        <f>IFERROR(VLOOKUP("906-476000-210",B:AB,25+8,0),0)</f>
        <v>0</v>
      </c>
      <c r="AI1886">
        <f>IFERROR(VLOOKUP("906-476000-210",B:AB,26+8,0),0)</f>
        <v>0</v>
      </c>
      <c r="AJ1886">
        <f>IFERROR(VLOOKUP("906-476000-210",B:AB,27+8,0),0)</f>
        <v>0</v>
      </c>
      <c r="AK1886">
        <f>IFERROR(VLOOKUP("906-476000-210",B:AB,28+8,0),0)</f>
        <v>0</v>
      </c>
      <c r="AL1886">
        <f>IFERROR(VLOOKUP("906-476000-210",B:AB,29+8,0),0)</f>
        <v>0</v>
      </c>
      <c r="AM1886">
        <f>IFERROR(VLOOKUP("906-476000-210",B:AB,30+8,0),0)</f>
        <v>0</v>
      </c>
      <c r="AN1886">
        <f>IFERROR(VLOOKUP("906-476000-210",B:AB,31+8,0),0)</f>
        <v>0</v>
      </c>
      <c r="AO1886">
        <f>SUN(INDIRECT(ADDRESS(1885,8)):INDIRECT(ADDRESS(1885,39)))</f>
        <v>0</v>
      </c>
    </row>
    <row r="1887" spans="1:41">
      <c r="H1887" t="s">
        <v>179</v>
      </c>
      <c r="J1887">
        <f>INDIRECT(ADDRESS(1887,9))+INDIRECT(ADDRESS(1885,10))-INDIRECT(ADDRESS(1886,10))</f>
        <v>0</v>
      </c>
      <c r="K1887">
        <f>INDIRECT(ADDRESS(1887,10))+INDIRECT(ADDRESS(1885,11))-INDIRECT(ADDRESS(1886,11))</f>
        <v>0</v>
      </c>
      <c r="L1887">
        <f>INDIRECT(ADDRESS(1887,11))+INDIRECT(ADDRESS(1885,12))-INDIRECT(ADDRESS(1886,12))</f>
        <v>0</v>
      </c>
      <c r="M1887">
        <f>INDIRECT(ADDRESS(1887,12))+INDIRECT(ADDRESS(1885,13))-INDIRECT(ADDRESS(1886,13))</f>
        <v>0</v>
      </c>
      <c r="N1887">
        <f>INDIRECT(ADDRESS(1887,13))+INDIRECT(ADDRESS(1885,14))-INDIRECT(ADDRESS(1886,14))</f>
        <v>0</v>
      </c>
      <c r="O1887">
        <f>INDIRECT(ADDRESS(1887,14))+INDIRECT(ADDRESS(1885,15))-INDIRECT(ADDRESS(1886,15))</f>
        <v>0</v>
      </c>
      <c r="P1887">
        <f>INDIRECT(ADDRESS(1887,15))+INDIRECT(ADDRESS(1885,16))-INDIRECT(ADDRESS(1886,16))</f>
        <v>0</v>
      </c>
      <c r="Q1887">
        <f>INDIRECT(ADDRESS(1887,16))+INDIRECT(ADDRESS(1885,17))-INDIRECT(ADDRESS(1886,17))</f>
        <v>0</v>
      </c>
      <c r="R1887">
        <f>INDIRECT(ADDRESS(1887,17))+INDIRECT(ADDRESS(1885,18))-INDIRECT(ADDRESS(1886,18))</f>
        <v>0</v>
      </c>
      <c r="S1887">
        <f>INDIRECT(ADDRESS(1887,18))+INDIRECT(ADDRESS(1885,19))-INDIRECT(ADDRESS(1886,19))</f>
        <v>0</v>
      </c>
      <c r="T1887">
        <f>INDIRECT(ADDRESS(1887,19))+INDIRECT(ADDRESS(1885,20))-INDIRECT(ADDRESS(1886,20))</f>
        <v>0</v>
      </c>
      <c r="U1887">
        <f>INDIRECT(ADDRESS(1887,20))+INDIRECT(ADDRESS(1885,21))-INDIRECT(ADDRESS(1886,21))</f>
        <v>0</v>
      </c>
      <c r="V1887">
        <f>INDIRECT(ADDRESS(1887,21))+INDIRECT(ADDRESS(1885,22))-INDIRECT(ADDRESS(1886,22))</f>
        <v>0</v>
      </c>
      <c r="W1887">
        <f>INDIRECT(ADDRESS(1887,22))+INDIRECT(ADDRESS(1885,23))-INDIRECT(ADDRESS(1886,23))</f>
        <v>0</v>
      </c>
      <c r="X1887">
        <f>INDIRECT(ADDRESS(1887,23))+INDIRECT(ADDRESS(1885,24))-INDIRECT(ADDRESS(1886,24))</f>
        <v>0</v>
      </c>
      <c r="Y1887">
        <f>INDIRECT(ADDRESS(1887,24))+INDIRECT(ADDRESS(1885,25))-INDIRECT(ADDRESS(1886,25))</f>
        <v>0</v>
      </c>
      <c r="Z1887">
        <f>INDIRECT(ADDRESS(1887,25))+INDIRECT(ADDRESS(1885,26))-INDIRECT(ADDRESS(1886,26))</f>
        <v>0</v>
      </c>
      <c r="AA1887">
        <f>INDIRECT(ADDRESS(1887,26))+INDIRECT(ADDRESS(1885,27))-INDIRECT(ADDRESS(1886,27))</f>
        <v>0</v>
      </c>
      <c r="AB1887">
        <f>INDIRECT(ADDRESS(1887,27))+INDIRECT(ADDRESS(1885,28))-INDIRECT(ADDRESS(1886,28))</f>
        <v>0</v>
      </c>
      <c r="AC1887">
        <f>INDIRECT(ADDRESS(1887,28))+INDIRECT(ADDRESS(1885,29))-INDIRECT(ADDRESS(1886,29))</f>
        <v>0</v>
      </c>
      <c r="AD1887">
        <f>INDIRECT(ADDRESS(1887,29))+INDIRECT(ADDRESS(1885,30))-INDIRECT(ADDRESS(1886,30))</f>
        <v>0</v>
      </c>
      <c r="AE1887">
        <f>INDIRECT(ADDRESS(1887,30))+INDIRECT(ADDRESS(1885,31))-INDIRECT(ADDRESS(1886,31))</f>
        <v>0</v>
      </c>
      <c r="AF1887">
        <f>INDIRECT(ADDRESS(1887,31))+INDIRECT(ADDRESS(1885,32))-INDIRECT(ADDRESS(1886,32))</f>
        <v>0</v>
      </c>
      <c r="AG1887">
        <f>INDIRECT(ADDRESS(1887,32))+INDIRECT(ADDRESS(1885,33))-INDIRECT(ADDRESS(1886,33))</f>
        <v>0</v>
      </c>
      <c r="AH1887">
        <f>INDIRECT(ADDRESS(1887,33))+INDIRECT(ADDRESS(1885,34))-INDIRECT(ADDRESS(1886,34))</f>
        <v>0</v>
      </c>
      <c r="AI1887">
        <f>INDIRECT(ADDRESS(1887,34))+INDIRECT(ADDRESS(1885,35))-INDIRECT(ADDRESS(1886,35))</f>
        <v>0</v>
      </c>
      <c r="AJ1887">
        <f>INDIRECT(ADDRESS(1887,35))+INDIRECT(ADDRESS(1885,36))-INDIRECT(ADDRESS(1886,36))</f>
        <v>0</v>
      </c>
      <c r="AK1887">
        <f>INDIRECT(ADDRESS(1887,36))+INDIRECT(ADDRESS(1885,37))-INDIRECT(ADDRESS(1886,37))</f>
        <v>0</v>
      </c>
      <c r="AL1887">
        <f>INDIRECT(ADDRESS(1887,37))+INDIRECT(ADDRESS(1885,38))-INDIRECT(ADDRESS(1886,38))</f>
        <v>0</v>
      </c>
      <c r="AM1887">
        <f>INDIRECT(ADDRESS(1887,38))+INDIRECT(ADDRESS(1885,39))-INDIRECT(ADDRESS(1886,39))</f>
        <v>0</v>
      </c>
      <c r="AN1887">
        <f>INDIRECT(ADDRESS(1887,39))+INDIRECT(ADDRESS(1885,40))-INDIRECT(ADDRESS(1886,40))</f>
        <v>0</v>
      </c>
      <c r="AO1887">
        <f>SUM(INDIRECT(ADDRESS(1886,8)):INDIRECT(ADDRESS(1886,39)))</f>
        <v>0</v>
      </c>
    </row>
    <row r="1888" spans="1:41">
      <c r="A1888" t="s">
        <v>180</v>
      </c>
      <c r="B1888" t="s">
        <v>840</v>
      </c>
      <c r="C1888" t="s">
        <v>841</v>
      </c>
      <c r="E1888">
        <v>1</v>
      </c>
      <c r="I1888" t="s">
        <v>177</v>
      </c>
    </row>
    <row r="1889" spans="1:41">
      <c r="I1889" t="s">
        <v>178</v>
      </c>
      <c r="J1889">
        <f>IFERROR(VLOOKUP("906-476000-210",B:AB,1+8,0),0)</f>
        <v>0</v>
      </c>
      <c r="K1889">
        <f>IFERROR(VLOOKUP("906-476000-210",B:AB,2+8,0),0)</f>
        <v>0</v>
      </c>
      <c r="L1889">
        <f>IFERROR(VLOOKUP("906-476000-210",B:AB,3+8,0),0)</f>
        <v>0</v>
      </c>
      <c r="M1889">
        <f>IFERROR(VLOOKUP("906-476000-210",B:AB,4+8,0),0)</f>
        <v>0</v>
      </c>
      <c r="N1889">
        <f>IFERROR(VLOOKUP("906-476000-210",B:AB,5+8,0),0)</f>
        <v>0</v>
      </c>
      <c r="O1889">
        <f>IFERROR(VLOOKUP("906-476000-210",B:AB,6+8,0),0)</f>
        <v>0</v>
      </c>
      <c r="P1889">
        <f>IFERROR(VLOOKUP("906-476000-210",B:AB,7+8,0),0)</f>
        <v>0</v>
      </c>
      <c r="Q1889">
        <f>IFERROR(VLOOKUP("906-476000-210",B:AB,8+8,0),0)</f>
        <v>0</v>
      </c>
      <c r="R1889">
        <f>IFERROR(VLOOKUP("906-476000-210",B:AB,9+8,0),0)</f>
        <v>0</v>
      </c>
      <c r="S1889">
        <f>IFERROR(VLOOKUP("906-476000-210",B:AB,10+8,0),0)</f>
        <v>0</v>
      </c>
      <c r="T1889">
        <f>IFERROR(VLOOKUP("906-476000-210",B:AB,11+8,0),0)</f>
        <v>0</v>
      </c>
      <c r="U1889">
        <f>IFERROR(VLOOKUP("906-476000-210",B:AB,12+8,0),0)</f>
        <v>0</v>
      </c>
      <c r="V1889">
        <f>IFERROR(VLOOKUP("906-476000-210",B:AB,13+8,0),0)</f>
        <v>0</v>
      </c>
      <c r="W1889">
        <f>IFERROR(VLOOKUP("906-476000-210",B:AB,14+8,0),0)</f>
        <v>0</v>
      </c>
      <c r="X1889">
        <f>IFERROR(VLOOKUP("906-476000-210",B:AB,15+8,0),0)</f>
        <v>0</v>
      </c>
      <c r="Y1889">
        <f>IFERROR(VLOOKUP("906-476000-210",B:AB,16+8,0),0)</f>
        <v>0</v>
      </c>
      <c r="Z1889">
        <f>IFERROR(VLOOKUP("906-476000-210",B:AB,17+8,0),0)</f>
        <v>0</v>
      </c>
      <c r="AA1889">
        <f>IFERROR(VLOOKUP("906-476000-210",B:AB,18+8,0),0)</f>
        <v>0</v>
      </c>
      <c r="AB1889">
        <f>IFERROR(VLOOKUP("906-476000-210",B:AB,19+8,0),0)</f>
        <v>0</v>
      </c>
      <c r="AC1889">
        <f>IFERROR(VLOOKUP("906-476000-210",B:AB,20+8,0),0)</f>
        <v>0</v>
      </c>
      <c r="AD1889">
        <f>IFERROR(VLOOKUP("906-476000-210",B:AB,21+8,0),0)</f>
        <v>0</v>
      </c>
      <c r="AE1889">
        <f>IFERROR(VLOOKUP("906-476000-210",B:AB,22+8,0),0)</f>
        <v>0</v>
      </c>
      <c r="AF1889">
        <f>IFERROR(VLOOKUP("906-476000-210",B:AB,23+8,0),0)</f>
        <v>0</v>
      </c>
      <c r="AG1889">
        <f>IFERROR(VLOOKUP("906-476000-210",B:AB,24+8,0),0)</f>
        <v>0</v>
      </c>
      <c r="AH1889">
        <f>IFERROR(VLOOKUP("906-476000-210",B:AB,25+8,0),0)</f>
        <v>0</v>
      </c>
      <c r="AI1889">
        <f>IFERROR(VLOOKUP("906-476000-210",B:AB,26+8,0),0)</f>
        <v>0</v>
      </c>
      <c r="AJ1889">
        <f>IFERROR(VLOOKUP("906-476000-210",B:AB,27+8,0),0)</f>
        <v>0</v>
      </c>
      <c r="AK1889">
        <f>IFERROR(VLOOKUP("906-476000-210",B:AB,28+8,0),0)</f>
        <v>0</v>
      </c>
      <c r="AL1889">
        <f>IFERROR(VLOOKUP("906-476000-210",B:AB,29+8,0),0)</f>
        <v>0</v>
      </c>
      <c r="AM1889">
        <f>IFERROR(VLOOKUP("906-476000-210",B:AB,30+8,0),0)</f>
        <v>0</v>
      </c>
      <c r="AN1889">
        <f>IFERROR(VLOOKUP("906-476000-210",B:AB,31+8,0),0)</f>
        <v>0</v>
      </c>
      <c r="AO1889">
        <f>SUN(INDIRECT(ADDRESS(1888,8)):INDIRECT(ADDRESS(1888,39)))</f>
        <v>0</v>
      </c>
    </row>
    <row r="1890" spans="1:41">
      <c r="H1890" t="s">
        <v>179</v>
      </c>
      <c r="J1890">
        <f>INDIRECT(ADDRESS(1890,9))+INDIRECT(ADDRESS(1888,10))-INDIRECT(ADDRESS(1889,10))</f>
        <v>0</v>
      </c>
      <c r="K1890">
        <f>INDIRECT(ADDRESS(1890,10))+INDIRECT(ADDRESS(1888,11))-INDIRECT(ADDRESS(1889,11))</f>
        <v>0</v>
      </c>
      <c r="L1890">
        <f>INDIRECT(ADDRESS(1890,11))+INDIRECT(ADDRESS(1888,12))-INDIRECT(ADDRESS(1889,12))</f>
        <v>0</v>
      </c>
      <c r="M1890">
        <f>INDIRECT(ADDRESS(1890,12))+INDIRECT(ADDRESS(1888,13))-INDIRECT(ADDRESS(1889,13))</f>
        <v>0</v>
      </c>
      <c r="N1890">
        <f>INDIRECT(ADDRESS(1890,13))+INDIRECT(ADDRESS(1888,14))-INDIRECT(ADDRESS(1889,14))</f>
        <v>0</v>
      </c>
      <c r="O1890">
        <f>INDIRECT(ADDRESS(1890,14))+INDIRECT(ADDRESS(1888,15))-INDIRECT(ADDRESS(1889,15))</f>
        <v>0</v>
      </c>
      <c r="P1890">
        <f>INDIRECT(ADDRESS(1890,15))+INDIRECT(ADDRESS(1888,16))-INDIRECT(ADDRESS(1889,16))</f>
        <v>0</v>
      </c>
      <c r="Q1890">
        <f>INDIRECT(ADDRESS(1890,16))+INDIRECT(ADDRESS(1888,17))-INDIRECT(ADDRESS(1889,17))</f>
        <v>0</v>
      </c>
      <c r="R1890">
        <f>INDIRECT(ADDRESS(1890,17))+INDIRECT(ADDRESS(1888,18))-INDIRECT(ADDRESS(1889,18))</f>
        <v>0</v>
      </c>
      <c r="S1890">
        <f>INDIRECT(ADDRESS(1890,18))+INDIRECT(ADDRESS(1888,19))-INDIRECT(ADDRESS(1889,19))</f>
        <v>0</v>
      </c>
      <c r="T1890">
        <f>INDIRECT(ADDRESS(1890,19))+INDIRECT(ADDRESS(1888,20))-INDIRECT(ADDRESS(1889,20))</f>
        <v>0</v>
      </c>
      <c r="U1890">
        <f>INDIRECT(ADDRESS(1890,20))+INDIRECT(ADDRESS(1888,21))-INDIRECT(ADDRESS(1889,21))</f>
        <v>0</v>
      </c>
      <c r="V1890">
        <f>INDIRECT(ADDRESS(1890,21))+INDIRECT(ADDRESS(1888,22))-INDIRECT(ADDRESS(1889,22))</f>
        <v>0</v>
      </c>
      <c r="W1890">
        <f>INDIRECT(ADDRESS(1890,22))+INDIRECT(ADDRESS(1888,23))-INDIRECT(ADDRESS(1889,23))</f>
        <v>0</v>
      </c>
      <c r="X1890">
        <f>INDIRECT(ADDRESS(1890,23))+INDIRECT(ADDRESS(1888,24))-INDIRECT(ADDRESS(1889,24))</f>
        <v>0</v>
      </c>
      <c r="Y1890">
        <f>INDIRECT(ADDRESS(1890,24))+INDIRECT(ADDRESS(1888,25))-INDIRECT(ADDRESS(1889,25))</f>
        <v>0</v>
      </c>
      <c r="Z1890">
        <f>INDIRECT(ADDRESS(1890,25))+INDIRECT(ADDRESS(1888,26))-INDIRECT(ADDRESS(1889,26))</f>
        <v>0</v>
      </c>
      <c r="AA1890">
        <f>INDIRECT(ADDRESS(1890,26))+INDIRECT(ADDRESS(1888,27))-INDIRECT(ADDRESS(1889,27))</f>
        <v>0</v>
      </c>
      <c r="AB1890">
        <f>INDIRECT(ADDRESS(1890,27))+INDIRECT(ADDRESS(1888,28))-INDIRECT(ADDRESS(1889,28))</f>
        <v>0</v>
      </c>
      <c r="AC1890">
        <f>INDIRECT(ADDRESS(1890,28))+INDIRECT(ADDRESS(1888,29))-INDIRECT(ADDRESS(1889,29))</f>
        <v>0</v>
      </c>
      <c r="AD1890">
        <f>INDIRECT(ADDRESS(1890,29))+INDIRECT(ADDRESS(1888,30))-INDIRECT(ADDRESS(1889,30))</f>
        <v>0</v>
      </c>
      <c r="AE1890">
        <f>INDIRECT(ADDRESS(1890,30))+INDIRECT(ADDRESS(1888,31))-INDIRECT(ADDRESS(1889,31))</f>
        <v>0</v>
      </c>
      <c r="AF1890">
        <f>INDIRECT(ADDRESS(1890,31))+INDIRECT(ADDRESS(1888,32))-INDIRECT(ADDRESS(1889,32))</f>
        <v>0</v>
      </c>
      <c r="AG1890">
        <f>INDIRECT(ADDRESS(1890,32))+INDIRECT(ADDRESS(1888,33))-INDIRECT(ADDRESS(1889,33))</f>
        <v>0</v>
      </c>
      <c r="AH1890">
        <f>INDIRECT(ADDRESS(1890,33))+INDIRECT(ADDRESS(1888,34))-INDIRECT(ADDRESS(1889,34))</f>
        <v>0</v>
      </c>
      <c r="AI1890">
        <f>INDIRECT(ADDRESS(1890,34))+INDIRECT(ADDRESS(1888,35))-INDIRECT(ADDRESS(1889,35))</f>
        <v>0</v>
      </c>
      <c r="AJ1890">
        <f>INDIRECT(ADDRESS(1890,35))+INDIRECT(ADDRESS(1888,36))-INDIRECT(ADDRESS(1889,36))</f>
        <v>0</v>
      </c>
      <c r="AK1890">
        <f>INDIRECT(ADDRESS(1890,36))+INDIRECT(ADDRESS(1888,37))-INDIRECT(ADDRESS(1889,37))</f>
        <v>0</v>
      </c>
      <c r="AL1890">
        <f>INDIRECT(ADDRESS(1890,37))+INDIRECT(ADDRESS(1888,38))-INDIRECT(ADDRESS(1889,38))</f>
        <v>0</v>
      </c>
      <c r="AM1890">
        <f>INDIRECT(ADDRESS(1890,38))+INDIRECT(ADDRESS(1888,39))-INDIRECT(ADDRESS(1889,39))</f>
        <v>0</v>
      </c>
      <c r="AN1890">
        <f>INDIRECT(ADDRESS(1890,39))+INDIRECT(ADDRESS(1888,40))-INDIRECT(ADDRESS(1889,40))</f>
        <v>0</v>
      </c>
      <c r="AO1890">
        <f>SUM(INDIRECT(ADDRESS(1889,8)):INDIRECT(ADDRESS(1889,39)))</f>
        <v>0</v>
      </c>
    </row>
    <row r="1891" spans="1:41">
      <c r="A1891" t="s">
        <v>185</v>
      </c>
      <c r="B1891" t="s">
        <v>842</v>
      </c>
      <c r="C1891" t="s">
        <v>843</v>
      </c>
      <c r="E1891">
        <v>1</v>
      </c>
      <c r="I1891" t="s">
        <v>177</v>
      </c>
    </row>
    <row r="1892" spans="1:41">
      <c r="I1892" t="s">
        <v>178</v>
      </c>
      <c r="J1892">
        <f>IFERROR(VLOOKUP("906-476000-210",B:AB,1+8,0),0)</f>
        <v>0</v>
      </c>
      <c r="K1892">
        <f>IFERROR(VLOOKUP("906-476000-210",B:AB,2+8,0),0)</f>
        <v>0</v>
      </c>
      <c r="L1892">
        <f>IFERROR(VLOOKUP("906-476000-210",B:AB,3+8,0),0)</f>
        <v>0</v>
      </c>
      <c r="M1892">
        <f>IFERROR(VLOOKUP("906-476000-210",B:AB,4+8,0),0)</f>
        <v>0</v>
      </c>
      <c r="N1892">
        <f>IFERROR(VLOOKUP("906-476000-210",B:AB,5+8,0),0)</f>
        <v>0</v>
      </c>
      <c r="O1892">
        <f>IFERROR(VLOOKUP("906-476000-210",B:AB,6+8,0),0)</f>
        <v>0</v>
      </c>
      <c r="P1892">
        <f>IFERROR(VLOOKUP("906-476000-210",B:AB,7+8,0),0)</f>
        <v>0</v>
      </c>
      <c r="Q1892">
        <f>IFERROR(VLOOKUP("906-476000-210",B:AB,8+8,0),0)</f>
        <v>0</v>
      </c>
      <c r="R1892">
        <f>IFERROR(VLOOKUP("906-476000-210",B:AB,9+8,0),0)</f>
        <v>0</v>
      </c>
      <c r="S1892">
        <f>IFERROR(VLOOKUP("906-476000-210",B:AB,10+8,0),0)</f>
        <v>0</v>
      </c>
      <c r="T1892">
        <f>IFERROR(VLOOKUP("906-476000-210",B:AB,11+8,0),0)</f>
        <v>0</v>
      </c>
      <c r="U1892">
        <f>IFERROR(VLOOKUP("906-476000-210",B:AB,12+8,0),0)</f>
        <v>0</v>
      </c>
      <c r="V1892">
        <f>IFERROR(VLOOKUP("906-476000-210",B:AB,13+8,0),0)</f>
        <v>0</v>
      </c>
      <c r="W1892">
        <f>IFERROR(VLOOKUP("906-476000-210",B:AB,14+8,0),0)</f>
        <v>0</v>
      </c>
      <c r="X1892">
        <f>IFERROR(VLOOKUP("906-476000-210",B:AB,15+8,0),0)</f>
        <v>0</v>
      </c>
      <c r="Y1892">
        <f>IFERROR(VLOOKUP("906-476000-210",B:AB,16+8,0),0)</f>
        <v>0</v>
      </c>
      <c r="Z1892">
        <f>IFERROR(VLOOKUP("906-476000-210",B:AB,17+8,0),0)</f>
        <v>0</v>
      </c>
      <c r="AA1892">
        <f>IFERROR(VLOOKUP("906-476000-210",B:AB,18+8,0),0)</f>
        <v>0</v>
      </c>
      <c r="AB1892">
        <f>IFERROR(VLOOKUP("906-476000-210",B:AB,19+8,0),0)</f>
        <v>0</v>
      </c>
      <c r="AC1892">
        <f>IFERROR(VLOOKUP("906-476000-210",B:AB,20+8,0),0)</f>
        <v>0</v>
      </c>
      <c r="AD1892">
        <f>IFERROR(VLOOKUP("906-476000-210",B:AB,21+8,0),0)</f>
        <v>0</v>
      </c>
      <c r="AE1892">
        <f>IFERROR(VLOOKUP("906-476000-210",B:AB,22+8,0),0)</f>
        <v>0</v>
      </c>
      <c r="AF1892">
        <f>IFERROR(VLOOKUP("906-476000-210",B:AB,23+8,0),0)</f>
        <v>0</v>
      </c>
      <c r="AG1892">
        <f>IFERROR(VLOOKUP("906-476000-210",B:AB,24+8,0),0)</f>
        <v>0</v>
      </c>
      <c r="AH1892">
        <f>IFERROR(VLOOKUP("906-476000-210",B:AB,25+8,0),0)</f>
        <v>0</v>
      </c>
      <c r="AI1892">
        <f>IFERROR(VLOOKUP("906-476000-210",B:AB,26+8,0),0)</f>
        <v>0</v>
      </c>
      <c r="AJ1892">
        <f>IFERROR(VLOOKUP("906-476000-210",B:AB,27+8,0),0)</f>
        <v>0</v>
      </c>
      <c r="AK1892">
        <f>IFERROR(VLOOKUP("906-476000-210",B:AB,28+8,0),0)</f>
        <v>0</v>
      </c>
      <c r="AL1892">
        <f>IFERROR(VLOOKUP("906-476000-210",B:AB,29+8,0),0)</f>
        <v>0</v>
      </c>
      <c r="AM1892">
        <f>IFERROR(VLOOKUP("906-476000-210",B:AB,30+8,0),0)</f>
        <v>0</v>
      </c>
      <c r="AN1892">
        <f>IFERROR(VLOOKUP("906-476000-210",B:AB,31+8,0),0)</f>
        <v>0</v>
      </c>
      <c r="AO1892">
        <f>SUN(INDIRECT(ADDRESS(1891,8)):INDIRECT(ADDRESS(1891,39)))</f>
        <v>0</v>
      </c>
    </row>
    <row r="1893" spans="1:41">
      <c r="H1893" t="s">
        <v>179</v>
      </c>
      <c r="J1893">
        <f>INDIRECT(ADDRESS(1893,9))+INDIRECT(ADDRESS(1891,10))-INDIRECT(ADDRESS(1892,10))</f>
        <v>0</v>
      </c>
      <c r="K1893">
        <f>INDIRECT(ADDRESS(1893,10))+INDIRECT(ADDRESS(1891,11))-INDIRECT(ADDRESS(1892,11))</f>
        <v>0</v>
      </c>
      <c r="L1893">
        <f>INDIRECT(ADDRESS(1893,11))+INDIRECT(ADDRESS(1891,12))-INDIRECT(ADDRESS(1892,12))</f>
        <v>0</v>
      </c>
      <c r="M1893">
        <f>INDIRECT(ADDRESS(1893,12))+INDIRECT(ADDRESS(1891,13))-INDIRECT(ADDRESS(1892,13))</f>
        <v>0</v>
      </c>
      <c r="N1893">
        <f>INDIRECT(ADDRESS(1893,13))+INDIRECT(ADDRESS(1891,14))-INDIRECT(ADDRESS(1892,14))</f>
        <v>0</v>
      </c>
      <c r="O1893">
        <f>INDIRECT(ADDRESS(1893,14))+INDIRECT(ADDRESS(1891,15))-INDIRECT(ADDRESS(1892,15))</f>
        <v>0</v>
      </c>
      <c r="P1893">
        <f>INDIRECT(ADDRESS(1893,15))+INDIRECT(ADDRESS(1891,16))-INDIRECT(ADDRESS(1892,16))</f>
        <v>0</v>
      </c>
      <c r="Q1893">
        <f>INDIRECT(ADDRESS(1893,16))+INDIRECT(ADDRESS(1891,17))-INDIRECT(ADDRESS(1892,17))</f>
        <v>0</v>
      </c>
      <c r="R1893">
        <f>INDIRECT(ADDRESS(1893,17))+INDIRECT(ADDRESS(1891,18))-INDIRECT(ADDRESS(1892,18))</f>
        <v>0</v>
      </c>
      <c r="S1893">
        <f>INDIRECT(ADDRESS(1893,18))+INDIRECT(ADDRESS(1891,19))-INDIRECT(ADDRESS(1892,19))</f>
        <v>0</v>
      </c>
      <c r="T1893">
        <f>INDIRECT(ADDRESS(1893,19))+INDIRECT(ADDRESS(1891,20))-INDIRECT(ADDRESS(1892,20))</f>
        <v>0</v>
      </c>
      <c r="U1893">
        <f>INDIRECT(ADDRESS(1893,20))+INDIRECT(ADDRESS(1891,21))-INDIRECT(ADDRESS(1892,21))</f>
        <v>0</v>
      </c>
      <c r="V1893">
        <f>INDIRECT(ADDRESS(1893,21))+INDIRECT(ADDRESS(1891,22))-INDIRECT(ADDRESS(1892,22))</f>
        <v>0</v>
      </c>
      <c r="W1893">
        <f>INDIRECT(ADDRESS(1893,22))+INDIRECT(ADDRESS(1891,23))-INDIRECT(ADDRESS(1892,23))</f>
        <v>0</v>
      </c>
      <c r="X1893">
        <f>INDIRECT(ADDRESS(1893,23))+INDIRECT(ADDRESS(1891,24))-INDIRECT(ADDRESS(1892,24))</f>
        <v>0</v>
      </c>
      <c r="Y1893">
        <f>INDIRECT(ADDRESS(1893,24))+INDIRECT(ADDRESS(1891,25))-INDIRECT(ADDRESS(1892,25))</f>
        <v>0</v>
      </c>
      <c r="Z1893">
        <f>INDIRECT(ADDRESS(1893,25))+INDIRECT(ADDRESS(1891,26))-INDIRECT(ADDRESS(1892,26))</f>
        <v>0</v>
      </c>
      <c r="AA1893">
        <f>INDIRECT(ADDRESS(1893,26))+INDIRECT(ADDRESS(1891,27))-INDIRECT(ADDRESS(1892,27))</f>
        <v>0</v>
      </c>
      <c r="AB1893">
        <f>INDIRECT(ADDRESS(1893,27))+INDIRECT(ADDRESS(1891,28))-INDIRECT(ADDRESS(1892,28))</f>
        <v>0</v>
      </c>
      <c r="AC1893">
        <f>INDIRECT(ADDRESS(1893,28))+INDIRECT(ADDRESS(1891,29))-INDIRECT(ADDRESS(1892,29))</f>
        <v>0</v>
      </c>
      <c r="AD1893">
        <f>INDIRECT(ADDRESS(1893,29))+INDIRECT(ADDRESS(1891,30))-INDIRECT(ADDRESS(1892,30))</f>
        <v>0</v>
      </c>
      <c r="AE1893">
        <f>INDIRECT(ADDRESS(1893,30))+INDIRECT(ADDRESS(1891,31))-INDIRECT(ADDRESS(1892,31))</f>
        <v>0</v>
      </c>
      <c r="AF1893">
        <f>INDIRECT(ADDRESS(1893,31))+INDIRECT(ADDRESS(1891,32))-INDIRECT(ADDRESS(1892,32))</f>
        <v>0</v>
      </c>
      <c r="AG1893">
        <f>INDIRECT(ADDRESS(1893,32))+INDIRECT(ADDRESS(1891,33))-INDIRECT(ADDRESS(1892,33))</f>
        <v>0</v>
      </c>
      <c r="AH1893">
        <f>INDIRECT(ADDRESS(1893,33))+INDIRECT(ADDRESS(1891,34))-INDIRECT(ADDRESS(1892,34))</f>
        <v>0</v>
      </c>
      <c r="AI1893">
        <f>INDIRECT(ADDRESS(1893,34))+INDIRECT(ADDRESS(1891,35))-INDIRECT(ADDRESS(1892,35))</f>
        <v>0</v>
      </c>
      <c r="AJ1893">
        <f>INDIRECT(ADDRESS(1893,35))+INDIRECT(ADDRESS(1891,36))-INDIRECT(ADDRESS(1892,36))</f>
        <v>0</v>
      </c>
      <c r="AK1893">
        <f>INDIRECT(ADDRESS(1893,36))+INDIRECT(ADDRESS(1891,37))-INDIRECT(ADDRESS(1892,37))</f>
        <v>0</v>
      </c>
      <c r="AL1893">
        <f>INDIRECT(ADDRESS(1893,37))+INDIRECT(ADDRESS(1891,38))-INDIRECT(ADDRESS(1892,38))</f>
        <v>0</v>
      </c>
      <c r="AM1893">
        <f>INDIRECT(ADDRESS(1893,38))+INDIRECT(ADDRESS(1891,39))-INDIRECT(ADDRESS(1892,39))</f>
        <v>0</v>
      </c>
      <c r="AN1893">
        <f>INDIRECT(ADDRESS(1893,39))+INDIRECT(ADDRESS(1891,40))-INDIRECT(ADDRESS(1892,40))</f>
        <v>0</v>
      </c>
      <c r="AO1893">
        <f>SUM(INDIRECT(ADDRESS(1892,8)):INDIRECT(ADDRESS(1892,39)))</f>
        <v>0</v>
      </c>
    </row>
    <row r="1894" spans="1:41">
      <c r="A1894" t="s">
        <v>185</v>
      </c>
      <c r="B1894" t="s">
        <v>160</v>
      </c>
      <c r="C1894" t="s">
        <v>845</v>
      </c>
      <c r="E1894">
        <v>0.003</v>
      </c>
      <c r="I1894" t="s">
        <v>177</v>
      </c>
    </row>
    <row r="1895" spans="1:41">
      <c r="I1895" t="s">
        <v>178</v>
      </c>
      <c r="J1895">
        <f>IFERROR(VLOOKUP("906-476000-210",B:AB,1+8,0),0)</f>
        <v>0</v>
      </c>
      <c r="K1895">
        <f>IFERROR(VLOOKUP("906-476000-210",B:AB,2+8,0),0)</f>
        <v>0</v>
      </c>
      <c r="L1895">
        <f>IFERROR(VLOOKUP("906-476000-210",B:AB,3+8,0),0)</f>
        <v>0</v>
      </c>
      <c r="M1895">
        <f>IFERROR(VLOOKUP("906-476000-210",B:AB,4+8,0),0)</f>
        <v>0</v>
      </c>
      <c r="N1895">
        <f>IFERROR(VLOOKUP("906-476000-210",B:AB,5+8,0),0)</f>
        <v>0</v>
      </c>
      <c r="O1895">
        <f>IFERROR(VLOOKUP("906-476000-210",B:AB,6+8,0),0)</f>
        <v>0</v>
      </c>
      <c r="P1895">
        <f>IFERROR(VLOOKUP("906-476000-210",B:AB,7+8,0),0)</f>
        <v>0</v>
      </c>
      <c r="Q1895">
        <f>IFERROR(VLOOKUP("906-476000-210",B:AB,8+8,0),0)</f>
        <v>0</v>
      </c>
      <c r="R1895">
        <f>IFERROR(VLOOKUP("906-476000-210",B:AB,9+8,0),0)</f>
        <v>0</v>
      </c>
      <c r="S1895">
        <f>IFERROR(VLOOKUP("906-476000-210",B:AB,10+8,0),0)</f>
        <v>0</v>
      </c>
      <c r="T1895">
        <f>IFERROR(VLOOKUP("906-476000-210",B:AB,11+8,0),0)</f>
        <v>0</v>
      </c>
      <c r="U1895">
        <f>IFERROR(VLOOKUP("906-476000-210",B:AB,12+8,0),0)</f>
        <v>0</v>
      </c>
      <c r="V1895">
        <f>IFERROR(VLOOKUP("906-476000-210",B:AB,13+8,0),0)</f>
        <v>0</v>
      </c>
      <c r="W1895">
        <f>IFERROR(VLOOKUP("906-476000-210",B:AB,14+8,0),0)</f>
        <v>0</v>
      </c>
      <c r="X1895">
        <f>IFERROR(VLOOKUP("906-476000-210",B:AB,15+8,0),0)</f>
        <v>0</v>
      </c>
      <c r="Y1895">
        <f>IFERROR(VLOOKUP("906-476000-210",B:AB,16+8,0),0)</f>
        <v>0</v>
      </c>
      <c r="Z1895">
        <f>IFERROR(VLOOKUP("906-476000-210",B:AB,17+8,0),0)</f>
        <v>0</v>
      </c>
      <c r="AA1895">
        <f>IFERROR(VLOOKUP("906-476000-210",B:AB,18+8,0),0)</f>
        <v>0</v>
      </c>
      <c r="AB1895">
        <f>IFERROR(VLOOKUP("906-476000-210",B:AB,19+8,0),0)</f>
        <v>0</v>
      </c>
      <c r="AC1895">
        <f>IFERROR(VLOOKUP("906-476000-210",B:AB,20+8,0),0)</f>
        <v>0</v>
      </c>
      <c r="AD1895">
        <f>IFERROR(VLOOKUP("906-476000-210",B:AB,21+8,0),0)</f>
        <v>0</v>
      </c>
      <c r="AE1895">
        <f>IFERROR(VLOOKUP("906-476000-210",B:AB,22+8,0),0)</f>
        <v>0</v>
      </c>
      <c r="AF1895">
        <f>IFERROR(VLOOKUP("906-476000-210",B:AB,23+8,0),0)</f>
        <v>0</v>
      </c>
      <c r="AG1895">
        <f>IFERROR(VLOOKUP("906-476000-210",B:AB,24+8,0),0)</f>
        <v>0</v>
      </c>
      <c r="AH1895">
        <f>IFERROR(VLOOKUP("906-476000-210",B:AB,25+8,0),0)</f>
        <v>0</v>
      </c>
      <c r="AI1895">
        <f>IFERROR(VLOOKUP("906-476000-210",B:AB,26+8,0),0)</f>
        <v>0</v>
      </c>
      <c r="AJ1895">
        <f>IFERROR(VLOOKUP("906-476000-210",B:AB,27+8,0),0)</f>
        <v>0</v>
      </c>
      <c r="AK1895">
        <f>IFERROR(VLOOKUP("906-476000-210",B:AB,28+8,0),0)</f>
        <v>0</v>
      </c>
      <c r="AL1895">
        <f>IFERROR(VLOOKUP("906-476000-210",B:AB,29+8,0),0)</f>
        <v>0</v>
      </c>
      <c r="AM1895">
        <f>IFERROR(VLOOKUP("906-476000-210",B:AB,30+8,0),0)</f>
        <v>0</v>
      </c>
      <c r="AN1895">
        <f>IFERROR(VLOOKUP("906-476000-210",B:AB,31+8,0),0)</f>
        <v>0</v>
      </c>
      <c r="AO1895">
        <f>SUN(INDIRECT(ADDRESS(1894,8)):INDIRECT(ADDRESS(1894,39)))</f>
        <v>0</v>
      </c>
    </row>
    <row r="1896" spans="1:41">
      <c r="H1896" t="s">
        <v>179</v>
      </c>
      <c r="J1896">
        <f>INDIRECT(ADDRESS(1896,9))+INDIRECT(ADDRESS(1894,10))-INDIRECT(ADDRESS(1895,10))</f>
        <v>0</v>
      </c>
      <c r="K1896">
        <f>INDIRECT(ADDRESS(1896,10))+INDIRECT(ADDRESS(1894,11))-INDIRECT(ADDRESS(1895,11))</f>
        <v>0</v>
      </c>
      <c r="L1896">
        <f>INDIRECT(ADDRESS(1896,11))+INDIRECT(ADDRESS(1894,12))-INDIRECT(ADDRESS(1895,12))</f>
        <v>0</v>
      </c>
      <c r="M1896">
        <f>INDIRECT(ADDRESS(1896,12))+INDIRECT(ADDRESS(1894,13))-INDIRECT(ADDRESS(1895,13))</f>
        <v>0</v>
      </c>
      <c r="N1896">
        <f>INDIRECT(ADDRESS(1896,13))+INDIRECT(ADDRESS(1894,14))-INDIRECT(ADDRESS(1895,14))</f>
        <v>0</v>
      </c>
      <c r="O1896">
        <f>INDIRECT(ADDRESS(1896,14))+INDIRECT(ADDRESS(1894,15))-INDIRECT(ADDRESS(1895,15))</f>
        <v>0</v>
      </c>
      <c r="P1896">
        <f>INDIRECT(ADDRESS(1896,15))+INDIRECT(ADDRESS(1894,16))-INDIRECT(ADDRESS(1895,16))</f>
        <v>0</v>
      </c>
      <c r="Q1896">
        <f>INDIRECT(ADDRESS(1896,16))+INDIRECT(ADDRESS(1894,17))-INDIRECT(ADDRESS(1895,17))</f>
        <v>0</v>
      </c>
      <c r="R1896">
        <f>INDIRECT(ADDRESS(1896,17))+INDIRECT(ADDRESS(1894,18))-INDIRECT(ADDRESS(1895,18))</f>
        <v>0</v>
      </c>
      <c r="S1896">
        <f>INDIRECT(ADDRESS(1896,18))+INDIRECT(ADDRESS(1894,19))-INDIRECT(ADDRESS(1895,19))</f>
        <v>0</v>
      </c>
      <c r="T1896">
        <f>INDIRECT(ADDRESS(1896,19))+INDIRECT(ADDRESS(1894,20))-INDIRECT(ADDRESS(1895,20))</f>
        <v>0</v>
      </c>
      <c r="U1896">
        <f>INDIRECT(ADDRESS(1896,20))+INDIRECT(ADDRESS(1894,21))-INDIRECT(ADDRESS(1895,21))</f>
        <v>0</v>
      </c>
      <c r="V1896">
        <f>INDIRECT(ADDRESS(1896,21))+INDIRECT(ADDRESS(1894,22))-INDIRECT(ADDRESS(1895,22))</f>
        <v>0</v>
      </c>
      <c r="W1896">
        <f>INDIRECT(ADDRESS(1896,22))+INDIRECT(ADDRESS(1894,23))-INDIRECT(ADDRESS(1895,23))</f>
        <v>0</v>
      </c>
      <c r="X1896">
        <f>INDIRECT(ADDRESS(1896,23))+INDIRECT(ADDRESS(1894,24))-INDIRECT(ADDRESS(1895,24))</f>
        <v>0</v>
      </c>
      <c r="Y1896">
        <f>INDIRECT(ADDRESS(1896,24))+INDIRECT(ADDRESS(1894,25))-INDIRECT(ADDRESS(1895,25))</f>
        <v>0</v>
      </c>
      <c r="Z1896">
        <f>INDIRECT(ADDRESS(1896,25))+INDIRECT(ADDRESS(1894,26))-INDIRECT(ADDRESS(1895,26))</f>
        <v>0</v>
      </c>
      <c r="AA1896">
        <f>INDIRECT(ADDRESS(1896,26))+INDIRECT(ADDRESS(1894,27))-INDIRECT(ADDRESS(1895,27))</f>
        <v>0</v>
      </c>
      <c r="AB1896">
        <f>INDIRECT(ADDRESS(1896,27))+INDIRECT(ADDRESS(1894,28))-INDIRECT(ADDRESS(1895,28))</f>
        <v>0</v>
      </c>
      <c r="AC1896">
        <f>INDIRECT(ADDRESS(1896,28))+INDIRECT(ADDRESS(1894,29))-INDIRECT(ADDRESS(1895,29))</f>
        <v>0</v>
      </c>
      <c r="AD1896">
        <f>INDIRECT(ADDRESS(1896,29))+INDIRECT(ADDRESS(1894,30))-INDIRECT(ADDRESS(1895,30))</f>
        <v>0</v>
      </c>
      <c r="AE1896">
        <f>INDIRECT(ADDRESS(1896,30))+INDIRECT(ADDRESS(1894,31))-INDIRECT(ADDRESS(1895,31))</f>
        <v>0</v>
      </c>
      <c r="AF1896">
        <f>INDIRECT(ADDRESS(1896,31))+INDIRECT(ADDRESS(1894,32))-INDIRECT(ADDRESS(1895,32))</f>
        <v>0</v>
      </c>
      <c r="AG1896">
        <f>INDIRECT(ADDRESS(1896,32))+INDIRECT(ADDRESS(1894,33))-INDIRECT(ADDRESS(1895,33))</f>
        <v>0</v>
      </c>
      <c r="AH1896">
        <f>INDIRECT(ADDRESS(1896,33))+INDIRECT(ADDRESS(1894,34))-INDIRECT(ADDRESS(1895,34))</f>
        <v>0</v>
      </c>
      <c r="AI1896">
        <f>INDIRECT(ADDRESS(1896,34))+INDIRECT(ADDRESS(1894,35))-INDIRECT(ADDRESS(1895,35))</f>
        <v>0</v>
      </c>
      <c r="AJ1896">
        <f>INDIRECT(ADDRESS(1896,35))+INDIRECT(ADDRESS(1894,36))-INDIRECT(ADDRESS(1895,36))</f>
        <v>0</v>
      </c>
      <c r="AK1896">
        <f>INDIRECT(ADDRESS(1896,36))+INDIRECT(ADDRESS(1894,37))-INDIRECT(ADDRESS(1895,37))</f>
        <v>0</v>
      </c>
      <c r="AL1896">
        <f>INDIRECT(ADDRESS(1896,37))+INDIRECT(ADDRESS(1894,38))-INDIRECT(ADDRESS(1895,38))</f>
        <v>0</v>
      </c>
      <c r="AM1896">
        <f>INDIRECT(ADDRESS(1896,38))+INDIRECT(ADDRESS(1894,39))-INDIRECT(ADDRESS(1895,39))</f>
        <v>0</v>
      </c>
      <c r="AN1896">
        <f>INDIRECT(ADDRESS(1896,39))+INDIRECT(ADDRESS(1894,40))-INDIRECT(ADDRESS(1895,40))</f>
        <v>0</v>
      </c>
      <c r="AO1896">
        <f>SUM(INDIRECT(ADDRESS(1895,8)):INDIRECT(ADDRESS(1895,39)))</f>
        <v>0</v>
      </c>
    </row>
    <row r="1897" spans="1:41">
      <c r="A1897" t="s">
        <v>8</v>
      </c>
      <c r="B1897" t="s">
        <v>159</v>
      </c>
      <c r="C1897" t="s">
        <v>153</v>
      </c>
      <c r="E1897">
        <v>0.003</v>
      </c>
      <c r="I1897" t="s">
        <v>177</v>
      </c>
    </row>
    <row r="1898" spans="1:41">
      <c r="I1898" t="s">
        <v>178</v>
      </c>
      <c r="J1898">
        <f>IFERROR(VLOOKUP("906-477000-210",Out!B:AB,1+8,0),0)</f>
        <v>0</v>
      </c>
      <c r="K1898">
        <f>IFERROR(VLOOKUP("906-477000-210",Out!B:AB,2+8,0),0)</f>
        <v>0</v>
      </c>
      <c r="L1898">
        <f>IFERROR(VLOOKUP("906-477000-210",Out!B:AB,3+8,0),0)</f>
        <v>0</v>
      </c>
      <c r="M1898">
        <f>IFERROR(VLOOKUP("906-477000-210",Out!B:AB,4+8,0),0)</f>
        <v>0</v>
      </c>
      <c r="N1898">
        <f>IFERROR(VLOOKUP("906-477000-210",Out!B:AB,5+8,0),0)</f>
        <v>0</v>
      </c>
      <c r="O1898">
        <f>IFERROR(VLOOKUP("906-477000-210",Out!B:AB,6+8,0),0)</f>
        <v>0</v>
      </c>
      <c r="P1898">
        <f>IFERROR(VLOOKUP("906-477000-210",Out!B:AB,7+8,0),0)</f>
        <v>0</v>
      </c>
      <c r="Q1898">
        <f>IFERROR(VLOOKUP("906-477000-210",Out!B:AB,8+8,0),0)</f>
        <v>0</v>
      </c>
      <c r="R1898">
        <f>IFERROR(VLOOKUP("906-477000-210",Out!B:AB,9+8,0),0)</f>
        <v>0</v>
      </c>
      <c r="S1898">
        <f>IFERROR(VLOOKUP("906-477000-210",Out!B:AB,10+8,0),0)</f>
        <v>0</v>
      </c>
      <c r="T1898">
        <f>IFERROR(VLOOKUP("906-477000-210",Out!B:AB,11+8,0),0)</f>
        <v>0</v>
      </c>
      <c r="U1898">
        <f>IFERROR(VLOOKUP("906-477000-210",Out!B:AB,12+8,0),0)</f>
        <v>0</v>
      </c>
      <c r="V1898">
        <f>IFERROR(VLOOKUP("906-477000-210",Out!B:AB,13+8,0),0)</f>
        <v>0</v>
      </c>
      <c r="W1898">
        <f>IFERROR(VLOOKUP("906-477000-210",Out!B:AB,14+8,0),0)</f>
        <v>0</v>
      </c>
      <c r="X1898">
        <f>IFERROR(VLOOKUP("906-477000-210",Out!B:AB,15+8,0),0)</f>
        <v>0</v>
      </c>
      <c r="Y1898">
        <f>IFERROR(VLOOKUP("906-477000-210",Out!B:AB,16+8,0),0)</f>
        <v>0</v>
      </c>
      <c r="Z1898">
        <f>IFERROR(VLOOKUP("906-477000-210",Out!B:AB,17+8,0),0)</f>
        <v>0</v>
      </c>
      <c r="AA1898">
        <f>IFERROR(VLOOKUP("906-477000-210",Out!B:AB,18+8,0),0)</f>
        <v>0</v>
      </c>
      <c r="AB1898">
        <f>IFERROR(VLOOKUP("906-477000-210",Out!B:AB,19+8,0),0)</f>
        <v>0</v>
      </c>
      <c r="AC1898">
        <f>IFERROR(VLOOKUP("906-477000-210",Out!B:AB,20+8,0),0)</f>
        <v>0</v>
      </c>
      <c r="AD1898">
        <f>IFERROR(VLOOKUP("906-477000-210",Out!B:AB,21+8,0),0)</f>
        <v>0</v>
      </c>
      <c r="AE1898">
        <f>IFERROR(VLOOKUP("906-477000-210",Out!B:AB,22+8,0),0)</f>
        <v>0</v>
      </c>
      <c r="AF1898">
        <f>IFERROR(VLOOKUP("906-477000-210",Out!B:AB,23+8,0),0)</f>
        <v>0</v>
      </c>
      <c r="AG1898">
        <f>IFERROR(VLOOKUP("906-477000-210",Out!B:AB,24+8,0),0)</f>
        <v>0</v>
      </c>
      <c r="AH1898">
        <f>IFERROR(VLOOKUP("906-477000-210",Out!B:AB,25+8,0),0)</f>
        <v>0</v>
      </c>
      <c r="AI1898">
        <f>IFERROR(VLOOKUP("906-477000-210",Out!B:AB,26+8,0),0)</f>
        <v>0</v>
      </c>
      <c r="AJ1898">
        <f>IFERROR(VLOOKUP("906-477000-210",Out!B:AB,27+8,0),0)</f>
        <v>0</v>
      </c>
      <c r="AK1898">
        <f>IFERROR(VLOOKUP("906-477000-210",Out!B:AB,28+8,0),0)</f>
        <v>0</v>
      </c>
      <c r="AL1898">
        <f>IFERROR(VLOOKUP("906-477000-210",Out!B:AB,29+8,0),0)</f>
        <v>0</v>
      </c>
      <c r="AM1898">
        <f>IFERROR(VLOOKUP("906-477000-210",Out!B:AB,30+8,0),0)</f>
        <v>0</v>
      </c>
      <c r="AN1898">
        <f>IFERROR(VLOOKUP("906-477000-210",Out!B:AB,31+8,0),0)</f>
        <v>0</v>
      </c>
      <c r="AO1898">
        <f>SUN(INDIRECT(ADDRESS(1897,8)):INDIRECT(ADDRESS(1897,39)))</f>
        <v>0</v>
      </c>
    </row>
    <row r="1899" spans="1:41">
      <c r="H1899" t="s">
        <v>179</v>
      </c>
      <c r="J1899">
        <f>INDIRECT(ADDRESS(1899,9))+INDIRECT(ADDRESS(1897,10))-INDIRECT(ADDRESS(1898,10))</f>
        <v>0</v>
      </c>
      <c r="K1899">
        <f>INDIRECT(ADDRESS(1899,10))+INDIRECT(ADDRESS(1897,11))-INDIRECT(ADDRESS(1898,11))</f>
        <v>0</v>
      </c>
      <c r="L1899">
        <f>INDIRECT(ADDRESS(1899,11))+INDIRECT(ADDRESS(1897,12))-INDIRECT(ADDRESS(1898,12))</f>
        <v>0</v>
      </c>
      <c r="M1899">
        <f>INDIRECT(ADDRESS(1899,12))+INDIRECT(ADDRESS(1897,13))-INDIRECT(ADDRESS(1898,13))</f>
        <v>0</v>
      </c>
      <c r="N1899">
        <f>INDIRECT(ADDRESS(1899,13))+INDIRECT(ADDRESS(1897,14))-INDIRECT(ADDRESS(1898,14))</f>
        <v>0</v>
      </c>
      <c r="O1899">
        <f>INDIRECT(ADDRESS(1899,14))+INDIRECT(ADDRESS(1897,15))-INDIRECT(ADDRESS(1898,15))</f>
        <v>0</v>
      </c>
      <c r="P1899">
        <f>INDIRECT(ADDRESS(1899,15))+INDIRECT(ADDRESS(1897,16))-INDIRECT(ADDRESS(1898,16))</f>
        <v>0</v>
      </c>
      <c r="Q1899">
        <f>INDIRECT(ADDRESS(1899,16))+INDIRECT(ADDRESS(1897,17))-INDIRECT(ADDRESS(1898,17))</f>
        <v>0</v>
      </c>
      <c r="R1899">
        <f>INDIRECT(ADDRESS(1899,17))+INDIRECT(ADDRESS(1897,18))-INDIRECT(ADDRESS(1898,18))</f>
        <v>0</v>
      </c>
      <c r="S1899">
        <f>INDIRECT(ADDRESS(1899,18))+INDIRECT(ADDRESS(1897,19))-INDIRECT(ADDRESS(1898,19))</f>
        <v>0</v>
      </c>
      <c r="T1899">
        <f>INDIRECT(ADDRESS(1899,19))+INDIRECT(ADDRESS(1897,20))-INDIRECT(ADDRESS(1898,20))</f>
        <v>0</v>
      </c>
      <c r="U1899">
        <f>INDIRECT(ADDRESS(1899,20))+INDIRECT(ADDRESS(1897,21))-INDIRECT(ADDRESS(1898,21))</f>
        <v>0</v>
      </c>
      <c r="V1899">
        <f>INDIRECT(ADDRESS(1899,21))+INDIRECT(ADDRESS(1897,22))-INDIRECT(ADDRESS(1898,22))</f>
        <v>0</v>
      </c>
      <c r="W1899">
        <f>INDIRECT(ADDRESS(1899,22))+INDIRECT(ADDRESS(1897,23))-INDIRECT(ADDRESS(1898,23))</f>
        <v>0</v>
      </c>
      <c r="X1899">
        <f>INDIRECT(ADDRESS(1899,23))+INDIRECT(ADDRESS(1897,24))-INDIRECT(ADDRESS(1898,24))</f>
        <v>0</v>
      </c>
      <c r="Y1899">
        <f>INDIRECT(ADDRESS(1899,24))+INDIRECT(ADDRESS(1897,25))-INDIRECT(ADDRESS(1898,25))</f>
        <v>0</v>
      </c>
      <c r="Z1899">
        <f>INDIRECT(ADDRESS(1899,25))+INDIRECT(ADDRESS(1897,26))-INDIRECT(ADDRESS(1898,26))</f>
        <v>0</v>
      </c>
      <c r="AA1899">
        <f>INDIRECT(ADDRESS(1899,26))+INDIRECT(ADDRESS(1897,27))-INDIRECT(ADDRESS(1898,27))</f>
        <v>0</v>
      </c>
      <c r="AB1899">
        <f>INDIRECT(ADDRESS(1899,27))+INDIRECT(ADDRESS(1897,28))-INDIRECT(ADDRESS(1898,28))</f>
        <v>0</v>
      </c>
      <c r="AC1899">
        <f>INDIRECT(ADDRESS(1899,28))+INDIRECT(ADDRESS(1897,29))-INDIRECT(ADDRESS(1898,29))</f>
        <v>0</v>
      </c>
      <c r="AD1899">
        <f>INDIRECT(ADDRESS(1899,29))+INDIRECT(ADDRESS(1897,30))-INDIRECT(ADDRESS(1898,30))</f>
        <v>0</v>
      </c>
      <c r="AE1899">
        <f>INDIRECT(ADDRESS(1899,30))+INDIRECT(ADDRESS(1897,31))-INDIRECT(ADDRESS(1898,31))</f>
        <v>0</v>
      </c>
      <c r="AF1899">
        <f>INDIRECT(ADDRESS(1899,31))+INDIRECT(ADDRESS(1897,32))-INDIRECT(ADDRESS(1898,32))</f>
        <v>0</v>
      </c>
      <c r="AG1899">
        <f>INDIRECT(ADDRESS(1899,32))+INDIRECT(ADDRESS(1897,33))-INDIRECT(ADDRESS(1898,33))</f>
        <v>0</v>
      </c>
      <c r="AH1899">
        <f>INDIRECT(ADDRESS(1899,33))+INDIRECT(ADDRESS(1897,34))-INDIRECT(ADDRESS(1898,34))</f>
        <v>0</v>
      </c>
      <c r="AI1899">
        <f>INDIRECT(ADDRESS(1899,34))+INDIRECT(ADDRESS(1897,35))-INDIRECT(ADDRESS(1898,35))</f>
        <v>0</v>
      </c>
      <c r="AJ1899">
        <f>INDIRECT(ADDRESS(1899,35))+INDIRECT(ADDRESS(1897,36))-INDIRECT(ADDRESS(1898,36))</f>
        <v>0</v>
      </c>
      <c r="AK1899">
        <f>INDIRECT(ADDRESS(1899,36))+INDIRECT(ADDRESS(1897,37))-INDIRECT(ADDRESS(1898,37))</f>
        <v>0</v>
      </c>
      <c r="AL1899">
        <f>INDIRECT(ADDRESS(1899,37))+INDIRECT(ADDRESS(1897,38))-INDIRECT(ADDRESS(1898,38))</f>
        <v>0</v>
      </c>
      <c r="AM1899">
        <f>INDIRECT(ADDRESS(1899,38))+INDIRECT(ADDRESS(1897,39))-INDIRECT(ADDRESS(1898,39))</f>
        <v>0</v>
      </c>
      <c r="AN1899">
        <f>INDIRECT(ADDRESS(1899,39))+INDIRECT(ADDRESS(1897,40))-INDIRECT(ADDRESS(1898,40))</f>
        <v>0</v>
      </c>
      <c r="AO1899">
        <f>SUM(INDIRECT(ADDRESS(1898,8)):INDIRECT(ADDRESS(1898,39)))</f>
        <v>0</v>
      </c>
    </row>
    <row r="1900" spans="1:41">
      <c r="A1900" t="s">
        <v>180</v>
      </c>
      <c r="B1900" t="s">
        <v>852</v>
      </c>
      <c r="C1900" t="s">
        <v>839</v>
      </c>
      <c r="E1900">
        <v>1</v>
      </c>
      <c r="I1900" t="s">
        <v>177</v>
      </c>
    </row>
    <row r="1901" spans="1:41">
      <c r="I1901" t="s">
        <v>178</v>
      </c>
      <c r="J1901">
        <f>IFERROR(VLOOKUP("906-477000-210",B:AB,1+8,0),0)</f>
        <v>0</v>
      </c>
      <c r="K1901">
        <f>IFERROR(VLOOKUP("906-477000-210",B:AB,2+8,0),0)</f>
        <v>0</v>
      </c>
      <c r="L1901">
        <f>IFERROR(VLOOKUP("906-477000-210",B:AB,3+8,0),0)</f>
        <v>0</v>
      </c>
      <c r="M1901">
        <f>IFERROR(VLOOKUP("906-477000-210",B:AB,4+8,0),0)</f>
        <v>0</v>
      </c>
      <c r="N1901">
        <f>IFERROR(VLOOKUP("906-477000-210",B:AB,5+8,0),0)</f>
        <v>0</v>
      </c>
      <c r="O1901">
        <f>IFERROR(VLOOKUP("906-477000-210",B:AB,6+8,0),0)</f>
        <v>0</v>
      </c>
      <c r="P1901">
        <f>IFERROR(VLOOKUP("906-477000-210",B:AB,7+8,0),0)</f>
        <v>0</v>
      </c>
      <c r="Q1901">
        <f>IFERROR(VLOOKUP("906-477000-210",B:AB,8+8,0),0)</f>
        <v>0</v>
      </c>
      <c r="R1901">
        <f>IFERROR(VLOOKUP("906-477000-210",B:AB,9+8,0),0)</f>
        <v>0</v>
      </c>
      <c r="S1901">
        <f>IFERROR(VLOOKUP("906-477000-210",B:AB,10+8,0),0)</f>
        <v>0</v>
      </c>
      <c r="T1901">
        <f>IFERROR(VLOOKUP("906-477000-210",B:AB,11+8,0),0)</f>
        <v>0</v>
      </c>
      <c r="U1901">
        <f>IFERROR(VLOOKUP("906-477000-210",B:AB,12+8,0),0)</f>
        <v>0</v>
      </c>
      <c r="V1901">
        <f>IFERROR(VLOOKUP("906-477000-210",B:AB,13+8,0),0)</f>
        <v>0</v>
      </c>
      <c r="W1901">
        <f>IFERROR(VLOOKUP("906-477000-210",B:AB,14+8,0),0)</f>
        <v>0</v>
      </c>
      <c r="X1901">
        <f>IFERROR(VLOOKUP("906-477000-210",B:AB,15+8,0),0)</f>
        <v>0</v>
      </c>
      <c r="Y1901">
        <f>IFERROR(VLOOKUP("906-477000-210",B:AB,16+8,0),0)</f>
        <v>0</v>
      </c>
      <c r="Z1901">
        <f>IFERROR(VLOOKUP("906-477000-210",B:AB,17+8,0),0)</f>
        <v>0</v>
      </c>
      <c r="AA1901">
        <f>IFERROR(VLOOKUP("906-477000-210",B:AB,18+8,0),0)</f>
        <v>0</v>
      </c>
      <c r="AB1901">
        <f>IFERROR(VLOOKUP("906-477000-210",B:AB,19+8,0),0)</f>
        <v>0</v>
      </c>
      <c r="AC1901">
        <f>IFERROR(VLOOKUP("906-477000-210",B:AB,20+8,0),0)</f>
        <v>0</v>
      </c>
      <c r="AD1901">
        <f>IFERROR(VLOOKUP("906-477000-210",B:AB,21+8,0),0)</f>
        <v>0</v>
      </c>
      <c r="AE1901">
        <f>IFERROR(VLOOKUP("906-477000-210",B:AB,22+8,0),0)</f>
        <v>0</v>
      </c>
      <c r="AF1901">
        <f>IFERROR(VLOOKUP("906-477000-210",B:AB,23+8,0),0)</f>
        <v>0</v>
      </c>
      <c r="AG1901">
        <f>IFERROR(VLOOKUP("906-477000-210",B:AB,24+8,0),0)</f>
        <v>0</v>
      </c>
      <c r="AH1901">
        <f>IFERROR(VLOOKUP("906-477000-210",B:AB,25+8,0),0)</f>
        <v>0</v>
      </c>
      <c r="AI1901">
        <f>IFERROR(VLOOKUP("906-477000-210",B:AB,26+8,0),0)</f>
        <v>0</v>
      </c>
      <c r="AJ1901">
        <f>IFERROR(VLOOKUP("906-477000-210",B:AB,27+8,0),0)</f>
        <v>0</v>
      </c>
      <c r="AK1901">
        <f>IFERROR(VLOOKUP("906-477000-210",B:AB,28+8,0),0)</f>
        <v>0</v>
      </c>
      <c r="AL1901">
        <f>IFERROR(VLOOKUP("906-477000-210",B:AB,29+8,0),0)</f>
        <v>0</v>
      </c>
      <c r="AM1901">
        <f>IFERROR(VLOOKUP("906-477000-210",B:AB,30+8,0),0)</f>
        <v>0</v>
      </c>
      <c r="AN1901">
        <f>IFERROR(VLOOKUP("906-477000-210",B:AB,31+8,0),0)</f>
        <v>0</v>
      </c>
      <c r="AO1901">
        <f>SUN(INDIRECT(ADDRESS(1900,8)):INDIRECT(ADDRESS(1900,39)))</f>
        <v>0</v>
      </c>
    </row>
    <row r="1902" spans="1:41">
      <c r="H1902" t="s">
        <v>179</v>
      </c>
      <c r="J1902">
        <f>INDIRECT(ADDRESS(1902,9))+INDIRECT(ADDRESS(1900,10))-INDIRECT(ADDRESS(1901,10))</f>
        <v>0</v>
      </c>
      <c r="K1902">
        <f>INDIRECT(ADDRESS(1902,10))+INDIRECT(ADDRESS(1900,11))-INDIRECT(ADDRESS(1901,11))</f>
        <v>0</v>
      </c>
      <c r="L1902">
        <f>INDIRECT(ADDRESS(1902,11))+INDIRECT(ADDRESS(1900,12))-INDIRECT(ADDRESS(1901,12))</f>
        <v>0</v>
      </c>
      <c r="M1902">
        <f>INDIRECT(ADDRESS(1902,12))+INDIRECT(ADDRESS(1900,13))-INDIRECT(ADDRESS(1901,13))</f>
        <v>0</v>
      </c>
      <c r="N1902">
        <f>INDIRECT(ADDRESS(1902,13))+INDIRECT(ADDRESS(1900,14))-INDIRECT(ADDRESS(1901,14))</f>
        <v>0</v>
      </c>
      <c r="O1902">
        <f>INDIRECT(ADDRESS(1902,14))+INDIRECT(ADDRESS(1900,15))-INDIRECT(ADDRESS(1901,15))</f>
        <v>0</v>
      </c>
      <c r="P1902">
        <f>INDIRECT(ADDRESS(1902,15))+INDIRECT(ADDRESS(1900,16))-INDIRECT(ADDRESS(1901,16))</f>
        <v>0</v>
      </c>
      <c r="Q1902">
        <f>INDIRECT(ADDRESS(1902,16))+INDIRECT(ADDRESS(1900,17))-INDIRECT(ADDRESS(1901,17))</f>
        <v>0</v>
      </c>
      <c r="R1902">
        <f>INDIRECT(ADDRESS(1902,17))+INDIRECT(ADDRESS(1900,18))-INDIRECT(ADDRESS(1901,18))</f>
        <v>0</v>
      </c>
      <c r="S1902">
        <f>INDIRECT(ADDRESS(1902,18))+INDIRECT(ADDRESS(1900,19))-INDIRECT(ADDRESS(1901,19))</f>
        <v>0</v>
      </c>
      <c r="T1902">
        <f>INDIRECT(ADDRESS(1902,19))+INDIRECT(ADDRESS(1900,20))-INDIRECT(ADDRESS(1901,20))</f>
        <v>0</v>
      </c>
      <c r="U1902">
        <f>INDIRECT(ADDRESS(1902,20))+INDIRECT(ADDRESS(1900,21))-INDIRECT(ADDRESS(1901,21))</f>
        <v>0</v>
      </c>
      <c r="V1902">
        <f>INDIRECT(ADDRESS(1902,21))+INDIRECT(ADDRESS(1900,22))-INDIRECT(ADDRESS(1901,22))</f>
        <v>0</v>
      </c>
      <c r="W1902">
        <f>INDIRECT(ADDRESS(1902,22))+INDIRECT(ADDRESS(1900,23))-INDIRECT(ADDRESS(1901,23))</f>
        <v>0</v>
      </c>
      <c r="X1902">
        <f>INDIRECT(ADDRESS(1902,23))+INDIRECT(ADDRESS(1900,24))-INDIRECT(ADDRESS(1901,24))</f>
        <v>0</v>
      </c>
      <c r="Y1902">
        <f>INDIRECT(ADDRESS(1902,24))+INDIRECT(ADDRESS(1900,25))-INDIRECT(ADDRESS(1901,25))</f>
        <v>0</v>
      </c>
      <c r="Z1902">
        <f>INDIRECT(ADDRESS(1902,25))+INDIRECT(ADDRESS(1900,26))-INDIRECT(ADDRESS(1901,26))</f>
        <v>0</v>
      </c>
      <c r="AA1902">
        <f>INDIRECT(ADDRESS(1902,26))+INDIRECT(ADDRESS(1900,27))-INDIRECT(ADDRESS(1901,27))</f>
        <v>0</v>
      </c>
      <c r="AB1902">
        <f>INDIRECT(ADDRESS(1902,27))+INDIRECT(ADDRESS(1900,28))-INDIRECT(ADDRESS(1901,28))</f>
        <v>0</v>
      </c>
      <c r="AC1902">
        <f>INDIRECT(ADDRESS(1902,28))+INDIRECT(ADDRESS(1900,29))-INDIRECT(ADDRESS(1901,29))</f>
        <v>0</v>
      </c>
      <c r="AD1902">
        <f>INDIRECT(ADDRESS(1902,29))+INDIRECT(ADDRESS(1900,30))-INDIRECT(ADDRESS(1901,30))</f>
        <v>0</v>
      </c>
      <c r="AE1902">
        <f>INDIRECT(ADDRESS(1902,30))+INDIRECT(ADDRESS(1900,31))-INDIRECT(ADDRESS(1901,31))</f>
        <v>0</v>
      </c>
      <c r="AF1902">
        <f>INDIRECT(ADDRESS(1902,31))+INDIRECT(ADDRESS(1900,32))-INDIRECT(ADDRESS(1901,32))</f>
        <v>0</v>
      </c>
      <c r="AG1902">
        <f>INDIRECT(ADDRESS(1902,32))+INDIRECT(ADDRESS(1900,33))-INDIRECT(ADDRESS(1901,33))</f>
        <v>0</v>
      </c>
      <c r="AH1902">
        <f>INDIRECT(ADDRESS(1902,33))+INDIRECT(ADDRESS(1900,34))-INDIRECT(ADDRESS(1901,34))</f>
        <v>0</v>
      </c>
      <c r="AI1902">
        <f>INDIRECT(ADDRESS(1902,34))+INDIRECT(ADDRESS(1900,35))-INDIRECT(ADDRESS(1901,35))</f>
        <v>0</v>
      </c>
      <c r="AJ1902">
        <f>INDIRECT(ADDRESS(1902,35))+INDIRECT(ADDRESS(1900,36))-INDIRECT(ADDRESS(1901,36))</f>
        <v>0</v>
      </c>
      <c r="AK1902">
        <f>INDIRECT(ADDRESS(1902,36))+INDIRECT(ADDRESS(1900,37))-INDIRECT(ADDRESS(1901,37))</f>
        <v>0</v>
      </c>
      <c r="AL1902">
        <f>INDIRECT(ADDRESS(1902,37))+INDIRECT(ADDRESS(1900,38))-INDIRECT(ADDRESS(1901,38))</f>
        <v>0</v>
      </c>
      <c r="AM1902">
        <f>INDIRECT(ADDRESS(1902,38))+INDIRECT(ADDRESS(1900,39))-INDIRECT(ADDRESS(1901,39))</f>
        <v>0</v>
      </c>
      <c r="AN1902">
        <f>INDIRECT(ADDRESS(1902,39))+INDIRECT(ADDRESS(1900,40))-INDIRECT(ADDRESS(1901,40))</f>
        <v>0</v>
      </c>
      <c r="AO1902">
        <f>SUM(INDIRECT(ADDRESS(1901,8)):INDIRECT(ADDRESS(1901,39)))</f>
        <v>0</v>
      </c>
    </row>
    <row r="1903" spans="1:41">
      <c r="A1903" t="s">
        <v>180</v>
      </c>
      <c r="B1903" t="s">
        <v>840</v>
      </c>
      <c r="C1903" t="s">
        <v>841</v>
      </c>
      <c r="E1903">
        <v>1</v>
      </c>
      <c r="I1903" t="s">
        <v>177</v>
      </c>
    </row>
    <row r="1904" spans="1:41">
      <c r="I1904" t="s">
        <v>178</v>
      </c>
      <c r="J1904">
        <f>IFERROR(VLOOKUP("906-477000-210",B:AB,1+8,0),0)</f>
        <v>0</v>
      </c>
      <c r="K1904">
        <f>IFERROR(VLOOKUP("906-477000-210",B:AB,2+8,0),0)</f>
        <v>0</v>
      </c>
      <c r="L1904">
        <f>IFERROR(VLOOKUP("906-477000-210",B:AB,3+8,0),0)</f>
        <v>0</v>
      </c>
      <c r="M1904">
        <f>IFERROR(VLOOKUP("906-477000-210",B:AB,4+8,0),0)</f>
        <v>0</v>
      </c>
      <c r="N1904">
        <f>IFERROR(VLOOKUP("906-477000-210",B:AB,5+8,0),0)</f>
        <v>0</v>
      </c>
      <c r="O1904">
        <f>IFERROR(VLOOKUP("906-477000-210",B:AB,6+8,0),0)</f>
        <v>0</v>
      </c>
      <c r="P1904">
        <f>IFERROR(VLOOKUP("906-477000-210",B:AB,7+8,0),0)</f>
        <v>0</v>
      </c>
      <c r="Q1904">
        <f>IFERROR(VLOOKUP("906-477000-210",B:AB,8+8,0),0)</f>
        <v>0</v>
      </c>
      <c r="R1904">
        <f>IFERROR(VLOOKUP("906-477000-210",B:AB,9+8,0),0)</f>
        <v>0</v>
      </c>
      <c r="S1904">
        <f>IFERROR(VLOOKUP("906-477000-210",B:AB,10+8,0),0)</f>
        <v>0</v>
      </c>
      <c r="T1904">
        <f>IFERROR(VLOOKUP("906-477000-210",B:AB,11+8,0),0)</f>
        <v>0</v>
      </c>
      <c r="U1904">
        <f>IFERROR(VLOOKUP("906-477000-210",B:AB,12+8,0),0)</f>
        <v>0</v>
      </c>
      <c r="V1904">
        <f>IFERROR(VLOOKUP("906-477000-210",B:AB,13+8,0),0)</f>
        <v>0</v>
      </c>
      <c r="W1904">
        <f>IFERROR(VLOOKUP("906-477000-210",B:AB,14+8,0),0)</f>
        <v>0</v>
      </c>
      <c r="X1904">
        <f>IFERROR(VLOOKUP("906-477000-210",B:AB,15+8,0),0)</f>
        <v>0</v>
      </c>
      <c r="Y1904">
        <f>IFERROR(VLOOKUP("906-477000-210",B:AB,16+8,0),0)</f>
        <v>0</v>
      </c>
      <c r="Z1904">
        <f>IFERROR(VLOOKUP("906-477000-210",B:AB,17+8,0),0)</f>
        <v>0</v>
      </c>
      <c r="AA1904">
        <f>IFERROR(VLOOKUP("906-477000-210",B:AB,18+8,0),0)</f>
        <v>0</v>
      </c>
      <c r="AB1904">
        <f>IFERROR(VLOOKUP("906-477000-210",B:AB,19+8,0),0)</f>
        <v>0</v>
      </c>
      <c r="AC1904">
        <f>IFERROR(VLOOKUP("906-477000-210",B:AB,20+8,0),0)</f>
        <v>0</v>
      </c>
      <c r="AD1904">
        <f>IFERROR(VLOOKUP("906-477000-210",B:AB,21+8,0),0)</f>
        <v>0</v>
      </c>
      <c r="AE1904">
        <f>IFERROR(VLOOKUP("906-477000-210",B:AB,22+8,0),0)</f>
        <v>0</v>
      </c>
      <c r="AF1904">
        <f>IFERROR(VLOOKUP("906-477000-210",B:AB,23+8,0),0)</f>
        <v>0</v>
      </c>
      <c r="AG1904">
        <f>IFERROR(VLOOKUP("906-477000-210",B:AB,24+8,0),0)</f>
        <v>0</v>
      </c>
      <c r="AH1904">
        <f>IFERROR(VLOOKUP("906-477000-210",B:AB,25+8,0),0)</f>
        <v>0</v>
      </c>
      <c r="AI1904">
        <f>IFERROR(VLOOKUP("906-477000-210",B:AB,26+8,0),0)</f>
        <v>0</v>
      </c>
      <c r="AJ1904">
        <f>IFERROR(VLOOKUP("906-477000-210",B:AB,27+8,0),0)</f>
        <v>0</v>
      </c>
      <c r="AK1904">
        <f>IFERROR(VLOOKUP("906-477000-210",B:AB,28+8,0),0)</f>
        <v>0</v>
      </c>
      <c r="AL1904">
        <f>IFERROR(VLOOKUP("906-477000-210",B:AB,29+8,0),0)</f>
        <v>0</v>
      </c>
      <c r="AM1904">
        <f>IFERROR(VLOOKUP("906-477000-210",B:AB,30+8,0),0)</f>
        <v>0</v>
      </c>
      <c r="AN1904">
        <f>IFERROR(VLOOKUP("906-477000-210",B:AB,31+8,0),0)</f>
        <v>0</v>
      </c>
      <c r="AO1904">
        <f>SUN(INDIRECT(ADDRESS(1903,8)):INDIRECT(ADDRESS(1903,39)))</f>
        <v>0</v>
      </c>
    </row>
    <row r="1905" spans="1:41">
      <c r="H1905" t="s">
        <v>179</v>
      </c>
      <c r="J1905">
        <f>INDIRECT(ADDRESS(1905,9))+INDIRECT(ADDRESS(1903,10))-INDIRECT(ADDRESS(1904,10))</f>
        <v>0</v>
      </c>
      <c r="K1905">
        <f>INDIRECT(ADDRESS(1905,10))+INDIRECT(ADDRESS(1903,11))-INDIRECT(ADDRESS(1904,11))</f>
        <v>0</v>
      </c>
      <c r="L1905">
        <f>INDIRECT(ADDRESS(1905,11))+INDIRECT(ADDRESS(1903,12))-INDIRECT(ADDRESS(1904,12))</f>
        <v>0</v>
      </c>
      <c r="M1905">
        <f>INDIRECT(ADDRESS(1905,12))+INDIRECT(ADDRESS(1903,13))-INDIRECT(ADDRESS(1904,13))</f>
        <v>0</v>
      </c>
      <c r="N1905">
        <f>INDIRECT(ADDRESS(1905,13))+INDIRECT(ADDRESS(1903,14))-INDIRECT(ADDRESS(1904,14))</f>
        <v>0</v>
      </c>
      <c r="O1905">
        <f>INDIRECT(ADDRESS(1905,14))+INDIRECT(ADDRESS(1903,15))-INDIRECT(ADDRESS(1904,15))</f>
        <v>0</v>
      </c>
      <c r="P1905">
        <f>INDIRECT(ADDRESS(1905,15))+INDIRECT(ADDRESS(1903,16))-INDIRECT(ADDRESS(1904,16))</f>
        <v>0</v>
      </c>
      <c r="Q1905">
        <f>INDIRECT(ADDRESS(1905,16))+INDIRECT(ADDRESS(1903,17))-INDIRECT(ADDRESS(1904,17))</f>
        <v>0</v>
      </c>
      <c r="R1905">
        <f>INDIRECT(ADDRESS(1905,17))+INDIRECT(ADDRESS(1903,18))-INDIRECT(ADDRESS(1904,18))</f>
        <v>0</v>
      </c>
      <c r="S1905">
        <f>INDIRECT(ADDRESS(1905,18))+INDIRECT(ADDRESS(1903,19))-INDIRECT(ADDRESS(1904,19))</f>
        <v>0</v>
      </c>
      <c r="T1905">
        <f>INDIRECT(ADDRESS(1905,19))+INDIRECT(ADDRESS(1903,20))-INDIRECT(ADDRESS(1904,20))</f>
        <v>0</v>
      </c>
      <c r="U1905">
        <f>INDIRECT(ADDRESS(1905,20))+INDIRECT(ADDRESS(1903,21))-INDIRECT(ADDRESS(1904,21))</f>
        <v>0</v>
      </c>
      <c r="V1905">
        <f>INDIRECT(ADDRESS(1905,21))+INDIRECT(ADDRESS(1903,22))-INDIRECT(ADDRESS(1904,22))</f>
        <v>0</v>
      </c>
      <c r="W1905">
        <f>INDIRECT(ADDRESS(1905,22))+INDIRECT(ADDRESS(1903,23))-INDIRECT(ADDRESS(1904,23))</f>
        <v>0</v>
      </c>
      <c r="X1905">
        <f>INDIRECT(ADDRESS(1905,23))+INDIRECT(ADDRESS(1903,24))-INDIRECT(ADDRESS(1904,24))</f>
        <v>0</v>
      </c>
      <c r="Y1905">
        <f>INDIRECT(ADDRESS(1905,24))+INDIRECT(ADDRESS(1903,25))-INDIRECT(ADDRESS(1904,25))</f>
        <v>0</v>
      </c>
      <c r="Z1905">
        <f>INDIRECT(ADDRESS(1905,25))+INDIRECT(ADDRESS(1903,26))-INDIRECT(ADDRESS(1904,26))</f>
        <v>0</v>
      </c>
      <c r="AA1905">
        <f>INDIRECT(ADDRESS(1905,26))+INDIRECT(ADDRESS(1903,27))-INDIRECT(ADDRESS(1904,27))</f>
        <v>0</v>
      </c>
      <c r="AB1905">
        <f>INDIRECT(ADDRESS(1905,27))+INDIRECT(ADDRESS(1903,28))-INDIRECT(ADDRESS(1904,28))</f>
        <v>0</v>
      </c>
      <c r="AC1905">
        <f>INDIRECT(ADDRESS(1905,28))+INDIRECT(ADDRESS(1903,29))-INDIRECT(ADDRESS(1904,29))</f>
        <v>0</v>
      </c>
      <c r="AD1905">
        <f>INDIRECT(ADDRESS(1905,29))+INDIRECT(ADDRESS(1903,30))-INDIRECT(ADDRESS(1904,30))</f>
        <v>0</v>
      </c>
      <c r="AE1905">
        <f>INDIRECT(ADDRESS(1905,30))+INDIRECT(ADDRESS(1903,31))-INDIRECT(ADDRESS(1904,31))</f>
        <v>0</v>
      </c>
      <c r="AF1905">
        <f>INDIRECT(ADDRESS(1905,31))+INDIRECT(ADDRESS(1903,32))-INDIRECT(ADDRESS(1904,32))</f>
        <v>0</v>
      </c>
      <c r="AG1905">
        <f>INDIRECT(ADDRESS(1905,32))+INDIRECT(ADDRESS(1903,33))-INDIRECT(ADDRESS(1904,33))</f>
        <v>0</v>
      </c>
      <c r="AH1905">
        <f>INDIRECT(ADDRESS(1905,33))+INDIRECT(ADDRESS(1903,34))-INDIRECT(ADDRESS(1904,34))</f>
        <v>0</v>
      </c>
      <c r="AI1905">
        <f>INDIRECT(ADDRESS(1905,34))+INDIRECT(ADDRESS(1903,35))-INDIRECT(ADDRESS(1904,35))</f>
        <v>0</v>
      </c>
      <c r="AJ1905">
        <f>INDIRECT(ADDRESS(1905,35))+INDIRECT(ADDRESS(1903,36))-INDIRECT(ADDRESS(1904,36))</f>
        <v>0</v>
      </c>
      <c r="AK1905">
        <f>INDIRECT(ADDRESS(1905,36))+INDIRECT(ADDRESS(1903,37))-INDIRECT(ADDRESS(1904,37))</f>
        <v>0</v>
      </c>
      <c r="AL1905">
        <f>INDIRECT(ADDRESS(1905,37))+INDIRECT(ADDRESS(1903,38))-INDIRECT(ADDRESS(1904,38))</f>
        <v>0</v>
      </c>
      <c r="AM1905">
        <f>INDIRECT(ADDRESS(1905,38))+INDIRECT(ADDRESS(1903,39))-INDIRECT(ADDRESS(1904,39))</f>
        <v>0</v>
      </c>
      <c r="AN1905">
        <f>INDIRECT(ADDRESS(1905,39))+INDIRECT(ADDRESS(1903,40))-INDIRECT(ADDRESS(1904,40))</f>
        <v>0</v>
      </c>
      <c r="AO1905">
        <f>SUM(INDIRECT(ADDRESS(1904,8)):INDIRECT(ADDRESS(1904,39)))</f>
        <v>0</v>
      </c>
    </row>
    <row r="1906" spans="1:41">
      <c r="A1906" t="s">
        <v>185</v>
      </c>
      <c r="B1906" t="s">
        <v>842</v>
      </c>
      <c r="C1906" t="s">
        <v>843</v>
      </c>
      <c r="E1906">
        <v>1</v>
      </c>
      <c r="I1906" t="s">
        <v>177</v>
      </c>
    </row>
    <row r="1907" spans="1:41">
      <c r="I1907" t="s">
        <v>178</v>
      </c>
      <c r="J1907">
        <f>IFERROR(VLOOKUP("906-477000-210",B:AB,1+8,0),0)</f>
        <v>0</v>
      </c>
      <c r="K1907">
        <f>IFERROR(VLOOKUP("906-477000-210",B:AB,2+8,0),0)</f>
        <v>0</v>
      </c>
      <c r="L1907">
        <f>IFERROR(VLOOKUP("906-477000-210",B:AB,3+8,0),0)</f>
        <v>0</v>
      </c>
      <c r="M1907">
        <f>IFERROR(VLOOKUP("906-477000-210",B:AB,4+8,0),0)</f>
        <v>0</v>
      </c>
      <c r="N1907">
        <f>IFERROR(VLOOKUP("906-477000-210",B:AB,5+8,0),0)</f>
        <v>0</v>
      </c>
      <c r="O1907">
        <f>IFERROR(VLOOKUP("906-477000-210",B:AB,6+8,0),0)</f>
        <v>0</v>
      </c>
      <c r="P1907">
        <f>IFERROR(VLOOKUP("906-477000-210",B:AB,7+8,0),0)</f>
        <v>0</v>
      </c>
      <c r="Q1907">
        <f>IFERROR(VLOOKUP("906-477000-210",B:AB,8+8,0),0)</f>
        <v>0</v>
      </c>
      <c r="R1907">
        <f>IFERROR(VLOOKUP("906-477000-210",B:AB,9+8,0),0)</f>
        <v>0</v>
      </c>
      <c r="S1907">
        <f>IFERROR(VLOOKUP("906-477000-210",B:AB,10+8,0),0)</f>
        <v>0</v>
      </c>
      <c r="T1907">
        <f>IFERROR(VLOOKUP("906-477000-210",B:AB,11+8,0),0)</f>
        <v>0</v>
      </c>
      <c r="U1907">
        <f>IFERROR(VLOOKUP("906-477000-210",B:AB,12+8,0),0)</f>
        <v>0</v>
      </c>
      <c r="V1907">
        <f>IFERROR(VLOOKUP("906-477000-210",B:AB,13+8,0),0)</f>
        <v>0</v>
      </c>
      <c r="W1907">
        <f>IFERROR(VLOOKUP("906-477000-210",B:AB,14+8,0),0)</f>
        <v>0</v>
      </c>
      <c r="X1907">
        <f>IFERROR(VLOOKUP("906-477000-210",B:AB,15+8,0),0)</f>
        <v>0</v>
      </c>
      <c r="Y1907">
        <f>IFERROR(VLOOKUP("906-477000-210",B:AB,16+8,0),0)</f>
        <v>0</v>
      </c>
      <c r="Z1907">
        <f>IFERROR(VLOOKUP("906-477000-210",B:AB,17+8,0),0)</f>
        <v>0</v>
      </c>
      <c r="AA1907">
        <f>IFERROR(VLOOKUP("906-477000-210",B:AB,18+8,0),0)</f>
        <v>0</v>
      </c>
      <c r="AB1907">
        <f>IFERROR(VLOOKUP("906-477000-210",B:AB,19+8,0),0)</f>
        <v>0</v>
      </c>
      <c r="AC1907">
        <f>IFERROR(VLOOKUP("906-477000-210",B:AB,20+8,0),0)</f>
        <v>0</v>
      </c>
      <c r="AD1907">
        <f>IFERROR(VLOOKUP("906-477000-210",B:AB,21+8,0),0)</f>
        <v>0</v>
      </c>
      <c r="AE1907">
        <f>IFERROR(VLOOKUP("906-477000-210",B:AB,22+8,0),0)</f>
        <v>0</v>
      </c>
      <c r="AF1907">
        <f>IFERROR(VLOOKUP("906-477000-210",B:AB,23+8,0),0)</f>
        <v>0</v>
      </c>
      <c r="AG1907">
        <f>IFERROR(VLOOKUP("906-477000-210",B:AB,24+8,0),0)</f>
        <v>0</v>
      </c>
      <c r="AH1907">
        <f>IFERROR(VLOOKUP("906-477000-210",B:AB,25+8,0),0)</f>
        <v>0</v>
      </c>
      <c r="AI1907">
        <f>IFERROR(VLOOKUP("906-477000-210",B:AB,26+8,0),0)</f>
        <v>0</v>
      </c>
      <c r="AJ1907">
        <f>IFERROR(VLOOKUP("906-477000-210",B:AB,27+8,0),0)</f>
        <v>0</v>
      </c>
      <c r="AK1907">
        <f>IFERROR(VLOOKUP("906-477000-210",B:AB,28+8,0),0)</f>
        <v>0</v>
      </c>
      <c r="AL1907">
        <f>IFERROR(VLOOKUP("906-477000-210",B:AB,29+8,0),0)</f>
        <v>0</v>
      </c>
      <c r="AM1907">
        <f>IFERROR(VLOOKUP("906-477000-210",B:AB,30+8,0),0)</f>
        <v>0</v>
      </c>
      <c r="AN1907">
        <f>IFERROR(VLOOKUP("906-477000-210",B:AB,31+8,0),0)</f>
        <v>0</v>
      </c>
      <c r="AO1907">
        <f>SUN(INDIRECT(ADDRESS(1906,8)):INDIRECT(ADDRESS(1906,39)))</f>
        <v>0</v>
      </c>
    </row>
    <row r="1908" spans="1:41">
      <c r="H1908" t="s">
        <v>179</v>
      </c>
      <c r="J1908">
        <f>INDIRECT(ADDRESS(1908,9))+INDIRECT(ADDRESS(1906,10))-INDIRECT(ADDRESS(1907,10))</f>
        <v>0</v>
      </c>
      <c r="K1908">
        <f>INDIRECT(ADDRESS(1908,10))+INDIRECT(ADDRESS(1906,11))-INDIRECT(ADDRESS(1907,11))</f>
        <v>0</v>
      </c>
      <c r="L1908">
        <f>INDIRECT(ADDRESS(1908,11))+INDIRECT(ADDRESS(1906,12))-INDIRECT(ADDRESS(1907,12))</f>
        <v>0</v>
      </c>
      <c r="M1908">
        <f>INDIRECT(ADDRESS(1908,12))+INDIRECT(ADDRESS(1906,13))-INDIRECT(ADDRESS(1907,13))</f>
        <v>0</v>
      </c>
      <c r="N1908">
        <f>INDIRECT(ADDRESS(1908,13))+INDIRECT(ADDRESS(1906,14))-INDIRECT(ADDRESS(1907,14))</f>
        <v>0</v>
      </c>
      <c r="O1908">
        <f>INDIRECT(ADDRESS(1908,14))+INDIRECT(ADDRESS(1906,15))-INDIRECT(ADDRESS(1907,15))</f>
        <v>0</v>
      </c>
      <c r="P1908">
        <f>INDIRECT(ADDRESS(1908,15))+INDIRECT(ADDRESS(1906,16))-INDIRECT(ADDRESS(1907,16))</f>
        <v>0</v>
      </c>
      <c r="Q1908">
        <f>INDIRECT(ADDRESS(1908,16))+INDIRECT(ADDRESS(1906,17))-INDIRECT(ADDRESS(1907,17))</f>
        <v>0</v>
      </c>
      <c r="R1908">
        <f>INDIRECT(ADDRESS(1908,17))+INDIRECT(ADDRESS(1906,18))-INDIRECT(ADDRESS(1907,18))</f>
        <v>0</v>
      </c>
      <c r="S1908">
        <f>INDIRECT(ADDRESS(1908,18))+INDIRECT(ADDRESS(1906,19))-INDIRECT(ADDRESS(1907,19))</f>
        <v>0</v>
      </c>
      <c r="T1908">
        <f>INDIRECT(ADDRESS(1908,19))+INDIRECT(ADDRESS(1906,20))-INDIRECT(ADDRESS(1907,20))</f>
        <v>0</v>
      </c>
      <c r="U1908">
        <f>INDIRECT(ADDRESS(1908,20))+INDIRECT(ADDRESS(1906,21))-INDIRECT(ADDRESS(1907,21))</f>
        <v>0</v>
      </c>
      <c r="V1908">
        <f>INDIRECT(ADDRESS(1908,21))+INDIRECT(ADDRESS(1906,22))-INDIRECT(ADDRESS(1907,22))</f>
        <v>0</v>
      </c>
      <c r="W1908">
        <f>INDIRECT(ADDRESS(1908,22))+INDIRECT(ADDRESS(1906,23))-INDIRECT(ADDRESS(1907,23))</f>
        <v>0</v>
      </c>
      <c r="X1908">
        <f>INDIRECT(ADDRESS(1908,23))+INDIRECT(ADDRESS(1906,24))-INDIRECT(ADDRESS(1907,24))</f>
        <v>0</v>
      </c>
      <c r="Y1908">
        <f>INDIRECT(ADDRESS(1908,24))+INDIRECT(ADDRESS(1906,25))-INDIRECT(ADDRESS(1907,25))</f>
        <v>0</v>
      </c>
      <c r="Z1908">
        <f>INDIRECT(ADDRESS(1908,25))+INDIRECT(ADDRESS(1906,26))-INDIRECT(ADDRESS(1907,26))</f>
        <v>0</v>
      </c>
      <c r="AA1908">
        <f>INDIRECT(ADDRESS(1908,26))+INDIRECT(ADDRESS(1906,27))-INDIRECT(ADDRESS(1907,27))</f>
        <v>0</v>
      </c>
      <c r="AB1908">
        <f>INDIRECT(ADDRESS(1908,27))+INDIRECT(ADDRESS(1906,28))-INDIRECT(ADDRESS(1907,28))</f>
        <v>0</v>
      </c>
      <c r="AC1908">
        <f>INDIRECT(ADDRESS(1908,28))+INDIRECT(ADDRESS(1906,29))-INDIRECT(ADDRESS(1907,29))</f>
        <v>0</v>
      </c>
      <c r="AD1908">
        <f>INDIRECT(ADDRESS(1908,29))+INDIRECT(ADDRESS(1906,30))-INDIRECT(ADDRESS(1907,30))</f>
        <v>0</v>
      </c>
      <c r="AE1908">
        <f>INDIRECT(ADDRESS(1908,30))+INDIRECT(ADDRESS(1906,31))-INDIRECT(ADDRESS(1907,31))</f>
        <v>0</v>
      </c>
      <c r="AF1908">
        <f>INDIRECT(ADDRESS(1908,31))+INDIRECT(ADDRESS(1906,32))-INDIRECT(ADDRESS(1907,32))</f>
        <v>0</v>
      </c>
      <c r="AG1908">
        <f>INDIRECT(ADDRESS(1908,32))+INDIRECT(ADDRESS(1906,33))-INDIRECT(ADDRESS(1907,33))</f>
        <v>0</v>
      </c>
      <c r="AH1908">
        <f>INDIRECT(ADDRESS(1908,33))+INDIRECT(ADDRESS(1906,34))-INDIRECT(ADDRESS(1907,34))</f>
        <v>0</v>
      </c>
      <c r="AI1908">
        <f>INDIRECT(ADDRESS(1908,34))+INDIRECT(ADDRESS(1906,35))-INDIRECT(ADDRESS(1907,35))</f>
        <v>0</v>
      </c>
      <c r="AJ1908">
        <f>INDIRECT(ADDRESS(1908,35))+INDIRECT(ADDRESS(1906,36))-INDIRECT(ADDRESS(1907,36))</f>
        <v>0</v>
      </c>
      <c r="AK1908">
        <f>INDIRECT(ADDRESS(1908,36))+INDIRECT(ADDRESS(1906,37))-INDIRECT(ADDRESS(1907,37))</f>
        <v>0</v>
      </c>
      <c r="AL1908">
        <f>INDIRECT(ADDRESS(1908,37))+INDIRECT(ADDRESS(1906,38))-INDIRECT(ADDRESS(1907,38))</f>
        <v>0</v>
      </c>
      <c r="AM1908">
        <f>INDIRECT(ADDRESS(1908,38))+INDIRECT(ADDRESS(1906,39))-INDIRECT(ADDRESS(1907,39))</f>
        <v>0</v>
      </c>
      <c r="AN1908">
        <f>INDIRECT(ADDRESS(1908,39))+INDIRECT(ADDRESS(1906,40))-INDIRECT(ADDRESS(1907,40))</f>
        <v>0</v>
      </c>
      <c r="AO1908">
        <f>SUM(INDIRECT(ADDRESS(1907,8)):INDIRECT(ADDRESS(1907,39)))</f>
        <v>0</v>
      </c>
    </row>
    <row r="1909" spans="1:41">
      <c r="A1909" t="s">
        <v>185</v>
      </c>
      <c r="B1909" t="s">
        <v>160</v>
      </c>
      <c r="C1909" t="s">
        <v>845</v>
      </c>
      <c r="E1909">
        <v>0.003</v>
      </c>
      <c r="I1909" t="s">
        <v>177</v>
      </c>
    </row>
    <row r="1910" spans="1:41">
      <c r="I1910" t="s">
        <v>178</v>
      </c>
      <c r="J1910">
        <f>IFERROR(VLOOKUP("906-477000-210",B:AB,1+8,0),0)</f>
        <v>0</v>
      </c>
      <c r="K1910">
        <f>IFERROR(VLOOKUP("906-477000-210",B:AB,2+8,0),0)</f>
        <v>0</v>
      </c>
      <c r="L1910">
        <f>IFERROR(VLOOKUP("906-477000-210",B:AB,3+8,0),0)</f>
        <v>0</v>
      </c>
      <c r="M1910">
        <f>IFERROR(VLOOKUP("906-477000-210",B:AB,4+8,0),0)</f>
        <v>0</v>
      </c>
      <c r="N1910">
        <f>IFERROR(VLOOKUP("906-477000-210",B:AB,5+8,0),0)</f>
        <v>0</v>
      </c>
      <c r="O1910">
        <f>IFERROR(VLOOKUP("906-477000-210",B:AB,6+8,0),0)</f>
        <v>0</v>
      </c>
      <c r="P1910">
        <f>IFERROR(VLOOKUP("906-477000-210",B:AB,7+8,0),0)</f>
        <v>0</v>
      </c>
      <c r="Q1910">
        <f>IFERROR(VLOOKUP("906-477000-210",B:AB,8+8,0),0)</f>
        <v>0</v>
      </c>
      <c r="R1910">
        <f>IFERROR(VLOOKUP("906-477000-210",B:AB,9+8,0),0)</f>
        <v>0</v>
      </c>
      <c r="S1910">
        <f>IFERROR(VLOOKUP("906-477000-210",B:AB,10+8,0),0)</f>
        <v>0</v>
      </c>
      <c r="T1910">
        <f>IFERROR(VLOOKUP("906-477000-210",B:AB,11+8,0),0)</f>
        <v>0</v>
      </c>
      <c r="U1910">
        <f>IFERROR(VLOOKUP("906-477000-210",B:AB,12+8,0),0)</f>
        <v>0</v>
      </c>
      <c r="V1910">
        <f>IFERROR(VLOOKUP("906-477000-210",B:AB,13+8,0),0)</f>
        <v>0</v>
      </c>
      <c r="W1910">
        <f>IFERROR(VLOOKUP("906-477000-210",B:AB,14+8,0),0)</f>
        <v>0</v>
      </c>
      <c r="X1910">
        <f>IFERROR(VLOOKUP("906-477000-210",B:AB,15+8,0),0)</f>
        <v>0</v>
      </c>
      <c r="Y1910">
        <f>IFERROR(VLOOKUP("906-477000-210",B:AB,16+8,0),0)</f>
        <v>0</v>
      </c>
      <c r="Z1910">
        <f>IFERROR(VLOOKUP("906-477000-210",B:AB,17+8,0),0)</f>
        <v>0</v>
      </c>
      <c r="AA1910">
        <f>IFERROR(VLOOKUP("906-477000-210",B:AB,18+8,0),0)</f>
        <v>0</v>
      </c>
      <c r="AB1910">
        <f>IFERROR(VLOOKUP("906-477000-210",B:AB,19+8,0),0)</f>
        <v>0</v>
      </c>
      <c r="AC1910">
        <f>IFERROR(VLOOKUP("906-477000-210",B:AB,20+8,0),0)</f>
        <v>0</v>
      </c>
      <c r="AD1910">
        <f>IFERROR(VLOOKUP("906-477000-210",B:AB,21+8,0),0)</f>
        <v>0</v>
      </c>
      <c r="AE1910">
        <f>IFERROR(VLOOKUP("906-477000-210",B:AB,22+8,0),0)</f>
        <v>0</v>
      </c>
      <c r="AF1910">
        <f>IFERROR(VLOOKUP("906-477000-210",B:AB,23+8,0),0)</f>
        <v>0</v>
      </c>
      <c r="AG1910">
        <f>IFERROR(VLOOKUP("906-477000-210",B:AB,24+8,0),0)</f>
        <v>0</v>
      </c>
      <c r="AH1910">
        <f>IFERROR(VLOOKUP("906-477000-210",B:AB,25+8,0),0)</f>
        <v>0</v>
      </c>
      <c r="AI1910">
        <f>IFERROR(VLOOKUP("906-477000-210",B:AB,26+8,0),0)</f>
        <v>0</v>
      </c>
      <c r="AJ1910">
        <f>IFERROR(VLOOKUP("906-477000-210",B:AB,27+8,0),0)</f>
        <v>0</v>
      </c>
      <c r="AK1910">
        <f>IFERROR(VLOOKUP("906-477000-210",B:AB,28+8,0),0)</f>
        <v>0</v>
      </c>
      <c r="AL1910">
        <f>IFERROR(VLOOKUP("906-477000-210",B:AB,29+8,0),0)</f>
        <v>0</v>
      </c>
      <c r="AM1910">
        <f>IFERROR(VLOOKUP("906-477000-210",B:AB,30+8,0),0)</f>
        <v>0</v>
      </c>
      <c r="AN1910">
        <f>IFERROR(VLOOKUP("906-477000-210",B:AB,31+8,0),0)</f>
        <v>0</v>
      </c>
      <c r="AO1910">
        <f>SUN(INDIRECT(ADDRESS(1909,8)):INDIRECT(ADDRESS(1909,39)))</f>
        <v>0</v>
      </c>
    </row>
    <row r="1911" spans="1:41">
      <c r="H1911" t="s">
        <v>179</v>
      </c>
      <c r="J1911">
        <f>INDIRECT(ADDRESS(1911,9))+INDIRECT(ADDRESS(1909,10))-INDIRECT(ADDRESS(1910,10))</f>
        <v>0</v>
      </c>
      <c r="K1911">
        <f>INDIRECT(ADDRESS(1911,10))+INDIRECT(ADDRESS(1909,11))-INDIRECT(ADDRESS(1910,11))</f>
        <v>0</v>
      </c>
      <c r="L1911">
        <f>INDIRECT(ADDRESS(1911,11))+INDIRECT(ADDRESS(1909,12))-INDIRECT(ADDRESS(1910,12))</f>
        <v>0</v>
      </c>
      <c r="M1911">
        <f>INDIRECT(ADDRESS(1911,12))+INDIRECT(ADDRESS(1909,13))-INDIRECT(ADDRESS(1910,13))</f>
        <v>0</v>
      </c>
      <c r="N1911">
        <f>INDIRECT(ADDRESS(1911,13))+INDIRECT(ADDRESS(1909,14))-INDIRECT(ADDRESS(1910,14))</f>
        <v>0</v>
      </c>
      <c r="O1911">
        <f>INDIRECT(ADDRESS(1911,14))+INDIRECT(ADDRESS(1909,15))-INDIRECT(ADDRESS(1910,15))</f>
        <v>0</v>
      </c>
      <c r="P1911">
        <f>INDIRECT(ADDRESS(1911,15))+INDIRECT(ADDRESS(1909,16))-INDIRECT(ADDRESS(1910,16))</f>
        <v>0</v>
      </c>
      <c r="Q1911">
        <f>INDIRECT(ADDRESS(1911,16))+INDIRECT(ADDRESS(1909,17))-INDIRECT(ADDRESS(1910,17))</f>
        <v>0</v>
      </c>
      <c r="R1911">
        <f>INDIRECT(ADDRESS(1911,17))+INDIRECT(ADDRESS(1909,18))-INDIRECT(ADDRESS(1910,18))</f>
        <v>0</v>
      </c>
      <c r="S1911">
        <f>INDIRECT(ADDRESS(1911,18))+INDIRECT(ADDRESS(1909,19))-INDIRECT(ADDRESS(1910,19))</f>
        <v>0</v>
      </c>
      <c r="T1911">
        <f>INDIRECT(ADDRESS(1911,19))+INDIRECT(ADDRESS(1909,20))-INDIRECT(ADDRESS(1910,20))</f>
        <v>0</v>
      </c>
      <c r="U1911">
        <f>INDIRECT(ADDRESS(1911,20))+INDIRECT(ADDRESS(1909,21))-INDIRECT(ADDRESS(1910,21))</f>
        <v>0</v>
      </c>
      <c r="V1911">
        <f>INDIRECT(ADDRESS(1911,21))+INDIRECT(ADDRESS(1909,22))-INDIRECT(ADDRESS(1910,22))</f>
        <v>0</v>
      </c>
      <c r="W1911">
        <f>INDIRECT(ADDRESS(1911,22))+INDIRECT(ADDRESS(1909,23))-INDIRECT(ADDRESS(1910,23))</f>
        <v>0</v>
      </c>
      <c r="X1911">
        <f>INDIRECT(ADDRESS(1911,23))+INDIRECT(ADDRESS(1909,24))-INDIRECT(ADDRESS(1910,24))</f>
        <v>0</v>
      </c>
      <c r="Y1911">
        <f>INDIRECT(ADDRESS(1911,24))+INDIRECT(ADDRESS(1909,25))-INDIRECT(ADDRESS(1910,25))</f>
        <v>0</v>
      </c>
      <c r="Z1911">
        <f>INDIRECT(ADDRESS(1911,25))+INDIRECT(ADDRESS(1909,26))-INDIRECT(ADDRESS(1910,26))</f>
        <v>0</v>
      </c>
      <c r="AA1911">
        <f>INDIRECT(ADDRESS(1911,26))+INDIRECT(ADDRESS(1909,27))-INDIRECT(ADDRESS(1910,27))</f>
        <v>0</v>
      </c>
      <c r="AB1911">
        <f>INDIRECT(ADDRESS(1911,27))+INDIRECT(ADDRESS(1909,28))-INDIRECT(ADDRESS(1910,28))</f>
        <v>0</v>
      </c>
      <c r="AC1911">
        <f>INDIRECT(ADDRESS(1911,28))+INDIRECT(ADDRESS(1909,29))-INDIRECT(ADDRESS(1910,29))</f>
        <v>0</v>
      </c>
      <c r="AD1911">
        <f>INDIRECT(ADDRESS(1911,29))+INDIRECT(ADDRESS(1909,30))-INDIRECT(ADDRESS(1910,30))</f>
        <v>0</v>
      </c>
      <c r="AE1911">
        <f>INDIRECT(ADDRESS(1911,30))+INDIRECT(ADDRESS(1909,31))-INDIRECT(ADDRESS(1910,31))</f>
        <v>0</v>
      </c>
      <c r="AF1911">
        <f>INDIRECT(ADDRESS(1911,31))+INDIRECT(ADDRESS(1909,32))-INDIRECT(ADDRESS(1910,32))</f>
        <v>0</v>
      </c>
      <c r="AG1911">
        <f>INDIRECT(ADDRESS(1911,32))+INDIRECT(ADDRESS(1909,33))-INDIRECT(ADDRESS(1910,33))</f>
        <v>0</v>
      </c>
      <c r="AH1911">
        <f>INDIRECT(ADDRESS(1911,33))+INDIRECT(ADDRESS(1909,34))-INDIRECT(ADDRESS(1910,34))</f>
        <v>0</v>
      </c>
      <c r="AI1911">
        <f>INDIRECT(ADDRESS(1911,34))+INDIRECT(ADDRESS(1909,35))-INDIRECT(ADDRESS(1910,35))</f>
        <v>0</v>
      </c>
      <c r="AJ1911">
        <f>INDIRECT(ADDRESS(1911,35))+INDIRECT(ADDRESS(1909,36))-INDIRECT(ADDRESS(1910,36))</f>
        <v>0</v>
      </c>
      <c r="AK1911">
        <f>INDIRECT(ADDRESS(1911,36))+INDIRECT(ADDRESS(1909,37))-INDIRECT(ADDRESS(1910,37))</f>
        <v>0</v>
      </c>
      <c r="AL1911">
        <f>INDIRECT(ADDRESS(1911,37))+INDIRECT(ADDRESS(1909,38))-INDIRECT(ADDRESS(1910,38))</f>
        <v>0</v>
      </c>
      <c r="AM1911">
        <f>INDIRECT(ADDRESS(1911,38))+INDIRECT(ADDRESS(1909,39))-INDIRECT(ADDRESS(1910,39))</f>
        <v>0</v>
      </c>
      <c r="AN1911">
        <f>INDIRECT(ADDRESS(1911,39))+INDIRECT(ADDRESS(1909,40))-INDIRECT(ADDRESS(1910,40))</f>
        <v>0</v>
      </c>
      <c r="AO1911">
        <f>SUM(INDIRECT(ADDRESS(1910,8)):INDIRECT(ADDRESS(1910,39)))</f>
        <v>0</v>
      </c>
    </row>
    <row r="1912" spans="1:41">
      <c r="A1912" t="s">
        <v>8</v>
      </c>
      <c r="B1912" t="s">
        <v>160</v>
      </c>
      <c r="C1912" t="s">
        <v>161</v>
      </c>
      <c r="E1912">
        <v>0.003</v>
      </c>
      <c r="I1912" t="s">
        <v>177</v>
      </c>
    </row>
    <row r="1913" spans="1:41">
      <c r="I1913" t="s">
        <v>178</v>
      </c>
      <c r="J1913">
        <f>IFERROR(VLOOKUP("241-007400-000",Out!B:AB,1+8,0),0)</f>
        <v>0</v>
      </c>
      <c r="K1913">
        <f>IFERROR(VLOOKUP("241-007400-000",Out!B:AB,2+8,0),0)</f>
        <v>0</v>
      </c>
      <c r="L1913">
        <f>IFERROR(VLOOKUP("241-007400-000",Out!B:AB,3+8,0),0)</f>
        <v>0</v>
      </c>
      <c r="M1913">
        <f>IFERROR(VLOOKUP("241-007400-000",Out!B:AB,4+8,0),0)</f>
        <v>0</v>
      </c>
      <c r="N1913">
        <f>IFERROR(VLOOKUP("241-007400-000",Out!B:AB,5+8,0),0)</f>
        <v>0</v>
      </c>
      <c r="O1913">
        <f>IFERROR(VLOOKUP("241-007400-000",Out!B:AB,6+8,0),0)</f>
        <v>0</v>
      </c>
      <c r="P1913">
        <f>IFERROR(VLOOKUP("241-007400-000",Out!B:AB,7+8,0),0)</f>
        <v>0</v>
      </c>
      <c r="Q1913">
        <f>IFERROR(VLOOKUP("241-007400-000",Out!B:AB,8+8,0),0)</f>
        <v>0</v>
      </c>
      <c r="R1913">
        <f>IFERROR(VLOOKUP("241-007400-000",Out!B:AB,9+8,0),0)</f>
        <v>0</v>
      </c>
      <c r="S1913">
        <f>IFERROR(VLOOKUP("241-007400-000",Out!B:AB,10+8,0),0)</f>
        <v>0</v>
      </c>
      <c r="T1913">
        <f>IFERROR(VLOOKUP("241-007400-000",Out!B:AB,11+8,0),0)</f>
        <v>0</v>
      </c>
      <c r="U1913">
        <f>IFERROR(VLOOKUP("241-007400-000",Out!B:AB,12+8,0),0)</f>
        <v>0</v>
      </c>
      <c r="V1913">
        <f>IFERROR(VLOOKUP("241-007400-000",Out!B:AB,13+8,0),0)</f>
        <v>0</v>
      </c>
      <c r="W1913">
        <f>IFERROR(VLOOKUP("241-007400-000",Out!B:AB,14+8,0),0)</f>
        <v>0</v>
      </c>
      <c r="X1913">
        <f>IFERROR(VLOOKUP("241-007400-000",Out!B:AB,15+8,0),0)</f>
        <v>0</v>
      </c>
      <c r="Y1913">
        <f>IFERROR(VLOOKUP("241-007400-000",Out!B:AB,16+8,0),0)</f>
        <v>0</v>
      </c>
      <c r="Z1913">
        <f>IFERROR(VLOOKUP("241-007400-000",Out!B:AB,17+8,0),0)</f>
        <v>0</v>
      </c>
      <c r="AA1913">
        <f>IFERROR(VLOOKUP("241-007400-000",Out!B:AB,18+8,0),0)</f>
        <v>0</v>
      </c>
      <c r="AB1913">
        <f>IFERROR(VLOOKUP("241-007400-000",Out!B:AB,19+8,0),0)</f>
        <v>0</v>
      </c>
      <c r="AC1913">
        <f>IFERROR(VLOOKUP("241-007400-000",Out!B:AB,20+8,0),0)</f>
        <v>0</v>
      </c>
      <c r="AD1913">
        <f>IFERROR(VLOOKUP("241-007400-000",Out!B:AB,21+8,0),0)</f>
        <v>0</v>
      </c>
      <c r="AE1913">
        <f>IFERROR(VLOOKUP("241-007400-000",Out!B:AB,22+8,0),0)</f>
        <v>0</v>
      </c>
      <c r="AF1913">
        <f>IFERROR(VLOOKUP("241-007400-000",Out!B:AB,23+8,0),0)</f>
        <v>0</v>
      </c>
      <c r="AG1913">
        <f>IFERROR(VLOOKUP("241-007400-000",Out!B:AB,24+8,0),0)</f>
        <v>0</v>
      </c>
      <c r="AH1913">
        <f>IFERROR(VLOOKUP("241-007400-000",Out!B:AB,25+8,0),0)</f>
        <v>0</v>
      </c>
      <c r="AI1913">
        <f>IFERROR(VLOOKUP("241-007400-000",Out!B:AB,26+8,0),0)</f>
        <v>0</v>
      </c>
      <c r="AJ1913">
        <f>IFERROR(VLOOKUP("241-007400-000",Out!B:AB,27+8,0),0)</f>
        <v>0</v>
      </c>
      <c r="AK1913">
        <f>IFERROR(VLOOKUP("241-007400-000",Out!B:AB,28+8,0),0)</f>
        <v>0</v>
      </c>
      <c r="AL1913">
        <f>IFERROR(VLOOKUP("241-007400-000",Out!B:AB,29+8,0),0)</f>
        <v>0</v>
      </c>
      <c r="AM1913">
        <f>IFERROR(VLOOKUP("241-007400-000",Out!B:AB,30+8,0),0)</f>
        <v>0</v>
      </c>
      <c r="AN1913">
        <f>IFERROR(VLOOKUP("241-007400-000",Out!B:AB,31+8,0),0)</f>
        <v>0</v>
      </c>
      <c r="AO1913">
        <f>SUN(INDIRECT(ADDRESS(1912,8)):INDIRECT(ADDRESS(1912,39)))</f>
        <v>0</v>
      </c>
    </row>
    <row r="1914" spans="1:41">
      <c r="H1914" t="s">
        <v>179</v>
      </c>
      <c r="J1914">
        <f>INDIRECT(ADDRESS(1914,9))+INDIRECT(ADDRESS(1912,10))-INDIRECT(ADDRESS(1913,10))</f>
        <v>0</v>
      </c>
      <c r="K1914">
        <f>INDIRECT(ADDRESS(1914,10))+INDIRECT(ADDRESS(1912,11))-INDIRECT(ADDRESS(1913,11))</f>
        <v>0</v>
      </c>
      <c r="L1914">
        <f>INDIRECT(ADDRESS(1914,11))+INDIRECT(ADDRESS(1912,12))-INDIRECT(ADDRESS(1913,12))</f>
        <v>0</v>
      </c>
      <c r="M1914">
        <f>INDIRECT(ADDRESS(1914,12))+INDIRECT(ADDRESS(1912,13))-INDIRECT(ADDRESS(1913,13))</f>
        <v>0</v>
      </c>
      <c r="N1914">
        <f>INDIRECT(ADDRESS(1914,13))+INDIRECT(ADDRESS(1912,14))-INDIRECT(ADDRESS(1913,14))</f>
        <v>0</v>
      </c>
      <c r="O1914">
        <f>INDIRECT(ADDRESS(1914,14))+INDIRECT(ADDRESS(1912,15))-INDIRECT(ADDRESS(1913,15))</f>
        <v>0</v>
      </c>
      <c r="P1914">
        <f>INDIRECT(ADDRESS(1914,15))+INDIRECT(ADDRESS(1912,16))-INDIRECT(ADDRESS(1913,16))</f>
        <v>0</v>
      </c>
      <c r="Q1914">
        <f>INDIRECT(ADDRESS(1914,16))+INDIRECT(ADDRESS(1912,17))-INDIRECT(ADDRESS(1913,17))</f>
        <v>0</v>
      </c>
      <c r="R1914">
        <f>INDIRECT(ADDRESS(1914,17))+INDIRECT(ADDRESS(1912,18))-INDIRECT(ADDRESS(1913,18))</f>
        <v>0</v>
      </c>
      <c r="S1914">
        <f>INDIRECT(ADDRESS(1914,18))+INDIRECT(ADDRESS(1912,19))-INDIRECT(ADDRESS(1913,19))</f>
        <v>0</v>
      </c>
      <c r="T1914">
        <f>INDIRECT(ADDRESS(1914,19))+INDIRECT(ADDRESS(1912,20))-INDIRECT(ADDRESS(1913,20))</f>
        <v>0</v>
      </c>
      <c r="U1914">
        <f>INDIRECT(ADDRESS(1914,20))+INDIRECT(ADDRESS(1912,21))-INDIRECT(ADDRESS(1913,21))</f>
        <v>0</v>
      </c>
      <c r="V1914">
        <f>INDIRECT(ADDRESS(1914,21))+INDIRECT(ADDRESS(1912,22))-INDIRECT(ADDRESS(1913,22))</f>
        <v>0</v>
      </c>
      <c r="W1914">
        <f>INDIRECT(ADDRESS(1914,22))+INDIRECT(ADDRESS(1912,23))-INDIRECT(ADDRESS(1913,23))</f>
        <v>0</v>
      </c>
      <c r="X1914">
        <f>INDIRECT(ADDRESS(1914,23))+INDIRECT(ADDRESS(1912,24))-INDIRECT(ADDRESS(1913,24))</f>
        <v>0</v>
      </c>
      <c r="Y1914">
        <f>INDIRECT(ADDRESS(1914,24))+INDIRECT(ADDRESS(1912,25))-INDIRECT(ADDRESS(1913,25))</f>
        <v>0</v>
      </c>
      <c r="Z1914">
        <f>INDIRECT(ADDRESS(1914,25))+INDIRECT(ADDRESS(1912,26))-INDIRECT(ADDRESS(1913,26))</f>
        <v>0</v>
      </c>
      <c r="AA1914">
        <f>INDIRECT(ADDRESS(1914,26))+INDIRECT(ADDRESS(1912,27))-INDIRECT(ADDRESS(1913,27))</f>
        <v>0</v>
      </c>
      <c r="AB1914">
        <f>INDIRECT(ADDRESS(1914,27))+INDIRECT(ADDRESS(1912,28))-INDIRECT(ADDRESS(1913,28))</f>
        <v>0</v>
      </c>
      <c r="AC1914">
        <f>INDIRECT(ADDRESS(1914,28))+INDIRECT(ADDRESS(1912,29))-INDIRECT(ADDRESS(1913,29))</f>
        <v>0</v>
      </c>
      <c r="AD1914">
        <f>INDIRECT(ADDRESS(1914,29))+INDIRECT(ADDRESS(1912,30))-INDIRECT(ADDRESS(1913,30))</f>
        <v>0</v>
      </c>
      <c r="AE1914">
        <f>INDIRECT(ADDRESS(1914,30))+INDIRECT(ADDRESS(1912,31))-INDIRECT(ADDRESS(1913,31))</f>
        <v>0</v>
      </c>
      <c r="AF1914">
        <f>INDIRECT(ADDRESS(1914,31))+INDIRECT(ADDRESS(1912,32))-INDIRECT(ADDRESS(1913,32))</f>
        <v>0</v>
      </c>
      <c r="AG1914">
        <f>INDIRECT(ADDRESS(1914,32))+INDIRECT(ADDRESS(1912,33))-INDIRECT(ADDRESS(1913,33))</f>
        <v>0</v>
      </c>
      <c r="AH1914">
        <f>INDIRECT(ADDRESS(1914,33))+INDIRECT(ADDRESS(1912,34))-INDIRECT(ADDRESS(1913,34))</f>
        <v>0</v>
      </c>
      <c r="AI1914">
        <f>INDIRECT(ADDRESS(1914,34))+INDIRECT(ADDRESS(1912,35))-INDIRECT(ADDRESS(1913,35))</f>
        <v>0</v>
      </c>
      <c r="AJ1914">
        <f>INDIRECT(ADDRESS(1914,35))+INDIRECT(ADDRESS(1912,36))-INDIRECT(ADDRESS(1913,36))</f>
        <v>0</v>
      </c>
      <c r="AK1914">
        <f>INDIRECT(ADDRESS(1914,36))+INDIRECT(ADDRESS(1912,37))-INDIRECT(ADDRESS(1913,37))</f>
        <v>0</v>
      </c>
      <c r="AL1914">
        <f>INDIRECT(ADDRESS(1914,37))+INDIRECT(ADDRESS(1912,38))-INDIRECT(ADDRESS(1913,38))</f>
        <v>0</v>
      </c>
      <c r="AM1914">
        <f>INDIRECT(ADDRESS(1914,38))+INDIRECT(ADDRESS(1912,39))-INDIRECT(ADDRESS(1913,39))</f>
        <v>0</v>
      </c>
      <c r="AN1914">
        <f>INDIRECT(ADDRESS(1914,39))+INDIRECT(ADDRESS(1912,40))-INDIRECT(ADDRESS(1913,40))</f>
        <v>0</v>
      </c>
      <c r="AO1914">
        <f>SUM(INDIRECT(ADDRESS(1913,8)):INDIRECT(ADDRESS(1913,39)))</f>
        <v>0</v>
      </c>
    </row>
    <row r="1915" spans="1:41">
      <c r="A1915" t="s">
        <v>180</v>
      </c>
      <c r="B1915" t="s">
        <v>853</v>
      </c>
      <c r="C1915" t="s">
        <v>854</v>
      </c>
      <c r="E1915">
        <v>1</v>
      </c>
      <c r="I1915" t="s">
        <v>177</v>
      </c>
    </row>
    <row r="1916" spans="1:41">
      <c r="I1916" t="s">
        <v>178</v>
      </c>
      <c r="J1916">
        <f>IFERROR(VLOOKUP("241-007400-000",B:AB,1+8,0),0)</f>
        <v>0</v>
      </c>
      <c r="K1916">
        <f>IFERROR(VLOOKUP("241-007400-000",B:AB,2+8,0),0)</f>
        <v>0</v>
      </c>
      <c r="L1916">
        <f>IFERROR(VLOOKUP("241-007400-000",B:AB,3+8,0),0)</f>
        <v>0</v>
      </c>
      <c r="M1916">
        <f>IFERROR(VLOOKUP("241-007400-000",B:AB,4+8,0),0)</f>
        <v>0</v>
      </c>
      <c r="N1916">
        <f>IFERROR(VLOOKUP("241-007400-000",B:AB,5+8,0),0)</f>
        <v>0</v>
      </c>
      <c r="O1916">
        <f>IFERROR(VLOOKUP("241-007400-000",B:AB,6+8,0),0)</f>
        <v>0</v>
      </c>
      <c r="P1916">
        <f>IFERROR(VLOOKUP("241-007400-000",B:AB,7+8,0),0)</f>
        <v>0</v>
      </c>
      <c r="Q1916">
        <f>IFERROR(VLOOKUP("241-007400-000",B:AB,8+8,0),0)</f>
        <v>0</v>
      </c>
      <c r="R1916">
        <f>IFERROR(VLOOKUP("241-007400-000",B:AB,9+8,0),0)</f>
        <v>0</v>
      </c>
      <c r="S1916">
        <f>IFERROR(VLOOKUP("241-007400-000",B:AB,10+8,0),0)</f>
        <v>0</v>
      </c>
      <c r="T1916">
        <f>IFERROR(VLOOKUP("241-007400-000",B:AB,11+8,0),0)</f>
        <v>0</v>
      </c>
      <c r="U1916">
        <f>IFERROR(VLOOKUP("241-007400-000",B:AB,12+8,0),0)</f>
        <v>0</v>
      </c>
      <c r="V1916">
        <f>IFERROR(VLOOKUP("241-007400-000",B:AB,13+8,0),0)</f>
        <v>0</v>
      </c>
      <c r="W1916">
        <f>IFERROR(VLOOKUP("241-007400-000",B:AB,14+8,0),0)</f>
        <v>0</v>
      </c>
      <c r="X1916">
        <f>IFERROR(VLOOKUP("241-007400-000",B:AB,15+8,0),0)</f>
        <v>0</v>
      </c>
      <c r="Y1916">
        <f>IFERROR(VLOOKUP("241-007400-000",B:AB,16+8,0),0)</f>
        <v>0</v>
      </c>
      <c r="Z1916">
        <f>IFERROR(VLOOKUP("241-007400-000",B:AB,17+8,0),0)</f>
        <v>0</v>
      </c>
      <c r="AA1916">
        <f>IFERROR(VLOOKUP("241-007400-000",B:AB,18+8,0),0)</f>
        <v>0</v>
      </c>
      <c r="AB1916">
        <f>IFERROR(VLOOKUP("241-007400-000",B:AB,19+8,0),0)</f>
        <v>0</v>
      </c>
      <c r="AC1916">
        <f>IFERROR(VLOOKUP("241-007400-000",B:AB,20+8,0),0)</f>
        <v>0</v>
      </c>
      <c r="AD1916">
        <f>IFERROR(VLOOKUP("241-007400-000",B:AB,21+8,0),0)</f>
        <v>0</v>
      </c>
      <c r="AE1916">
        <f>IFERROR(VLOOKUP("241-007400-000",B:AB,22+8,0),0)</f>
        <v>0</v>
      </c>
      <c r="AF1916">
        <f>IFERROR(VLOOKUP("241-007400-000",B:AB,23+8,0),0)</f>
        <v>0</v>
      </c>
      <c r="AG1916">
        <f>IFERROR(VLOOKUP("241-007400-000",B:AB,24+8,0),0)</f>
        <v>0</v>
      </c>
      <c r="AH1916">
        <f>IFERROR(VLOOKUP("241-007400-000",B:AB,25+8,0),0)</f>
        <v>0</v>
      </c>
      <c r="AI1916">
        <f>IFERROR(VLOOKUP("241-007400-000",B:AB,26+8,0),0)</f>
        <v>0</v>
      </c>
      <c r="AJ1916">
        <f>IFERROR(VLOOKUP("241-007400-000",B:AB,27+8,0),0)</f>
        <v>0</v>
      </c>
      <c r="AK1916">
        <f>IFERROR(VLOOKUP("241-007400-000",B:AB,28+8,0),0)</f>
        <v>0</v>
      </c>
      <c r="AL1916">
        <f>IFERROR(VLOOKUP("241-007400-000",B:AB,29+8,0),0)</f>
        <v>0</v>
      </c>
      <c r="AM1916">
        <f>IFERROR(VLOOKUP("241-007400-000",B:AB,30+8,0),0)</f>
        <v>0</v>
      </c>
      <c r="AN1916">
        <f>IFERROR(VLOOKUP("241-007400-000",B:AB,31+8,0),0)</f>
        <v>0</v>
      </c>
      <c r="AO1916">
        <f>SUN(INDIRECT(ADDRESS(1915,8)):INDIRECT(ADDRESS(1915,39)))</f>
        <v>0</v>
      </c>
    </row>
    <row r="1917" spans="1:41">
      <c r="H1917" t="s">
        <v>179</v>
      </c>
      <c r="J1917">
        <f>INDIRECT(ADDRESS(1917,9))+INDIRECT(ADDRESS(1915,10))-INDIRECT(ADDRESS(1916,10))</f>
        <v>0</v>
      </c>
      <c r="K1917">
        <f>INDIRECT(ADDRESS(1917,10))+INDIRECT(ADDRESS(1915,11))-INDIRECT(ADDRESS(1916,11))</f>
        <v>0</v>
      </c>
      <c r="L1917">
        <f>INDIRECT(ADDRESS(1917,11))+INDIRECT(ADDRESS(1915,12))-INDIRECT(ADDRESS(1916,12))</f>
        <v>0</v>
      </c>
      <c r="M1917">
        <f>INDIRECT(ADDRESS(1917,12))+INDIRECT(ADDRESS(1915,13))-INDIRECT(ADDRESS(1916,13))</f>
        <v>0</v>
      </c>
      <c r="N1917">
        <f>INDIRECT(ADDRESS(1917,13))+INDIRECT(ADDRESS(1915,14))-INDIRECT(ADDRESS(1916,14))</f>
        <v>0</v>
      </c>
      <c r="O1917">
        <f>INDIRECT(ADDRESS(1917,14))+INDIRECT(ADDRESS(1915,15))-INDIRECT(ADDRESS(1916,15))</f>
        <v>0</v>
      </c>
      <c r="P1917">
        <f>INDIRECT(ADDRESS(1917,15))+INDIRECT(ADDRESS(1915,16))-INDIRECT(ADDRESS(1916,16))</f>
        <v>0</v>
      </c>
      <c r="Q1917">
        <f>INDIRECT(ADDRESS(1917,16))+INDIRECT(ADDRESS(1915,17))-INDIRECT(ADDRESS(1916,17))</f>
        <v>0</v>
      </c>
      <c r="R1917">
        <f>INDIRECT(ADDRESS(1917,17))+INDIRECT(ADDRESS(1915,18))-INDIRECT(ADDRESS(1916,18))</f>
        <v>0</v>
      </c>
      <c r="S1917">
        <f>INDIRECT(ADDRESS(1917,18))+INDIRECT(ADDRESS(1915,19))-INDIRECT(ADDRESS(1916,19))</f>
        <v>0</v>
      </c>
      <c r="T1917">
        <f>INDIRECT(ADDRESS(1917,19))+INDIRECT(ADDRESS(1915,20))-INDIRECT(ADDRESS(1916,20))</f>
        <v>0</v>
      </c>
      <c r="U1917">
        <f>INDIRECT(ADDRESS(1917,20))+INDIRECT(ADDRESS(1915,21))-INDIRECT(ADDRESS(1916,21))</f>
        <v>0</v>
      </c>
      <c r="V1917">
        <f>INDIRECT(ADDRESS(1917,21))+INDIRECT(ADDRESS(1915,22))-INDIRECT(ADDRESS(1916,22))</f>
        <v>0</v>
      </c>
      <c r="W1917">
        <f>INDIRECT(ADDRESS(1917,22))+INDIRECT(ADDRESS(1915,23))-INDIRECT(ADDRESS(1916,23))</f>
        <v>0</v>
      </c>
      <c r="X1917">
        <f>INDIRECT(ADDRESS(1917,23))+INDIRECT(ADDRESS(1915,24))-INDIRECT(ADDRESS(1916,24))</f>
        <v>0</v>
      </c>
      <c r="Y1917">
        <f>INDIRECT(ADDRESS(1917,24))+INDIRECT(ADDRESS(1915,25))-INDIRECT(ADDRESS(1916,25))</f>
        <v>0</v>
      </c>
      <c r="Z1917">
        <f>INDIRECT(ADDRESS(1917,25))+INDIRECT(ADDRESS(1915,26))-INDIRECT(ADDRESS(1916,26))</f>
        <v>0</v>
      </c>
      <c r="AA1917">
        <f>INDIRECT(ADDRESS(1917,26))+INDIRECT(ADDRESS(1915,27))-INDIRECT(ADDRESS(1916,27))</f>
        <v>0</v>
      </c>
      <c r="AB1917">
        <f>INDIRECT(ADDRESS(1917,27))+INDIRECT(ADDRESS(1915,28))-INDIRECT(ADDRESS(1916,28))</f>
        <v>0</v>
      </c>
      <c r="AC1917">
        <f>INDIRECT(ADDRESS(1917,28))+INDIRECT(ADDRESS(1915,29))-INDIRECT(ADDRESS(1916,29))</f>
        <v>0</v>
      </c>
      <c r="AD1917">
        <f>INDIRECT(ADDRESS(1917,29))+INDIRECT(ADDRESS(1915,30))-INDIRECT(ADDRESS(1916,30))</f>
        <v>0</v>
      </c>
      <c r="AE1917">
        <f>INDIRECT(ADDRESS(1917,30))+INDIRECT(ADDRESS(1915,31))-INDIRECT(ADDRESS(1916,31))</f>
        <v>0</v>
      </c>
      <c r="AF1917">
        <f>INDIRECT(ADDRESS(1917,31))+INDIRECT(ADDRESS(1915,32))-INDIRECT(ADDRESS(1916,32))</f>
        <v>0</v>
      </c>
      <c r="AG1917">
        <f>INDIRECT(ADDRESS(1917,32))+INDIRECT(ADDRESS(1915,33))-INDIRECT(ADDRESS(1916,33))</f>
        <v>0</v>
      </c>
      <c r="AH1917">
        <f>INDIRECT(ADDRESS(1917,33))+INDIRECT(ADDRESS(1915,34))-INDIRECT(ADDRESS(1916,34))</f>
        <v>0</v>
      </c>
      <c r="AI1917">
        <f>INDIRECT(ADDRESS(1917,34))+INDIRECT(ADDRESS(1915,35))-INDIRECT(ADDRESS(1916,35))</f>
        <v>0</v>
      </c>
      <c r="AJ1917">
        <f>INDIRECT(ADDRESS(1917,35))+INDIRECT(ADDRESS(1915,36))-INDIRECT(ADDRESS(1916,36))</f>
        <v>0</v>
      </c>
      <c r="AK1917">
        <f>INDIRECT(ADDRESS(1917,36))+INDIRECT(ADDRESS(1915,37))-INDIRECT(ADDRESS(1916,37))</f>
        <v>0</v>
      </c>
      <c r="AL1917">
        <f>INDIRECT(ADDRESS(1917,37))+INDIRECT(ADDRESS(1915,38))-INDIRECT(ADDRESS(1916,38))</f>
        <v>0</v>
      </c>
      <c r="AM1917">
        <f>INDIRECT(ADDRESS(1917,38))+INDIRECT(ADDRESS(1915,39))-INDIRECT(ADDRESS(1916,39))</f>
        <v>0</v>
      </c>
      <c r="AN1917">
        <f>INDIRECT(ADDRESS(1917,39))+INDIRECT(ADDRESS(1915,40))-INDIRECT(ADDRESS(1916,40))</f>
        <v>0</v>
      </c>
      <c r="AO1917">
        <f>SUM(INDIRECT(ADDRESS(1916,8)):INDIRECT(ADDRESS(1916,39)))</f>
        <v>0</v>
      </c>
    </row>
    <row r="1918" spans="1:41">
      <c r="A1918" t="s">
        <v>185</v>
      </c>
      <c r="B1918" t="s">
        <v>750</v>
      </c>
      <c r="C1918" t="s">
        <v>855</v>
      </c>
      <c r="E1918">
        <v>0.0011</v>
      </c>
      <c r="I1918" t="s">
        <v>177</v>
      </c>
    </row>
    <row r="1919" spans="1:41">
      <c r="I1919" t="s">
        <v>178</v>
      </c>
      <c r="J1919">
        <f>IFERROR(VLOOKUP("241-007400-000",B:AB,1+8,0),0)</f>
        <v>0</v>
      </c>
      <c r="K1919">
        <f>IFERROR(VLOOKUP("241-007400-000",B:AB,2+8,0),0)</f>
        <v>0</v>
      </c>
      <c r="L1919">
        <f>IFERROR(VLOOKUP("241-007400-000",B:AB,3+8,0),0)</f>
        <v>0</v>
      </c>
      <c r="M1919">
        <f>IFERROR(VLOOKUP("241-007400-000",B:AB,4+8,0),0)</f>
        <v>0</v>
      </c>
      <c r="N1919">
        <f>IFERROR(VLOOKUP("241-007400-000",B:AB,5+8,0),0)</f>
        <v>0</v>
      </c>
      <c r="O1919">
        <f>IFERROR(VLOOKUP("241-007400-000",B:AB,6+8,0),0)</f>
        <v>0</v>
      </c>
      <c r="P1919">
        <f>IFERROR(VLOOKUP("241-007400-000",B:AB,7+8,0),0)</f>
        <v>0</v>
      </c>
      <c r="Q1919">
        <f>IFERROR(VLOOKUP("241-007400-000",B:AB,8+8,0),0)</f>
        <v>0</v>
      </c>
      <c r="R1919">
        <f>IFERROR(VLOOKUP("241-007400-000",B:AB,9+8,0),0)</f>
        <v>0</v>
      </c>
      <c r="S1919">
        <f>IFERROR(VLOOKUP("241-007400-000",B:AB,10+8,0),0)</f>
        <v>0</v>
      </c>
      <c r="T1919">
        <f>IFERROR(VLOOKUP("241-007400-000",B:AB,11+8,0),0)</f>
        <v>0</v>
      </c>
      <c r="U1919">
        <f>IFERROR(VLOOKUP("241-007400-000",B:AB,12+8,0),0)</f>
        <v>0</v>
      </c>
      <c r="V1919">
        <f>IFERROR(VLOOKUP("241-007400-000",B:AB,13+8,0),0)</f>
        <v>0</v>
      </c>
      <c r="W1919">
        <f>IFERROR(VLOOKUP("241-007400-000",B:AB,14+8,0),0)</f>
        <v>0</v>
      </c>
      <c r="X1919">
        <f>IFERROR(VLOOKUP("241-007400-000",B:AB,15+8,0),0)</f>
        <v>0</v>
      </c>
      <c r="Y1919">
        <f>IFERROR(VLOOKUP("241-007400-000",B:AB,16+8,0),0)</f>
        <v>0</v>
      </c>
      <c r="Z1919">
        <f>IFERROR(VLOOKUP("241-007400-000",B:AB,17+8,0),0)</f>
        <v>0</v>
      </c>
      <c r="AA1919">
        <f>IFERROR(VLOOKUP("241-007400-000",B:AB,18+8,0),0)</f>
        <v>0</v>
      </c>
      <c r="AB1919">
        <f>IFERROR(VLOOKUP("241-007400-000",B:AB,19+8,0),0)</f>
        <v>0</v>
      </c>
      <c r="AC1919">
        <f>IFERROR(VLOOKUP("241-007400-000",B:AB,20+8,0),0)</f>
        <v>0</v>
      </c>
      <c r="AD1919">
        <f>IFERROR(VLOOKUP("241-007400-000",B:AB,21+8,0),0)</f>
        <v>0</v>
      </c>
      <c r="AE1919">
        <f>IFERROR(VLOOKUP("241-007400-000",B:AB,22+8,0),0)</f>
        <v>0</v>
      </c>
      <c r="AF1919">
        <f>IFERROR(VLOOKUP("241-007400-000",B:AB,23+8,0),0)</f>
        <v>0</v>
      </c>
      <c r="AG1919">
        <f>IFERROR(VLOOKUP("241-007400-000",B:AB,24+8,0),0)</f>
        <v>0</v>
      </c>
      <c r="AH1919">
        <f>IFERROR(VLOOKUP("241-007400-000",B:AB,25+8,0),0)</f>
        <v>0</v>
      </c>
      <c r="AI1919">
        <f>IFERROR(VLOOKUP("241-007400-000",B:AB,26+8,0),0)</f>
        <v>0</v>
      </c>
      <c r="AJ1919">
        <f>IFERROR(VLOOKUP("241-007400-000",B:AB,27+8,0),0)</f>
        <v>0</v>
      </c>
      <c r="AK1919">
        <f>IFERROR(VLOOKUP("241-007400-000",B:AB,28+8,0),0)</f>
        <v>0</v>
      </c>
      <c r="AL1919">
        <f>IFERROR(VLOOKUP("241-007400-000",B:AB,29+8,0),0)</f>
        <v>0</v>
      </c>
      <c r="AM1919">
        <f>IFERROR(VLOOKUP("241-007400-000",B:AB,30+8,0),0)</f>
        <v>0</v>
      </c>
      <c r="AN1919">
        <f>IFERROR(VLOOKUP("241-007400-000",B:AB,31+8,0),0)</f>
        <v>0</v>
      </c>
      <c r="AO1919">
        <f>SUN(INDIRECT(ADDRESS(1918,8)):INDIRECT(ADDRESS(1918,39)))</f>
        <v>0</v>
      </c>
    </row>
    <row r="1920" spans="1:41">
      <c r="H1920" t="s">
        <v>179</v>
      </c>
      <c r="J1920">
        <f>INDIRECT(ADDRESS(1920,9))+INDIRECT(ADDRESS(1918,10))-INDIRECT(ADDRESS(1919,10))</f>
        <v>0</v>
      </c>
      <c r="K1920">
        <f>INDIRECT(ADDRESS(1920,10))+INDIRECT(ADDRESS(1918,11))-INDIRECT(ADDRESS(1919,11))</f>
        <v>0</v>
      </c>
      <c r="L1920">
        <f>INDIRECT(ADDRESS(1920,11))+INDIRECT(ADDRESS(1918,12))-INDIRECT(ADDRESS(1919,12))</f>
        <v>0</v>
      </c>
      <c r="M1920">
        <f>INDIRECT(ADDRESS(1920,12))+INDIRECT(ADDRESS(1918,13))-INDIRECT(ADDRESS(1919,13))</f>
        <v>0</v>
      </c>
      <c r="N1920">
        <f>INDIRECT(ADDRESS(1920,13))+INDIRECT(ADDRESS(1918,14))-INDIRECT(ADDRESS(1919,14))</f>
        <v>0</v>
      </c>
      <c r="O1920">
        <f>INDIRECT(ADDRESS(1920,14))+INDIRECT(ADDRESS(1918,15))-INDIRECT(ADDRESS(1919,15))</f>
        <v>0</v>
      </c>
      <c r="P1920">
        <f>INDIRECT(ADDRESS(1920,15))+INDIRECT(ADDRESS(1918,16))-INDIRECT(ADDRESS(1919,16))</f>
        <v>0</v>
      </c>
      <c r="Q1920">
        <f>INDIRECT(ADDRESS(1920,16))+INDIRECT(ADDRESS(1918,17))-INDIRECT(ADDRESS(1919,17))</f>
        <v>0</v>
      </c>
      <c r="R1920">
        <f>INDIRECT(ADDRESS(1920,17))+INDIRECT(ADDRESS(1918,18))-INDIRECT(ADDRESS(1919,18))</f>
        <v>0</v>
      </c>
      <c r="S1920">
        <f>INDIRECT(ADDRESS(1920,18))+INDIRECT(ADDRESS(1918,19))-INDIRECT(ADDRESS(1919,19))</f>
        <v>0</v>
      </c>
      <c r="T1920">
        <f>INDIRECT(ADDRESS(1920,19))+INDIRECT(ADDRESS(1918,20))-INDIRECT(ADDRESS(1919,20))</f>
        <v>0</v>
      </c>
      <c r="U1920">
        <f>INDIRECT(ADDRESS(1920,20))+INDIRECT(ADDRESS(1918,21))-INDIRECT(ADDRESS(1919,21))</f>
        <v>0</v>
      </c>
      <c r="V1920">
        <f>INDIRECT(ADDRESS(1920,21))+INDIRECT(ADDRESS(1918,22))-INDIRECT(ADDRESS(1919,22))</f>
        <v>0</v>
      </c>
      <c r="W1920">
        <f>INDIRECT(ADDRESS(1920,22))+INDIRECT(ADDRESS(1918,23))-INDIRECT(ADDRESS(1919,23))</f>
        <v>0</v>
      </c>
      <c r="X1920">
        <f>INDIRECT(ADDRESS(1920,23))+INDIRECT(ADDRESS(1918,24))-INDIRECT(ADDRESS(1919,24))</f>
        <v>0</v>
      </c>
      <c r="Y1920">
        <f>INDIRECT(ADDRESS(1920,24))+INDIRECT(ADDRESS(1918,25))-INDIRECT(ADDRESS(1919,25))</f>
        <v>0</v>
      </c>
      <c r="Z1920">
        <f>INDIRECT(ADDRESS(1920,25))+INDIRECT(ADDRESS(1918,26))-INDIRECT(ADDRESS(1919,26))</f>
        <v>0</v>
      </c>
      <c r="AA1920">
        <f>INDIRECT(ADDRESS(1920,26))+INDIRECT(ADDRESS(1918,27))-INDIRECT(ADDRESS(1919,27))</f>
        <v>0</v>
      </c>
      <c r="AB1920">
        <f>INDIRECT(ADDRESS(1920,27))+INDIRECT(ADDRESS(1918,28))-INDIRECT(ADDRESS(1919,28))</f>
        <v>0</v>
      </c>
      <c r="AC1920">
        <f>INDIRECT(ADDRESS(1920,28))+INDIRECT(ADDRESS(1918,29))-INDIRECT(ADDRESS(1919,29))</f>
        <v>0</v>
      </c>
      <c r="AD1920">
        <f>INDIRECT(ADDRESS(1920,29))+INDIRECT(ADDRESS(1918,30))-INDIRECT(ADDRESS(1919,30))</f>
        <v>0</v>
      </c>
      <c r="AE1920">
        <f>INDIRECT(ADDRESS(1920,30))+INDIRECT(ADDRESS(1918,31))-INDIRECT(ADDRESS(1919,31))</f>
        <v>0</v>
      </c>
      <c r="AF1920">
        <f>INDIRECT(ADDRESS(1920,31))+INDIRECT(ADDRESS(1918,32))-INDIRECT(ADDRESS(1919,32))</f>
        <v>0</v>
      </c>
      <c r="AG1920">
        <f>INDIRECT(ADDRESS(1920,32))+INDIRECT(ADDRESS(1918,33))-INDIRECT(ADDRESS(1919,33))</f>
        <v>0</v>
      </c>
      <c r="AH1920">
        <f>INDIRECT(ADDRESS(1920,33))+INDIRECT(ADDRESS(1918,34))-INDIRECT(ADDRESS(1919,34))</f>
        <v>0</v>
      </c>
      <c r="AI1920">
        <f>INDIRECT(ADDRESS(1920,34))+INDIRECT(ADDRESS(1918,35))-INDIRECT(ADDRESS(1919,35))</f>
        <v>0</v>
      </c>
      <c r="AJ1920">
        <f>INDIRECT(ADDRESS(1920,35))+INDIRECT(ADDRESS(1918,36))-INDIRECT(ADDRESS(1919,36))</f>
        <v>0</v>
      </c>
      <c r="AK1920">
        <f>INDIRECT(ADDRESS(1920,36))+INDIRECT(ADDRESS(1918,37))-INDIRECT(ADDRESS(1919,37))</f>
        <v>0</v>
      </c>
      <c r="AL1920">
        <f>INDIRECT(ADDRESS(1920,37))+INDIRECT(ADDRESS(1918,38))-INDIRECT(ADDRESS(1919,38))</f>
        <v>0</v>
      </c>
      <c r="AM1920">
        <f>INDIRECT(ADDRESS(1920,38))+INDIRECT(ADDRESS(1918,39))-INDIRECT(ADDRESS(1919,39))</f>
        <v>0</v>
      </c>
      <c r="AN1920">
        <f>INDIRECT(ADDRESS(1920,39))+INDIRECT(ADDRESS(1918,40))-INDIRECT(ADDRESS(1919,40))</f>
        <v>0</v>
      </c>
      <c r="AO1920">
        <f>SUM(INDIRECT(ADDRESS(1919,8)):INDIRECT(ADDRESS(1919,39)))</f>
        <v>0</v>
      </c>
    </row>
    <row r="1921" spans="1:41">
      <c r="A1921" t="s">
        <v>185</v>
      </c>
      <c r="B1921" t="s">
        <v>162</v>
      </c>
      <c r="C1921" t="s">
        <v>856</v>
      </c>
      <c r="E1921">
        <v>1</v>
      </c>
      <c r="I1921" t="s">
        <v>177</v>
      </c>
    </row>
    <row r="1922" spans="1:41">
      <c r="I1922" t="s">
        <v>178</v>
      </c>
      <c r="J1922">
        <f>IFERROR(VLOOKUP("241-007400-000",B:AB,1+8,0),0)</f>
        <v>0</v>
      </c>
      <c r="K1922">
        <f>IFERROR(VLOOKUP("241-007400-000",B:AB,2+8,0),0)</f>
        <v>0</v>
      </c>
      <c r="L1922">
        <f>IFERROR(VLOOKUP("241-007400-000",B:AB,3+8,0),0)</f>
        <v>0</v>
      </c>
      <c r="M1922">
        <f>IFERROR(VLOOKUP("241-007400-000",B:AB,4+8,0),0)</f>
        <v>0</v>
      </c>
      <c r="N1922">
        <f>IFERROR(VLOOKUP("241-007400-000",B:AB,5+8,0),0)</f>
        <v>0</v>
      </c>
      <c r="O1922">
        <f>IFERROR(VLOOKUP("241-007400-000",B:AB,6+8,0),0)</f>
        <v>0</v>
      </c>
      <c r="P1922">
        <f>IFERROR(VLOOKUP("241-007400-000",B:AB,7+8,0),0)</f>
        <v>0</v>
      </c>
      <c r="Q1922">
        <f>IFERROR(VLOOKUP("241-007400-000",B:AB,8+8,0),0)</f>
        <v>0</v>
      </c>
      <c r="R1922">
        <f>IFERROR(VLOOKUP("241-007400-000",B:AB,9+8,0),0)</f>
        <v>0</v>
      </c>
      <c r="S1922">
        <f>IFERROR(VLOOKUP("241-007400-000",B:AB,10+8,0),0)</f>
        <v>0</v>
      </c>
      <c r="T1922">
        <f>IFERROR(VLOOKUP("241-007400-000",B:AB,11+8,0),0)</f>
        <v>0</v>
      </c>
      <c r="U1922">
        <f>IFERROR(VLOOKUP("241-007400-000",B:AB,12+8,0),0)</f>
        <v>0</v>
      </c>
      <c r="V1922">
        <f>IFERROR(VLOOKUP("241-007400-000",B:AB,13+8,0),0)</f>
        <v>0</v>
      </c>
      <c r="W1922">
        <f>IFERROR(VLOOKUP("241-007400-000",B:AB,14+8,0),0)</f>
        <v>0</v>
      </c>
      <c r="X1922">
        <f>IFERROR(VLOOKUP("241-007400-000",B:AB,15+8,0),0)</f>
        <v>0</v>
      </c>
      <c r="Y1922">
        <f>IFERROR(VLOOKUP("241-007400-000",B:AB,16+8,0),0)</f>
        <v>0</v>
      </c>
      <c r="Z1922">
        <f>IFERROR(VLOOKUP("241-007400-000",B:AB,17+8,0),0)</f>
        <v>0</v>
      </c>
      <c r="AA1922">
        <f>IFERROR(VLOOKUP("241-007400-000",B:AB,18+8,0),0)</f>
        <v>0</v>
      </c>
      <c r="AB1922">
        <f>IFERROR(VLOOKUP("241-007400-000",B:AB,19+8,0),0)</f>
        <v>0</v>
      </c>
      <c r="AC1922">
        <f>IFERROR(VLOOKUP("241-007400-000",B:AB,20+8,0),0)</f>
        <v>0</v>
      </c>
      <c r="AD1922">
        <f>IFERROR(VLOOKUP("241-007400-000",B:AB,21+8,0),0)</f>
        <v>0</v>
      </c>
      <c r="AE1922">
        <f>IFERROR(VLOOKUP("241-007400-000",B:AB,22+8,0),0)</f>
        <v>0</v>
      </c>
      <c r="AF1922">
        <f>IFERROR(VLOOKUP("241-007400-000",B:AB,23+8,0),0)</f>
        <v>0</v>
      </c>
      <c r="AG1922">
        <f>IFERROR(VLOOKUP("241-007400-000",B:AB,24+8,0),0)</f>
        <v>0</v>
      </c>
      <c r="AH1922">
        <f>IFERROR(VLOOKUP("241-007400-000",B:AB,25+8,0),0)</f>
        <v>0</v>
      </c>
      <c r="AI1922">
        <f>IFERROR(VLOOKUP("241-007400-000",B:AB,26+8,0),0)</f>
        <v>0</v>
      </c>
      <c r="AJ1922">
        <f>IFERROR(VLOOKUP("241-007400-000",B:AB,27+8,0),0)</f>
        <v>0</v>
      </c>
      <c r="AK1922">
        <f>IFERROR(VLOOKUP("241-007400-000",B:AB,28+8,0),0)</f>
        <v>0</v>
      </c>
      <c r="AL1922">
        <f>IFERROR(VLOOKUP("241-007400-000",B:AB,29+8,0),0)</f>
        <v>0</v>
      </c>
      <c r="AM1922">
        <f>IFERROR(VLOOKUP("241-007400-000",B:AB,30+8,0),0)</f>
        <v>0</v>
      </c>
      <c r="AN1922">
        <f>IFERROR(VLOOKUP("241-007400-000",B:AB,31+8,0),0)</f>
        <v>0</v>
      </c>
      <c r="AO1922">
        <f>SUN(INDIRECT(ADDRESS(1921,8)):INDIRECT(ADDRESS(1921,39)))</f>
        <v>0</v>
      </c>
    </row>
    <row r="1923" spans="1:41">
      <c r="H1923" t="s">
        <v>179</v>
      </c>
      <c r="J1923">
        <f>INDIRECT(ADDRESS(1923,9))+INDIRECT(ADDRESS(1921,10))-INDIRECT(ADDRESS(1922,10))</f>
        <v>0</v>
      </c>
      <c r="K1923">
        <f>INDIRECT(ADDRESS(1923,10))+INDIRECT(ADDRESS(1921,11))-INDIRECT(ADDRESS(1922,11))</f>
        <v>0</v>
      </c>
      <c r="L1923">
        <f>INDIRECT(ADDRESS(1923,11))+INDIRECT(ADDRESS(1921,12))-INDIRECT(ADDRESS(1922,12))</f>
        <v>0</v>
      </c>
      <c r="M1923">
        <f>INDIRECT(ADDRESS(1923,12))+INDIRECT(ADDRESS(1921,13))-INDIRECT(ADDRESS(1922,13))</f>
        <v>0</v>
      </c>
      <c r="N1923">
        <f>INDIRECT(ADDRESS(1923,13))+INDIRECT(ADDRESS(1921,14))-INDIRECT(ADDRESS(1922,14))</f>
        <v>0</v>
      </c>
      <c r="O1923">
        <f>INDIRECT(ADDRESS(1923,14))+INDIRECT(ADDRESS(1921,15))-INDIRECT(ADDRESS(1922,15))</f>
        <v>0</v>
      </c>
      <c r="P1923">
        <f>INDIRECT(ADDRESS(1923,15))+INDIRECT(ADDRESS(1921,16))-INDIRECT(ADDRESS(1922,16))</f>
        <v>0</v>
      </c>
      <c r="Q1923">
        <f>INDIRECT(ADDRESS(1923,16))+INDIRECT(ADDRESS(1921,17))-INDIRECT(ADDRESS(1922,17))</f>
        <v>0</v>
      </c>
      <c r="R1923">
        <f>INDIRECT(ADDRESS(1923,17))+INDIRECT(ADDRESS(1921,18))-INDIRECT(ADDRESS(1922,18))</f>
        <v>0</v>
      </c>
      <c r="S1923">
        <f>INDIRECT(ADDRESS(1923,18))+INDIRECT(ADDRESS(1921,19))-INDIRECT(ADDRESS(1922,19))</f>
        <v>0</v>
      </c>
      <c r="T1923">
        <f>INDIRECT(ADDRESS(1923,19))+INDIRECT(ADDRESS(1921,20))-INDIRECT(ADDRESS(1922,20))</f>
        <v>0</v>
      </c>
      <c r="U1923">
        <f>INDIRECT(ADDRESS(1923,20))+INDIRECT(ADDRESS(1921,21))-INDIRECT(ADDRESS(1922,21))</f>
        <v>0</v>
      </c>
      <c r="V1923">
        <f>INDIRECT(ADDRESS(1923,21))+INDIRECT(ADDRESS(1921,22))-INDIRECT(ADDRESS(1922,22))</f>
        <v>0</v>
      </c>
      <c r="W1923">
        <f>INDIRECT(ADDRESS(1923,22))+INDIRECT(ADDRESS(1921,23))-INDIRECT(ADDRESS(1922,23))</f>
        <v>0</v>
      </c>
      <c r="X1923">
        <f>INDIRECT(ADDRESS(1923,23))+INDIRECT(ADDRESS(1921,24))-INDIRECT(ADDRESS(1922,24))</f>
        <v>0</v>
      </c>
      <c r="Y1923">
        <f>INDIRECT(ADDRESS(1923,24))+INDIRECT(ADDRESS(1921,25))-INDIRECT(ADDRESS(1922,25))</f>
        <v>0</v>
      </c>
      <c r="Z1923">
        <f>INDIRECT(ADDRESS(1923,25))+INDIRECT(ADDRESS(1921,26))-INDIRECT(ADDRESS(1922,26))</f>
        <v>0</v>
      </c>
      <c r="AA1923">
        <f>INDIRECT(ADDRESS(1923,26))+INDIRECT(ADDRESS(1921,27))-INDIRECT(ADDRESS(1922,27))</f>
        <v>0</v>
      </c>
      <c r="AB1923">
        <f>INDIRECT(ADDRESS(1923,27))+INDIRECT(ADDRESS(1921,28))-INDIRECT(ADDRESS(1922,28))</f>
        <v>0</v>
      </c>
      <c r="AC1923">
        <f>INDIRECT(ADDRESS(1923,28))+INDIRECT(ADDRESS(1921,29))-INDIRECT(ADDRESS(1922,29))</f>
        <v>0</v>
      </c>
      <c r="AD1923">
        <f>INDIRECT(ADDRESS(1923,29))+INDIRECT(ADDRESS(1921,30))-INDIRECT(ADDRESS(1922,30))</f>
        <v>0</v>
      </c>
      <c r="AE1923">
        <f>INDIRECT(ADDRESS(1923,30))+INDIRECT(ADDRESS(1921,31))-INDIRECT(ADDRESS(1922,31))</f>
        <v>0</v>
      </c>
      <c r="AF1923">
        <f>INDIRECT(ADDRESS(1923,31))+INDIRECT(ADDRESS(1921,32))-INDIRECT(ADDRESS(1922,32))</f>
        <v>0</v>
      </c>
      <c r="AG1923">
        <f>INDIRECT(ADDRESS(1923,32))+INDIRECT(ADDRESS(1921,33))-INDIRECT(ADDRESS(1922,33))</f>
        <v>0</v>
      </c>
      <c r="AH1923">
        <f>INDIRECT(ADDRESS(1923,33))+INDIRECT(ADDRESS(1921,34))-INDIRECT(ADDRESS(1922,34))</f>
        <v>0</v>
      </c>
      <c r="AI1923">
        <f>INDIRECT(ADDRESS(1923,34))+INDIRECT(ADDRESS(1921,35))-INDIRECT(ADDRESS(1922,35))</f>
        <v>0</v>
      </c>
      <c r="AJ1923">
        <f>INDIRECT(ADDRESS(1923,35))+INDIRECT(ADDRESS(1921,36))-INDIRECT(ADDRESS(1922,36))</f>
        <v>0</v>
      </c>
      <c r="AK1923">
        <f>INDIRECT(ADDRESS(1923,36))+INDIRECT(ADDRESS(1921,37))-INDIRECT(ADDRESS(1922,37))</f>
        <v>0</v>
      </c>
      <c r="AL1923">
        <f>INDIRECT(ADDRESS(1923,37))+INDIRECT(ADDRESS(1921,38))-INDIRECT(ADDRESS(1922,38))</f>
        <v>0</v>
      </c>
      <c r="AM1923">
        <f>INDIRECT(ADDRESS(1923,38))+INDIRECT(ADDRESS(1921,39))-INDIRECT(ADDRESS(1922,39))</f>
        <v>0</v>
      </c>
      <c r="AN1923">
        <f>INDIRECT(ADDRESS(1923,39))+INDIRECT(ADDRESS(1921,40))-INDIRECT(ADDRESS(1922,40))</f>
        <v>0</v>
      </c>
      <c r="AO1923">
        <f>SUM(INDIRECT(ADDRESS(1922,8)):INDIRECT(ADDRESS(1922,39)))</f>
        <v>0</v>
      </c>
    </row>
    <row r="1924" spans="1:41">
      <c r="A1924" t="s">
        <v>8</v>
      </c>
      <c r="B1924" t="s">
        <v>162</v>
      </c>
      <c r="C1924" t="s">
        <v>163</v>
      </c>
      <c r="E1924" t="s">
        <v>150</v>
      </c>
      <c r="I1924" t="s">
        <v>177</v>
      </c>
    </row>
    <row r="1925" spans="1:41">
      <c r="I1925" t="s">
        <v>178</v>
      </c>
      <c r="J1925">
        <f>IFERROR(VLOOKUP("211-027000-000",Out!B:AB,1+8,0),0)</f>
        <v>0</v>
      </c>
      <c r="K1925">
        <f>IFERROR(VLOOKUP("211-027000-000",Out!B:AB,2+8,0),0)</f>
        <v>0</v>
      </c>
      <c r="L1925">
        <f>IFERROR(VLOOKUP("211-027000-000",Out!B:AB,3+8,0),0)</f>
        <v>0</v>
      </c>
      <c r="M1925">
        <f>IFERROR(VLOOKUP("211-027000-000",Out!B:AB,4+8,0),0)</f>
        <v>0</v>
      </c>
      <c r="N1925">
        <f>IFERROR(VLOOKUP("211-027000-000",Out!B:AB,5+8,0),0)</f>
        <v>0</v>
      </c>
      <c r="O1925">
        <f>IFERROR(VLOOKUP("211-027000-000",Out!B:AB,6+8,0),0)</f>
        <v>0</v>
      </c>
      <c r="P1925">
        <f>IFERROR(VLOOKUP("211-027000-000",Out!B:AB,7+8,0),0)</f>
        <v>0</v>
      </c>
      <c r="Q1925">
        <f>IFERROR(VLOOKUP("211-027000-000",Out!B:AB,8+8,0),0)</f>
        <v>0</v>
      </c>
      <c r="R1925">
        <f>IFERROR(VLOOKUP("211-027000-000",Out!B:AB,9+8,0),0)</f>
        <v>0</v>
      </c>
      <c r="S1925">
        <f>IFERROR(VLOOKUP("211-027000-000",Out!B:AB,10+8,0),0)</f>
        <v>0</v>
      </c>
      <c r="T1925">
        <f>IFERROR(VLOOKUP("211-027000-000",Out!B:AB,11+8,0),0)</f>
        <v>0</v>
      </c>
      <c r="U1925">
        <f>IFERROR(VLOOKUP("211-027000-000",Out!B:AB,12+8,0),0)</f>
        <v>0</v>
      </c>
      <c r="V1925">
        <f>IFERROR(VLOOKUP("211-027000-000",Out!B:AB,13+8,0),0)</f>
        <v>0</v>
      </c>
      <c r="W1925">
        <f>IFERROR(VLOOKUP("211-027000-000",Out!B:AB,14+8,0),0)</f>
        <v>0</v>
      </c>
      <c r="X1925">
        <f>IFERROR(VLOOKUP("211-027000-000",Out!B:AB,15+8,0),0)</f>
        <v>0</v>
      </c>
      <c r="Y1925">
        <f>IFERROR(VLOOKUP("211-027000-000",Out!B:AB,16+8,0),0)</f>
        <v>0</v>
      </c>
      <c r="Z1925">
        <f>IFERROR(VLOOKUP("211-027000-000",Out!B:AB,17+8,0),0)</f>
        <v>0</v>
      </c>
      <c r="AA1925">
        <f>IFERROR(VLOOKUP("211-027000-000",Out!B:AB,18+8,0),0)</f>
        <v>0</v>
      </c>
      <c r="AB1925">
        <f>IFERROR(VLOOKUP("211-027000-000",Out!B:AB,19+8,0),0)</f>
        <v>0</v>
      </c>
      <c r="AC1925">
        <f>IFERROR(VLOOKUP("211-027000-000",Out!B:AB,20+8,0),0)</f>
        <v>0</v>
      </c>
      <c r="AD1925">
        <f>IFERROR(VLOOKUP("211-027000-000",Out!B:AB,21+8,0),0)</f>
        <v>0</v>
      </c>
      <c r="AE1925">
        <f>IFERROR(VLOOKUP("211-027000-000",Out!B:AB,22+8,0),0)</f>
        <v>0</v>
      </c>
      <c r="AF1925">
        <f>IFERROR(VLOOKUP("211-027000-000",Out!B:AB,23+8,0),0)</f>
        <v>0</v>
      </c>
      <c r="AG1925">
        <f>IFERROR(VLOOKUP("211-027000-000",Out!B:AB,24+8,0),0)</f>
        <v>0</v>
      </c>
      <c r="AH1925">
        <f>IFERROR(VLOOKUP("211-027000-000",Out!B:AB,25+8,0),0)</f>
        <v>0</v>
      </c>
      <c r="AI1925">
        <f>IFERROR(VLOOKUP("211-027000-000",Out!B:AB,26+8,0),0)</f>
        <v>0</v>
      </c>
      <c r="AJ1925">
        <f>IFERROR(VLOOKUP("211-027000-000",Out!B:AB,27+8,0),0)</f>
        <v>0</v>
      </c>
      <c r="AK1925">
        <f>IFERROR(VLOOKUP("211-027000-000",Out!B:AB,28+8,0),0)</f>
        <v>0</v>
      </c>
      <c r="AL1925">
        <f>IFERROR(VLOOKUP("211-027000-000",Out!B:AB,29+8,0),0)</f>
        <v>0</v>
      </c>
      <c r="AM1925">
        <f>IFERROR(VLOOKUP("211-027000-000",Out!B:AB,30+8,0),0)</f>
        <v>0</v>
      </c>
      <c r="AN1925">
        <f>IFERROR(VLOOKUP("211-027000-000",Out!B:AB,31+8,0),0)</f>
        <v>0</v>
      </c>
      <c r="AO1925">
        <f>SUN(INDIRECT(ADDRESS(1924,8)):INDIRECT(ADDRESS(1924,39)))</f>
        <v>0</v>
      </c>
    </row>
    <row r="1926" spans="1:41">
      <c r="H1926" t="s">
        <v>179</v>
      </c>
      <c r="J1926">
        <f>INDIRECT(ADDRESS(1926,9))+INDIRECT(ADDRESS(1924,10))-INDIRECT(ADDRESS(1925,10))</f>
        <v>0</v>
      </c>
      <c r="K1926">
        <f>INDIRECT(ADDRESS(1926,10))+INDIRECT(ADDRESS(1924,11))-INDIRECT(ADDRESS(1925,11))</f>
        <v>0</v>
      </c>
      <c r="L1926">
        <f>INDIRECT(ADDRESS(1926,11))+INDIRECT(ADDRESS(1924,12))-INDIRECT(ADDRESS(1925,12))</f>
        <v>0</v>
      </c>
      <c r="M1926">
        <f>INDIRECT(ADDRESS(1926,12))+INDIRECT(ADDRESS(1924,13))-INDIRECT(ADDRESS(1925,13))</f>
        <v>0</v>
      </c>
      <c r="N1926">
        <f>INDIRECT(ADDRESS(1926,13))+INDIRECT(ADDRESS(1924,14))-INDIRECT(ADDRESS(1925,14))</f>
        <v>0</v>
      </c>
      <c r="O1926">
        <f>INDIRECT(ADDRESS(1926,14))+INDIRECT(ADDRESS(1924,15))-INDIRECT(ADDRESS(1925,15))</f>
        <v>0</v>
      </c>
      <c r="P1926">
        <f>INDIRECT(ADDRESS(1926,15))+INDIRECT(ADDRESS(1924,16))-INDIRECT(ADDRESS(1925,16))</f>
        <v>0</v>
      </c>
      <c r="Q1926">
        <f>INDIRECT(ADDRESS(1926,16))+INDIRECT(ADDRESS(1924,17))-INDIRECT(ADDRESS(1925,17))</f>
        <v>0</v>
      </c>
      <c r="R1926">
        <f>INDIRECT(ADDRESS(1926,17))+INDIRECT(ADDRESS(1924,18))-INDIRECT(ADDRESS(1925,18))</f>
        <v>0</v>
      </c>
      <c r="S1926">
        <f>INDIRECT(ADDRESS(1926,18))+INDIRECT(ADDRESS(1924,19))-INDIRECT(ADDRESS(1925,19))</f>
        <v>0</v>
      </c>
      <c r="T1926">
        <f>INDIRECT(ADDRESS(1926,19))+INDIRECT(ADDRESS(1924,20))-INDIRECT(ADDRESS(1925,20))</f>
        <v>0</v>
      </c>
      <c r="U1926">
        <f>INDIRECT(ADDRESS(1926,20))+INDIRECT(ADDRESS(1924,21))-INDIRECT(ADDRESS(1925,21))</f>
        <v>0</v>
      </c>
      <c r="V1926">
        <f>INDIRECT(ADDRESS(1926,21))+INDIRECT(ADDRESS(1924,22))-INDIRECT(ADDRESS(1925,22))</f>
        <v>0</v>
      </c>
      <c r="W1926">
        <f>INDIRECT(ADDRESS(1926,22))+INDIRECT(ADDRESS(1924,23))-INDIRECT(ADDRESS(1925,23))</f>
        <v>0</v>
      </c>
      <c r="X1926">
        <f>INDIRECT(ADDRESS(1926,23))+INDIRECT(ADDRESS(1924,24))-INDIRECT(ADDRESS(1925,24))</f>
        <v>0</v>
      </c>
      <c r="Y1926">
        <f>INDIRECT(ADDRESS(1926,24))+INDIRECT(ADDRESS(1924,25))-INDIRECT(ADDRESS(1925,25))</f>
        <v>0</v>
      </c>
      <c r="Z1926">
        <f>INDIRECT(ADDRESS(1926,25))+INDIRECT(ADDRESS(1924,26))-INDIRECT(ADDRESS(1925,26))</f>
        <v>0</v>
      </c>
      <c r="AA1926">
        <f>INDIRECT(ADDRESS(1926,26))+INDIRECT(ADDRESS(1924,27))-INDIRECT(ADDRESS(1925,27))</f>
        <v>0</v>
      </c>
      <c r="AB1926">
        <f>INDIRECT(ADDRESS(1926,27))+INDIRECT(ADDRESS(1924,28))-INDIRECT(ADDRESS(1925,28))</f>
        <v>0</v>
      </c>
      <c r="AC1926">
        <f>INDIRECT(ADDRESS(1926,28))+INDIRECT(ADDRESS(1924,29))-INDIRECT(ADDRESS(1925,29))</f>
        <v>0</v>
      </c>
      <c r="AD1926">
        <f>INDIRECT(ADDRESS(1926,29))+INDIRECT(ADDRESS(1924,30))-INDIRECT(ADDRESS(1925,30))</f>
        <v>0</v>
      </c>
      <c r="AE1926">
        <f>INDIRECT(ADDRESS(1926,30))+INDIRECT(ADDRESS(1924,31))-INDIRECT(ADDRESS(1925,31))</f>
        <v>0</v>
      </c>
      <c r="AF1926">
        <f>INDIRECT(ADDRESS(1926,31))+INDIRECT(ADDRESS(1924,32))-INDIRECT(ADDRESS(1925,32))</f>
        <v>0</v>
      </c>
      <c r="AG1926">
        <f>INDIRECT(ADDRESS(1926,32))+INDIRECT(ADDRESS(1924,33))-INDIRECT(ADDRESS(1925,33))</f>
        <v>0</v>
      </c>
      <c r="AH1926">
        <f>INDIRECT(ADDRESS(1926,33))+INDIRECT(ADDRESS(1924,34))-INDIRECT(ADDRESS(1925,34))</f>
        <v>0</v>
      </c>
      <c r="AI1926">
        <f>INDIRECT(ADDRESS(1926,34))+INDIRECT(ADDRESS(1924,35))-INDIRECT(ADDRESS(1925,35))</f>
        <v>0</v>
      </c>
      <c r="AJ1926">
        <f>INDIRECT(ADDRESS(1926,35))+INDIRECT(ADDRESS(1924,36))-INDIRECT(ADDRESS(1925,36))</f>
        <v>0</v>
      </c>
      <c r="AK1926">
        <f>INDIRECT(ADDRESS(1926,36))+INDIRECT(ADDRESS(1924,37))-INDIRECT(ADDRESS(1925,37))</f>
        <v>0</v>
      </c>
      <c r="AL1926">
        <f>INDIRECT(ADDRESS(1926,37))+INDIRECT(ADDRESS(1924,38))-INDIRECT(ADDRESS(1925,38))</f>
        <v>0</v>
      </c>
      <c r="AM1926">
        <f>INDIRECT(ADDRESS(1926,38))+INDIRECT(ADDRESS(1924,39))-INDIRECT(ADDRESS(1925,39))</f>
        <v>0</v>
      </c>
      <c r="AN1926">
        <f>INDIRECT(ADDRESS(1926,39))+INDIRECT(ADDRESS(1924,40))-INDIRECT(ADDRESS(1925,40))</f>
        <v>0</v>
      </c>
      <c r="AO1926">
        <f>SUM(INDIRECT(ADDRESS(1925,8)):INDIRECT(ADDRESS(1925,39)))</f>
        <v>0</v>
      </c>
    </row>
    <row r="1927" spans="1:41">
      <c r="A1927" t="s">
        <v>180</v>
      </c>
      <c r="B1927" t="s">
        <v>857</v>
      </c>
      <c r="C1927" t="s">
        <v>858</v>
      </c>
      <c r="E1927">
        <v>1</v>
      </c>
      <c r="I1927" t="s">
        <v>177</v>
      </c>
    </row>
    <row r="1928" spans="1:41">
      <c r="I1928" t="s">
        <v>178</v>
      </c>
      <c r="J1928">
        <f>IFERROR(VLOOKUP("211-027000-000",B:AB,1+8,0),0)</f>
        <v>0</v>
      </c>
      <c r="K1928">
        <f>IFERROR(VLOOKUP("211-027000-000",B:AB,2+8,0),0)</f>
        <v>0</v>
      </c>
      <c r="L1928">
        <f>IFERROR(VLOOKUP("211-027000-000",B:AB,3+8,0),0)</f>
        <v>0</v>
      </c>
      <c r="M1928">
        <f>IFERROR(VLOOKUP("211-027000-000",B:AB,4+8,0),0)</f>
        <v>0</v>
      </c>
      <c r="N1928">
        <f>IFERROR(VLOOKUP("211-027000-000",B:AB,5+8,0),0)</f>
        <v>0</v>
      </c>
      <c r="O1928">
        <f>IFERROR(VLOOKUP("211-027000-000",B:AB,6+8,0),0)</f>
        <v>0</v>
      </c>
      <c r="P1928">
        <f>IFERROR(VLOOKUP("211-027000-000",B:AB,7+8,0),0)</f>
        <v>0</v>
      </c>
      <c r="Q1928">
        <f>IFERROR(VLOOKUP("211-027000-000",B:AB,8+8,0),0)</f>
        <v>0</v>
      </c>
      <c r="R1928">
        <f>IFERROR(VLOOKUP("211-027000-000",B:AB,9+8,0),0)</f>
        <v>0</v>
      </c>
      <c r="S1928">
        <f>IFERROR(VLOOKUP("211-027000-000",B:AB,10+8,0),0)</f>
        <v>0</v>
      </c>
      <c r="T1928">
        <f>IFERROR(VLOOKUP("211-027000-000",B:AB,11+8,0),0)</f>
        <v>0</v>
      </c>
      <c r="U1928">
        <f>IFERROR(VLOOKUP("211-027000-000",B:AB,12+8,0),0)</f>
        <v>0</v>
      </c>
      <c r="V1928">
        <f>IFERROR(VLOOKUP("211-027000-000",B:AB,13+8,0),0)</f>
        <v>0</v>
      </c>
      <c r="W1928">
        <f>IFERROR(VLOOKUP("211-027000-000",B:AB,14+8,0),0)</f>
        <v>0</v>
      </c>
      <c r="X1928">
        <f>IFERROR(VLOOKUP("211-027000-000",B:AB,15+8,0),0)</f>
        <v>0</v>
      </c>
      <c r="Y1928">
        <f>IFERROR(VLOOKUP("211-027000-000",B:AB,16+8,0),0)</f>
        <v>0</v>
      </c>
      <c r="Z1928">
        <f>IFERROR(VLOOKUP("211-027000-000",B:AB,17+8,0),0)</f>
        <v>0</v>
      </c>
      <c r="AA1928">
        <f>IFERROR(VLOOKUP("211-027000-000",B:AB,18+8,0),0)</f>
        <v>0</v>
      </c>
      <c r="AB1928">
        <f>IFERROR(VLOOKUP("211-027000-000",B:AB,19+8,0),0)</f>
        <v>0</v>
      </c>
      <c r="AC1928">
        <f>IFERROR(VLOOKUP("211-027000-000",B:AB,20+8,0),0)</f>
        <v>0</v>
      </c>
      <c r="AD1928">
        <f>IFERROR(VLOOKUP("211-027000-000",B:AB,21+8,0),0)</f>
        <v>0</v>
      </c>
      <c r="AE1928">
        <f>IFERROR(VLOOKUP("211-027000-000",B:AB,22+8,0),0)</f>
        <v>0</v>
      </c>
      <c r="AF1928">
        <f>IFERROR(VLOOKUP("211-027000-000",B:AB,23+8,0),0)</f>
        <v>0</v>
      </c>
      <c r="AG1928">
        <f>IFERROR(VLOOKUP("211-027000-000",B:AB,24+8,0),0)</f>
        <v>0</v>
      </c>
      <c r="AH1928">
        <f>IFERROR(VLOOKUP("211-027000-000",B:AB,25+8,0),0)</f>
        <v>0</v>
      </c>
      <c r="AI1928">
        <f>IFERROR(VLOOKUP("211-027000-000",B:AB,26+8,0),0)</f>
        <v>0</v>
      </c>
      <c r="AJ1928">
        <f>IFERROR(VLOOKUP("211-027000-000",B:AB,27+8,0),0)</f>
        <v>0</v>
      </c>
      <c r="AK1928">
        <f>IFERROR(VLOOKUP("211-027000-000",B:AB,28+8,0),0)</f>
        <v>0</v>
      </c>
      <c r="AL1928">
        <f>IFERROR(VLOOKUP("211-027000-000",B:AB,29+8,0),0)</f>
        <v>0</v>
      </c>
      <c r="AM1928">
        <f>IFERROR(VLOOKUP("211-027000-000",B:AB,30+8,0),0)</f>
        <v>0</v>
      </c>
      <c r="AN1928">
        <f>IFERROR(VLOOKUP("211-027000-000",B:AB,31+8,0),0)</f>
        <v>0</v>
      </c>
      <c r="AO1928">
        <f>SUN(INDIRECT(ADDRESS(1927,8)):INDIRECT(ADDRESS(1927,39)))</f>
        <v>0</v>
      </c>
    </row>
    <row r="1929" spans="1:41">
      <c r="H1929" t="s">
        <v>179</v>
      </c>
      <c r="J1929">
        <f>INDIRECT(ADDRESS(1929,9))+INDIRECT(ADDRESS(1927,10))-INDIRECT(ADDRESS(1928,10))</f>
        <v>0</v>
      </c>
      <c r="K1929">
        <f>INDIRECT(ADDRESS(1929,10))+INDIRECT(ADDRESS(1927,11))-INDIRECT(ADDRESS(1928,11))</f>
        <v>0</v>
      </c>
      <c r="L1929">
        <f>INDIRECT(ADDRESS(1929,11))+INDIRECT(ADDRESS(1927,12))-INDIRECT(ADDRESS(1928,12))</f>
        <v>0</v>
      </c>
      <c r="M1929">
        <f>INDIRECT(ADDRESS(1929,12))+INDIRECT(ADDRESS(1927,13))-INDIRECT(ADDRESS(1928,13))</f>
        <v>0</v>
      </c>
      <c r="N1929">
        <f>INDIRECT(ADDRESS(1929,13))+INDIRECT(ADDRESS(1927,14))-INDIRECT(ADDRESS(1928,14))</f>
        <v>0</v>
      </c>
      <c r="O1929">
        <f>INDIRECT(ADDRESS(1929,14))+INDIRECT(ADDRESS(1927,15))-INDIRECT(ADDRESS(1928,15))</f>
        <v>0</v>
      </c>
      <c r="P1929">
        <f>INDIRECT(ADDRESS(1929,15))+INDIRECT(ADDRESS(1927,16))-INDIRECT(ADDRESS(1928,16))</f>
        <v>0</v>
      </c>
      <c r="Q1929">
        <f>INDIRECT(ADDRESS(1929,16))+INDIRECT(ADDRESS(1927,17))-INDIRECT(ADDRESS(1928,17))</f>
        <v>0</v>
      </c>
      <c r="R1929">
        <f>INDIRECT(ADDRESS(1929,17))+INDIRECT(ADDRESS(1927,18))-INDIRECT(ADDRESS(1928,18))</f>
        <v>0</v>
      </c>
      <c r="S1929">
        <f>INDIRECT(ADDRESS(1929,18))+INDIRECT(ADDRESS(1927,19))-INDIRECT(ADDRESS(1928,19))</f>
        <v>0</v>
      </c>
      <c r="T1929">
        <f>INDIRECT(ADDRESS(1929,19))+INDIRECT(ADDRESS(1927,20))-INDIRECT(ADDRESS(1928,20))</f>
        <v>0</v>
      </c>
      <c r="U1929">
        <f>INDIRECT(ADDRESS(1929,20))+INDIRECT(ADDRESS(1927,21))-INDIRECT(ADDRESS(1928,21))</f>
        <v>0</v>
      </c>
      <c r="V1929">
        <f>INDIRECT(ADDRESS(1929,21))+INDIRECT(ADDRESS(1927,22))-INDIRECT(ADDRESS(1928,22))</f>
        <v>0</v>
      </c>
      <c r="W1929">
        <f>INDIRECT(ADDRESS(1929,22))+INDIRECT(ADDRESS(1927,23))-INDIRECT(ADDRESS(1928,23))</f>
        <v>0</v>
      </c>
      <c r="X1929">
        <f>INDIRECT(ADDRESS(1929,23))+INDIRECT(ADDRESS(1927,24))-INDIRECT(ADDRESS(1928,24))</f>
        <v>0</v>
      </c>
      <c r="Y1929">
        <f>INDIRECT(ADDRESS(1929,24))+INDIRECT(ADDRESS(1927,25))-INDIRECT(ADDRESS(1928,25))</f>
        <v>0</v>
      </c>
      <c r="Z1929">
        <f>INDIRECT(ADDRESS(1929,25))+INDIRECT(ADDRESS(1927,26))-INDIRECT(ADDRESS(1928,26))</f>
        <v>0</v>
      </c>
      <c r="AA1929">
        <f>INDIRECT(ADDRESS(1929,26))+INDIRECT(ADDRESS(1927,27))-INDIRECT(ADDRESS(1928,27))</f>
        <v>0</v>
      </c>
      <c r="AB1929">
        <f>INDIRECT(ADDRESS(1929,27))+INDIRECT(ADDRESS(1927,28))-INDIRECT(ADDRESS(1928,28))</f>
        <v>0</v>
      </c>
      <c r="AC1929">
        <f>INDIRECT(ADDRESS(1929,28))+INDIRECT(ADDRESS(1927,29))-INDIRECT(ADDRESS(1928,29))</f>
        <v>0</v>
      </c>
      <c r="AD1929">
        <f>INDIRECT(ADDRESS(1929,29))+INDIRECT(ADDRESS(1927,30))-INDIRECT(ADDRESS(1928,30))</f>
        <v>0</v>
      </c>
      <c r="AE1929">
        <f>INDIRECT(ADDRESS(1929,30))+INDIRECT(ADDRESS(1927,31))-INDIRECT(ADDRESS(1928,31))</f>
        <v>0</v>
      </c>
      <c r="AF1929">
        <f>INDIRECT(ADDRESS(1929,31))+INDIRECT(ADDRESS(1927,32))-INDIRECT(ADDRESS(1928,32))</f>
        <v>0</v>
      </c>
      <c r="AG1929">
        <f>INDIRECT(ADDRESS(1929,32))+INDIRECT(ADDRESS(1927,33))-INDIRECT(ADDRESS(1928,33))</f>
        <v>0</v>
      </c>
      <c r="AH1929">
        <f>INDIRECT(ADDRESS(1929,33))+INDIRECT(ADDRESS(1927,34))-INDIRECT(ADDRESS(1928,34))</f>
        <v>0</v>
      </c>
      <c r="AI1929">
        <f>INDIRECT(ADDRESS(1929,34))+INDIRECT(ADDRESS(1927,35))-INDIRECT(ADDRESS(1928,35))</f>
        <v>0</v>
      </c>
      <c r="AJ1929">
        <f>INDIRECT(ADDRESS(1929,35))+INDIRECT(ADDRESS(1927,36))-INDIRECT(ADDRESS(1928,36))</f>
        <v>0</v>
      </c>
      <c r="AK1929">
        <f>INDIRECT(ADDRESS(1929,36))+INDIRECT(ADDRESS(1927,37))-INDIRECT(ADDRESS(1928,37))</f>
        <v>0</v>
      </c>
      <c r="AL1929">
        <f>INDIRECT(ADDRESS(1929,37))+INDIRECT(ADDRESS(1927,38))-INDIRECT(ADDRESS(1928,38))</f>
        <v>0</v>
      </c>
      <c r="AM1929">
        <f>INDIRECT(ADDRESS(1929,38))+INDIRECT(ADDRESS(1927,39))-INDIRECT(ADDRESS(1928,39))</f>
        <v>0</v>
      </c>
      <c r="AN1929">
        <f>INDIRECT(ADDRESS(1929,39))+INDIRECT(ADDRESS(1927,40))-INDIRECT(ADDRESS(1928,40))</f>
        <v>0</v>
      </c>
      <c r="AO1929">
        <f>SUM(INDIRECT(ADDRESS(1928,8)):INDIRECT(ADDRESS(1928,39)))</f>
        <v>0</v>
      </c>
    </row>
    <row r="1930" spans="1:41">
      <c r="A1930" t="s">
        <v>180</v>
      </c>
      <c r="B1930" t="s">
        <v>859</v>
      </c>
      <c r="C1930" t="s">
        <v>860</v>
      </c>
      <c r="E1930">
        <v>1</v>
      </c>
      <c r="I1930" t="s">
        <v>177</v>
      </c>
    </row>
    <row r="1931" spans="1:41">
      <c r="I1931" t="s">
        <v>178</v>
      </c>
      <c r="J1931">
        <f>IFERROR(VLOOKUP("211-027000-000",B:AB,1+8,0),0)</f>
        <v>0</v>
      </c>
      <c r="K1931">
        <f>IFERROR(VLOOKUP("211-027000-000",B:AB,2+8,0),0)</f>
        <v>0</v>
      </c>
      <c r="L1931">
        <f>IFERROR(VLOOKUP("211-027000-000",B:AB,3+8,0),0)</f>
        <v>0</v>
      </c>
      <c r="M1931">
        <f>IFERROR(VLOOKUP("211-027000-000",B:AB,4+8,0),0)</f>
        <v>0</v>
      </c>
      <c r="N1931">
        <f>IFERROR(VLOOKUP("211-027000-000",B:AB,5+8,0),0)</f>
        <v>0</v>
      </c>
      <c r="O1931">
        <f>IFERROR(VLOOKUP("211-027000-000",B:AB,6+8,0),0)</f>
        <v>0</v>
      </c>
      <c r="P1931">
        <f>IFERROR(VLOOKUP("211-027000-000",B:AB,7+8,0),0)</f>
        <v>0</v>
      </c>
      <c r="Q1931">
        <f>IFERROR(VLOOKUP("211-027000-000",B:AB,8+8,0),0)</f>
        <v>0</v>
      </c>
      <c r="R1931">
        <f>IFERROR(VLOOKUP("211-027000-000",B:AB,9+8,0),0)</f>
        <v>0</v>
      </c>
      <c r="S1931">
        <f>IFERROR(VLOOKUP("211-027000-000",B:AB,10+8,0),0)</f>
        <v>0</v>
      </c>
      <c r="T1931">
        <f>IFERROR(VLOOKUP("211-027000-000",B:AB,11+8,0),0)</f>
        <v>0</v>
      </c>
      <c r="U1931">
        <f>IFERROR(VLOOKUP("211-027000-000",B:AB,12+8,0),0)</f>
        <v>0</v>
      </c>
      <c r="V1931">
        <f>IFERROR(VLOOKUP("211-027000-000",B:AB,13+8,0),0)</f>
        <v>0</v>
      </c>
      <c r="W1931">
        <f>IFERROR(VLOOKUP("211-027000-000",B:AB,14+8,0),0)</f>
        <v>0</v>
      </c>
      <c r="X1931">
        <f>IFERROR(VLOOKUP("211-027000-000",B:AB,15+8,0),0)</f>
        <v>0</v>
      </c>
      <c r="Y1931">
        <f>IFERROR(VLOOKUP("211-027000-000",B:AB,16+8,0),0)</f>
        <v>0</v>
      </c>
      <c r="Z1931">
        <f>IFERROR(VLOOKUP("211-027000-000",B:AB,17+8,0),0)</f>
        <v>0</v>
      </c>
      <c r="AA1931">
        <f>IFERROR(VLOOKUP("211-027000-000",B:AB,18+8,0),0)</f>
        <v>0</v>
      </c>
      <c r="AB1931">
        <f>IFERROR(VLOOKUP("211-027000-000",B:AB,19+8,0),0)</f>
        <v>0</v>
      </c>
      <c r="AC1931">
        <f>IFERROR(VLOOKUP("211-027000-000",B:AB,20+8,0),0)</f>
        <v>0</v>
      </c>
      <c r="AD1931">
        <f>IFERROR(VLOOKUP("211-027000-000",B:AB,21+8,0),0)</f>
        <v>0</v>
      </c>
      <c r="AE1931">
        <f>IFERROR(VLOOKUP("211-027000-000",B:AB,22+8,0),0)</f>
        <v>0</v>
      </c>
      <c r="AF1931">
        <f>IFERROR(VLOOKUP("211-027000-000",B:AB,23+8,0),0)</f>
        <v>0</v>
      </c>
      <c r="AG1931">
        <f>IFERROR(VLOOKUP("211-027000-000",B:AB,24+8,0),0)</f>
        <v>0</v>
      </c>
      <c r="AH1931">
        <f>IFERROR(VLOOKUP("211-027000-000",B:AB,25+8,0),0)</f>
        <v>0</v>
      </c>
      <c r="AI1931">
        <f>IFERROR(VLOOKUP("211-027000-000",B:AB,26+8,0),0)</f>
        <v>0</v>
      </c>
      <c r="AJ1931">
        <f>IFERROR(VLOOKUP("211-027000-000",B:AB,27+8,0),0)</f>
        <v>0</v>
      </c>
      <c r="AK1931">
        <f>IFERROR(VLOOKUP("211-027000-000",B:AB,28+8,0),0)</f>
        <v>0</v>
      </c>
      <c r="AL1931">
        <f>IFERROR(VLOOKUP("211-027000-000",B:AB,29+8,0),0)</f>
        <v>0</v>
      </c>
      <c r="AM1931">
        <f>IFERROR(VLOOKUP("211-027000-000",B:AB,30+8,0),0)</f>
        <v>0</v>
      </c>
      <c r="AN1931">
        <f>IFERROR(VLOOKUP("211-027000-000",B:AB,31+8,0),0)</f>
        <v>0</v>
      </c>
      <c r="AO1931">
        <f>SUN(INDIRECT(ADDRESS(1930,8)):INDIRECT(ADDRESS(1930,39)))</f>
        <v>0</v>
      </c>
    </row>
    <row r="1932" spans="1:41">
      <c r="H1932" t="s">
        <v>179</v>
      </c>
      <c r="J1932">
        <f>INDIRECT(ADDRESS(1932,9))+INDIRECT(ADDRESS(1930,10))-INDIRECT(ADDRESS(1931,10))</f>
        <v>0</v>
      </c>
      <c r="K1932">
        <f>INDIRECT(ADDRESS(1932,10))+INDIRECT(ADDRESS(1930,11))-INDIRECT(ADDRESS(1931,11))</f>
        <v>0</v>
      </c>
      <c r="L1932">
        <f>INDIRECT(ADDRESS(1932,11))+INDIRECT(ADDRESS(1930,12))-INDIRECT(ADDRESS(1931,12))</f>
        <v>0</v>
      </c>
      <c r="M1932">
        <f>INDIRECT(ADDRESS(1932,12))+INDIRECT(ADDRESS(1930,13))-INDIRECT(ADDRESS(1931,13))</f>
        <v>0</v>
      </c>
      <c r="N1932">
        <f>INDIRECT(ADDRESS(1932,13))+INDIRECT(ADDRESS(1930,14))-INDIRECT(ADDRESS(1931,14))</f>
        <v>0</v>
      </c>
      <c r="O1932">
        <f>INDIRECT(ADDRESS(1932,14))+INDIRECT(ADDRESS(1930,15))-INDIRECT(ADDRESS(1931,15))</f>
        <v>0</v>
      </c>
      <c r="P1932">
        <f>INDIRECT(ADDRESS(1932,15))+INDIRECT(ADDRESS(1930,16))-INDIRECT(ADDRESS(1931,16))</f>
        <v>0</v>
      </c>
      <c r="Q1932">
        <f>INDIRECT(ADDRESS(1932,16))+INDIRECT(ADDRESS(1930,17))-INDIRECT(ADDRESS(1931,17))</f>
        <v>0</v>
      </c>
      <c r="R1932">
        <f>INDIRECT(ADDRESS(1932,17))+INDIRECT(ADDRESS(1930,18))-INDIRECT(ADDRESS(1931,18))</f>
        <v>0</v>
      </c>
      <c r="S1932">
        <f>INDIRECT(ADDRESS(1932,18))+INDIRECT(ADDRESS(1930,19))-INDIRECT(ADDRESS(1931,19))</f>
        <v>0</v>
      </c>
      <c r="T1932">
        <f>INDIRECT(ADDRESS(1932,19))+INDIRECT(ADDRESS(1930,20))-INDIRECT(ADDRESS(1931,20))</f>
        <v>0</v>
      </c>
      <c r="U1932">
        <f>INDIRECT(ADDRESS(1932,20))+INDIRECT(ADDRESS(1930,21))-INDIRECT(ADDRESS(1931,21))</f>
        <v>0</v>
      </c>
      <c r="V1932">
        <f>INDIRECT(ADDRESS(1932,21))+INDIRECT(ADDRESS(1930,22))-INDIRECT(ADDRESS(1931,22))</f>
        <v>0</v>
      </c>
      <c r="W1932">
        <f>INDIRECT(ADDRESS(1932,22))+INDIRECT(ADDRESS(1930,23))-INDIRECT(ADDRESS(1931,23))</f>
        <v>0</v>
      </c>
      <c r="X1932">
        <f>INDIRECT(ADDRESS(1932,23))+INDIRECT(ADDRESS(1930,24))-INDIRECT(ADDRESS(1931,24))</f>
        <v>0</v>
      </c>
      <c r="Y1932">
        <f>INDIRECT(ADDRESS(1932,24))+INDIRECT(ADDRESS(1930,25))-INDIRECT(ADDRESS(1931,25))</f>
        <v>0</v>
      </c>
      <c r="Z1932">
        <f>INDIRECT(ADDRESS(1932,25))+INDIRECT(ADDRESS(1930,26))-INDIRECT(ADDRESS(1931,26))</f>
        <v>0</v>
      </c>
      <c r="AA1932">
        <f>INDIRECT(ADDRESS(1932,26))+INDIRECT(ADDRESS(1930,27))-INDIRECT(ADDRESS(1931,27))</f>
        <v>0</v>
      </c>
      <c r="AB1932">
        <f>INDIRECT(ADDRESS(1932,27))+INDIRECT(ADDRESS(1930,28))-INDIRECT(ADDRESS(1931,28))</f>
        <v>0</v>
      </c>
      <c r="AC1932">
        <f>INDIRECT(ADDRESS(1932,28))+INDIRECT(ADDRESS(1930,29))-INDIRECT(ADDRESS(1931,29))</f>
        <v>0</v>
      </c>
      <c r="AD1932">
        <f>INDIRECT(ADDRESS(1932,29))+INDIRECT(ADDRESS(1930,30))-INDIRECT(ADDRESS(1931,30))</f>
        <v>0</v>
      </c>
      <c r="AE1932">
        <f>INDIRECT(ADDRESS(1932,30))+INDIRECT(ADDRESS(1930,31))-INDIRECT(ADDRESS(1931,31))</f>
        <v>0</v>
      </c>
      <c r="AF1932">
        <f>INDIRECT(ADDRESS(1932,31))+INDIRECT(ADDRESS(1930,32))-INDIRECT(ADDRESS(1931,32))</f>
        <v>0</v>
      </c>
      <c r="AG1932">
        <f>INDIRECT(ADDRESS(1932,32))+INDIRECT(ADDRESS(1930,33))-INDIRECT(ADDRESS(1931,33))</f>
        <v>0</v>
      </c>
      <c r="AH1932">
        <f>INDIRECT(ADDRESS(1932,33))+INDIRECT(ADDRESS(1930,34))-INDIRECT(ADDRESS(1931,34))</f>
        <v>0</v>
      </c>
      <c r="AI1932">
        <f>INDIRECT(ADDRESS(1932,34))+INDIRECT(ADDRESS(1930,35))-INDIRECT(ADDRESS(1931,35))</f>
        <v>0</v>
      </c>
      <c r="AJ1932">
        <f>INDIRECT(ADDRESS(1932,35))+INDIRECT(ADDRESS(1930,36))-INDIRECT(ADDRESS(1931,36))</f>
        <v>0</v>
      </c>
      <c r="AK1932">
        <f>INDIRECT(ADDRESS(1932,36))+INDIRECT(ADDRESS(1930,37))-INDIRECT(ADDRESS(1931,37))</f>
        <v>0</v>
      </c>
      <c r="AL1932">
        <f>INDIRECT(ADDRESS(1932,37))+INDIRECT(ADDRESS(1930,38))-INDIRECT(ADDRESS(1931,38))</f>
        <v>0</v>
      </c>
      <c r="AM1932">
        <f>INDIRECT(ADDRESS(1932,38))+INDIRECT(ADDRESS(1930,39))-INDIRECT(ADDRESS(1931,39))</f>
        <v>0</v>
      </c>
      <c r="AN1932">
        <f>INDIRECT(ADDRESS(1932,39))+INDIRECT(ADDRESS(1930,40))-INDIRECT(ADDRESS(1931,40))</f>
        <v>0</v>
      </c>
      <c r="AO1932">
        <f>SUM(INDIRECT(ADDRESS(1931,8)):INDIRECT(ADDRESS(1931,39)))</f>
        <v>0</v>
      </c>
    </row>
    <row r="1933" spans="1:41">
      <c r="A1933" t="s">
        <v>185</v>
      </c>
      <c r="B1933" t="s">
        <v>859</v>
      </c>
      <c r="C1933" t="s">
        <v>861</v>
      </c>
      <c r="E1933">
        <v>1</v>
      </c>
      <c r="I1933" t="s">
        <v>177</v>
      </c>
    </row>
    <row r="1934" spans="1:41">
      <c r="I1934" t="s">
        <v>178</v>
      </c>
      <c r="J1934">
        <f>IFERROR(VLOOKUP("211-027000-000",B:AB,1+8,0),0)</f>
        <v>0</v>
      </c>
      <c r="K1934">
        <f>IFERROR(VLOOKUP("211-027000-000",B:AB,2+8,0),0)</f>
        <v>0</v>
      </c>
      <c r="L1934">
        <f>IFERROR(VLOOKUP("211-027000-000",B:AB,3+8,0),0)</f>
        <v>0</v>
      </c>
      <c r="M1934">
        <f>IFERROR(VLOOKUP("211-027000-000",B:AB,4+8,0),0)</f>
        <v>0</v>
      </c>
      <c r="N1934">
        <f>IFERROR(VLOOKUP("211-027000-000",B:AB,5+8,0),0)</f>
        <v>0</v>
      </c>
      <c r="O1934">
        <f>IFERROR(VLOOKUP("211-027000-000",B:AB,6+8,0),0)</f>
        <v>0</v>
      </c>
      <c r="P1934">
        <f>IFERROR(VLOOKUP("211-027000-000",B:AB,7+8,0),0)</f>
        <v>0</v>
      </c>
      <c r="Q1934">
        <f>IFERROR(VLOOKUP("211-027000-000",B:AB,8+8,0),0)</f>
        <v>0</v>
      </c>
      <c r="R1934">
        <f>IFERROR(VLOOKUP("211-027000-000",B:AB,9+8,0),0)</f>
        <v>0</v>
      </c>
      <c r="S1934">
        <f>IFERROR(VLOOKUP("211-027000-000",B:AB,10+8,0),0)</f>
        <v>0</v>
      </c>
      <c r="T1934">
        <f>IFERROR(VLOOKUP("211-027000-000",B:AB,11+8,0),0)</f>
        <v>0</v>
      </c>
      <c r="U1934">
        <f>IFERROR(VLOOKUP("211-027000-000",B:AB,12+8,0),0)</f>
        <v>0</v>
      </c>
      <c r="V1934">
        <f>IFERROR(VLOOKUP("211-027000-000",B:AB,13+8,0),0)</f>
        <v>0</v>
      </c>
      <c r="W1934">
        <f>IFERROR(VLOOKUP("211-027000-000",B:AB,14+8,0),0)</f>
        <v>0</v>
      </c>
      <c r="X1934">
        <f>IFERROR(VLOOKUP("211-027000-000",B:AB,15+8,0),0)</f>
        <v>0</v>
      </c>
      <c r="Y1934">
        <f>IFERROR(VLOOKUP("211-027000-000",B:AB,16+8,0),0)</f>
        <v>0</v>
      </c>
      <c r="Z1934">
        <f>IFERROR(VLOOKUP("211-027000-000",B:AB,17+8,0),0)</f>
        <v>0</v>
      </c>
      <c r="AA1934">
        <f>IFERROR(VLOOKUP("211-027000-000",B:AB,18+8,0),0)</f>
        <v>0</v>
      </c>
      <c r="AB1934">
        <f>IFERROR(VLOOKUP("211-027000-000",B:AB,19+8,0),0)</f>
        <v>0</v>
      </c>
      <c r="AC1934">
        <f>IFERROR(VLOOKUP("211-027000-000",B:AB,20+8,0),0)</f>
        <v>0</v>
      </c>
      <c r="AD1934">
        <f>IFERROR(VLOOKUP("211-027000-000",B:AB,21+8,0),0)</f>
        <v>0</v>
      </c>
      <c r="AE1934">
        <f>IFERROR(VLOOKUP("211-027000-000",B:AB,22+8,0),0)</f>
        <v>0</v>
      </c>
      <c r="AF1934">
        <f>IFERROR(VLOOKUP("211-027000-000",B:AB,23+8,0),0)</f>
        <v>0</v>
      </c>
      <c r="AG1934">
        <f>IFERROR(VLOOKUP("211-027000-000",B:AB,24+8,0),0)</f>
        <v>0</v>
      </c>
      <c r="AH1934">
        <f>IFERROR(VLOOKUP("211-027000-000",B:AB,25+8,0),0)</f>
        <v>0</v>
      </c>
      <c r="AI1934">
        <f>IFERROR(VLOOKUP("211-027000-000",B:AB,26+8,0),0)</f>
        <v>0</v>
      </c>
      <c r="AJ1934">
        <f>IFERROR(VLOOKUP("211-027000-000",B:AB,27+8,0),0)</f>
        <v>0</v>
      </c>
      <c r="AK1934">
        <f>IFERROR(VLOOKUP("211-027000-000",B:AB,28+8,0),0)</f>
        <v>0</v>
      </c>
      <c r="AL1934">
        <f>IFERROR(VLOOKUP("211-027000-000",B:AB,29+8,0),0)</f>
        <v>0</v>
      </c>
      <c r="AM1934">
        <f>IFERROR(VLOOKUP("211-027000-000",B:AB,30+8,0),0)</f>
        <v>0</v>
      </c>
      <c r="AN1934">
        <f>IFERROR(VLOOKUP("211-027000-000",B:AB,31+8,0),0)</f>
        <v>0</v>
      </c>
      <c r="AO1934">
        <f>SUN(INDIRECT(ADDRESS(1933,8)):INDIRECT(ADDRESS(1933,39)))</f>
        <v>0</v>
      </c>
    </row>
    <row r="1935" spans="1:41">
      <c r="H1935" t="s">
        <v>179</v>
      </c>
      <c r="J1935">
        <f>INDIRECT(ADDRESS(1935,9))+INDIRECT(ADDRESS(1933,10))-INDIRECT(ADDRESS(1934,10))</f>
        <v>0</v>
      </c>
      <c r="K1935">
        <f>INDIRECT(ADDRESS(1935,10))+INDIRECT(ADDRESS(1933,11))-INDIRECT(ADDRESS(1934,11))</f>
        <v>0</v>
      </c>
      <c r="L1935">
        <f>INDIRECT(ADDRESS(1935,11))+INDIRECT(ADDRESS(1933,12))-INDIRECT(ADDRESS(1934,12))</f>
        <v>0</v>
      </c>
      <c r="M1935">
        <f>INDIRECT(ADDRESS(1935,12))+INDIRECT(ADDRESS(1933,13))-INDIRECT(ADDRESS(1934,13))</f>
        <v>0</v>
      </c>
      <c r="N1935">
        <f>INDIRECT(ADDRESS(1935,13))+INDIRECT(ADDRESS(1933,14))-INDIRECT(ADDRESS(1934,14))</f>
        <v>0</v>
      </c>
      <c r="O1935">
        <f>INDIRECT(ADDRESS(1935,14))+INDIRECT(ADDRESS(1933,15))-INDIRECT(ADDRESS(1934,15))</f>
        <v>0</v>
      </c>
      <c r="P1935">
        <f>INDIRECT(ADDRESS(1935,15))+INDIRECT(ADDRESS(1933,16))-INDIRECT(ADDRESS(1934,16))</f>
        <v>0</v>
      </c>
      <c r="Q1935">
        <f>INDIRECT(ADDRESS(1935,16))+INDIRECT(ADDRESS(1933,17))-INDIRECT(ADDRESS(1934,17))</f>
        <v>0</v>
      </c>
      <c r="R1935">
        <f>INDIRECT(ADDRESS(1935,17))+INDIRECT(ADDRESS(1933,18))-INDIRECT(ADDRESS(1934,18))</f>
        <v>0</v>
      </c>
      <c r="S1935">
        <f>INDIRECT(ADDRESS(1935,18))+INDIRECT(ADDRESS(1933,19))-INDIRECT(ADDRESS(1934,19))</f>
        <v>0</v>
      </c>
      <c r="T1935">
        <f>INDIRECT(ADDRESS(1935,19))+INDIRECT(ADDRESS(1933,20))-INDIRECT(ADDRESS(1934,20))</f>
        <v>0</v>
      </c>
      <c r="U1935">
        <f>INDIRECT(ADDRESS(1935,20))+INDIRECT(ADDRESS(1933,21))-INDIRECT(ADDRESS(1934,21))</f>
        <v>0</v>
      </c>
      <c r="V1935">
        <f>INDIRECT(ADDRESS(1935,21))+INDIRECT(ADDRESS(1933,22))-INDIRECT(ADDRESS(1934,22))</f>
        <v>0</v>
      </c>
      <c r="W1935">
        <f>INDIRECT(ADDRESS(1935,22))+INDIRECT(ADDRESS(1933,23))-INDIRECT(ADDRESS(1934,23))</f>
        <v>0</v>
      </c>
      <c r="X1935">
        <f>INDIRECT(ADDRESS(1935,23))+INDIRECT(ADDRESS(1933,24))-INDIRECT(ADDRESS(1934,24))</f>
        <v>0</v>
      </c>
      <c r="Y1935">
        <f>INDIRECT(ADDRESS(1935,24))+INDIRECT(ADDRESS(1933,25))-INDIRECT(ADDRESS(1934,25))</f>
        <v>0</v>
      </c>
      <c r="Z1935">
        <f>INDIRECT(ADDRESS(1935,25))+INDIRECT(ADDRESS(1933,26))-INDIRECT(ADDRESS(1934,26))</f>
        <v>0</v>
      </c>
      <c r="AA1935">
        <f>INDIRECT(ADDRESS(1935,26))+INDIRECT(ADDRESS(1933,27))-INDIRECT(ADDRESS(1934,27))</f>
        <v>0</v>
      </c>
      <c r="AB1935">
        <f>INDIRECT(ADDRESS(1935,27))+INDIRECT(ADDRESS(1933,28))-INDIRECT(ADDRESS(1934,28))</f>
        <v>0</v>
      </c>
      <c r="AC1935">
        <f>INDIRECT(ADDRESS(1935,28))+INDIRECT(ADDRESS(1933,29))-INDIRECT(ADDRESS(1934,29))</f>
        <v>0</v>
      </c>
      <c r="AD1935">
        <f>INDIRECT(ADDRESS(1935,29))+INDIRECT(ADDRESS(1933,30))-INDIRECT(ADDRESS(1934,30))</f>
        <v>0</v>
      </c>
      <c r="AE1935">
        <f>INDIRECT(ADDRESS(1935,30))+INDIRECT(ADDRESS(1933,31))-INDIRECT(ADDRESS(1934,31))</f>
        <v>0</v>
      </c>
      <c r="AF1935">
        <f>INDIRECT(ADDRESS(1935,31))+INDIRECT(ADDRESS(1933,32))-INDIRECT(ADDRESS(1934,32))</f>
        <v>0</v>
      </c>
      <c r="AG1935">
        <f>INDIRECT(ADDRESS(1935,32))+INDIRECT(ADDRESS(1933,33))-INDIRECT(ADDRESS(1934,33))</f>
        <v>0</v>
      </c>
      <c r="AH1935">
        <f>INDIRECT(ADDRESS(1935,33))+INDIRECT(ADDRESS(1933,34))-INDIRECT(ADDRESS(1934,34))</f>
        <v>0</v>
      </c>
      <c r="AI1935">
        <f>INDIRECT(ADDRESS(1935,34))+INDIRECT(ADDRESS(1933,35))-INDIRECT(ADDRESS(1934,35))</f>
        <v>0</v>
      </c>
      <c r="AJ1935">
        <f>INDIRECT(ADDRESS(1935,35))+INDIRECT(ADDRESS(1933,36))-INDIRECT(ADDRESS(1934,36))</f>
        <v>0</v>
      </c>
      <c r="AK1935">
        <f>INDIRECT(ADDRESS(1935,36))+INDIRECT(ADDRESS(1933,37))-INDIRECT(ADDRESS(1934,37))</f>
        <v>0</v>
      </c>
      <c r="AL1935">
        <f>INDIRECT(ADDRESS(1935,37))+INDIRECT(ADDRESS(1933,38))-INDIRECT(ADDRESS(1934,38))</f>
        <v>0</v>
      </c>
      <c r="AM1935">
        <f>INDIRECT(ADDRESS(1935,38))+INDIRECT(ADDRESS(1933,39))-INDIRECT(ADDRESS(1934,39))</f>
        <v>0</v>
      </c>
      <c r="AN1935">
        <f>INDIRECT(ADDRESS(1935,39))+INDIRECT(ADDRESS(1933,40))-INDIRECT(ADDRESS(1934,40))</f>
        <v>0</v>
      </c>
      <c r="AO1935">
        <f>SUM(INDIRECT(ADDRESS(1934,8)):INDIRECT(ADDRESS(1934,39)))</f>
        <v>0</v>
      </c>
    </row>
    <row r="1936" spans="1:41">
      <c r="A1936" t="s">
        <v>8</v>
      </c>
      <c r="B1936" t="s">
        <v>164</v>
      </c>
      <c r="C1936" t="s">
        <v>165</v>
      </c>
      <c r="E1936" t="s">
        <v>166</v>
      </c>
      <c r="I1936" t="s">
        <v>177</v>
      </c>
    </row>
    <row r="1937" spans="1:41">
      <c r="I1937" t="s">
        <v>178</v>
      </c>
      <c r="J1937">
        <f>IFERROR(VLOOKUP("906-471000-210",Out!B:AB,1+8,0),0)</f>
        <v>0</v>
      </c>
      <c r="K1937">
        <f>IFERROR(VLOOKUP("906-471000-210",Out!B:AB,2+8,0),0)</f>
        <v>0</v>
      </c>
      <c r="L1937">
        <f>IFERROR(VLOOKUP("906-471000-210",Out!B:AB,3+8,0),0)</f>
        <v>0</v>
      </c>
      <c r="M1937">
        <f>IFERROR(VLOOKUP("906-471000-210",Out!B:AB,4+8,0),0)</f>
        <v>0</v>
      </c>
      <c r="N1937">
        <f>IFERROR(VLOOKUP("906-471000-210",Out!B:AB,5+8,0),0)</f>
        <v>0</v>
      </c>
      <c r="O1937">
        <f>IFERROR(VLOOKUP("906-471000-210",Out!B:AB,6+8,0),0)</f>
        <v>0</v>
      </c>
      <c r="P1937">
        <f>IFERROR(VLOOKUP("906-471000-210",Out!B:AB,7+8,0),0)</f>
        <v>0</v>
      </c>
      <c r="Q1937">
        <f>IFERROR(VLOOKUP("906-471000-210",Out!B:AB,8+8,0),0)</f>
        <v>0</v>
      </c>
      <c r="R1937">
        <f>IFERROR(VLOOKUP("906-471000-210",Out!B:AB,9+8,0),0)</f>
        <v>0</v>
      </c>
      <c r="S1937">
        <f>IFERROR(VLOOKUP("906-471000-210",Out!B:AB,10+8,0),0)</f>
        <v>0</v>
      </c>
      <c r="T1937">
        <f>IFERROR(VLOOKUP("906-471000-210",Out!B:AB,11+8,0),0)</f>
        <v>0</v>
      </c>
      <c r="U1937">
        <f>IFERROR(VLOOKUP("906-471000-210",Out!B:AB,12+8,0),0)</f>
        <v>0</v>
      </c>
      <c r="V1937">
        <f>IFERROR(VLOOKUP("906-471000-210",Out!B:AB,13+8,0),0)</f>
        <v>0</v>
      </c>
      <c r="W1937">
        <f>IFERROR(VLOOKUP("906-471000-210",Out!B:AB,14+8,0),0)</f>
        <v>0</v>
      </c>
      <c r="X1937">
        <f>IFERROR(VLOOKUP("906-471000-210",Out!B:AB,15+8,0),0)</f>
        <v>0</v>
      </c>
      <c r="Y1937">
        <f>IFERROR(VLOOKUP("906-471000-210",Out!B:AB,16+8,0),0)</f>
        <v>0</v>
      </c>
      <c r="Z1937">
        <f>IFERROR(VLOOKUP("906-471000-210",Out!B:AB,17+8,0),0)</f>
        <v>0</v>
      </c>
      <c r="AA1937">
        <f>IFERROR(VLOOKUP("906-471000-210",Out!B:AB,18+8,0),0)</f>
        <v>0</v>
      </c>
      <c r="AB1937">
        <f>IFERROR(VLOOKUP("906-471000-210",Out!B:AB,19+8,0),0)</f>
        <v>0</v>
      </c>
      <c r="AC1937">
        <f>IFERROR(VLOOKUP("906-471000-210",Out!B:AB,20+8,0),0)</f>
        <v>0</v>
      </c>
      <c r="AD1937">
        <f>IFERROR(VLOOKUP("906-471000-210",Out!B:AB,21+8,0),0)</f>
        <v>0</v>
      </c>
      <c r="AE1937">
        <f>IFERROR(VLOOKUP("906-471000-210",Out!B:AB,22+8,0),0)</f>
        <v>0</v>
      </c>
      <c r="AF1937">
        <f>IFERROR(VLOOKUP("906-471000-210",Out!B:AB,23+8,0),0)</f>
        <v>0</v>
      </c>
      <c r="AG1937">
        <f>IFERROR(VLOOKUP("906-471000-210",Out!B:AB,24+8,0),0)</f>
        <v>0</v>
      </c>
      <c r="AH1937">
        <f>IFERROR(VLOOKUP("906-471000-210",Out!B:AB,25+8,0),0)</f>
        <v>0</v>
      </c>
      <c r="AI1937">
        <f>IFERROR(VLOOKUP("906-471000-210",Out!B:AB,26+8,0),0)</f>
        <v>0</v>
      </c>
      <c r="AJ1937">
        <f>IFERROR(VLOOKUP("906-471000-210",Out!B:AB,27+8,0),0)</f>
        <v>0</v>
      </c>
      <c r="AK1937">
        <f>IFERROR(VLOOKUP("906-471000-210",Out!B:AB,28+8,0),0)</f>
        <v>0</v>
      </c>
      <c r="AL1937">
        <f>IFERROR(VLOOKUP("906-471000-210",Out!B:AB,29+8,0),0)</f>
        <v>0</v>
      </c>
      <c r="AM1937">
        <f>IFERROR(VLOOKUP("906-471000-210",Out!B:AB,30+8,0),0)</f>
        <v>0</v>
      </c>
      <c r="AN1937">
        <f>IFERROR(VLOOKUP("906-471000-210",Out!B:AB,31+8,0),0)</f>
        <v>0</v>
      </c>
      <c r="AO1937">
        <f>SUN(INDIRECT(ADDRESS(1936,8)):INDIRECT(ADDRESS(1936,39)))</f>
        <v>0</v>
      </c>
    </row>
    <row r="1938" spans="1:41">
      <c r="H1938" t="s">
        <v>179</v>
      </c>
      <c r="J1938">
        <f>INDIRECT(ADDRESS(1938,9))+INDIRECT(ADDRESS(1936,10))-INDIRECT(ADDRESS(1937,10))</f>
        <v>0</v>
      </c>
      <c r="K1938">
        <f>INDIRECT(ADDRESS(1938,10))+INDIRECT(ADDRESS(1936,11))-INDIRECT(ADDRESS(1937,11))</f>
        <v>0</v>
      </c>
      <c r="L1938">
        <f>INDIRECT(ADDRESS(1938,11))+INDIRECT(ADDRESS(1936,12))-INDIRECT(ADDRESS(1937,12))</f>
        <v>0</v>
      </c>
      <c r="M1938">
        <f>INDIRECT(ADDRESS(1938,12))+INDIRECT(ADDRESS(1936,13))-INDIRECT(ADDRESS(1937,13))</f>
        <v>0</v>
      </c>
      <c r="N1938">
        <f>INDIRECT(ADDRESS(1938,13))+INDIRECT(ADDRESS(1936,14))-INDIRECT(ADDRESS(1937,14))</f>
        <v>0</v>
      </c>
      <c r="O1938">
        <f>INDIRECT(ADDRESS(1938,14))+INDIRECT(ADDRESS(1936,15))-INDIRECT(ADDRESS(1937,15))</f>
        <v>0</v>
      </c>
      <c r="P1938">
        <f>INDIRECT(ADDRESS(1938,15))+INDIRECT(ADDRESS(1936,16))-INDIRECT(ADDRESS(1937,16))</f>
        <v>0</v>
      </c>
      <c r="Q1938">
        <f>INDIRECT(ADDRESS(1938,16))+INDIRECT(ADDRESS(1936,17))-INDIRECT(ADDRESS(1937,17))</f>
        <v>0</v>
      </c>
      <c r="R1938">
        <f>INDIRECT(ADDRESS(1938,17))+INDIRECT(ADDRESS(1936,18))-INDIRECT(ADDRESS(1937,18))</f>
        <v>0</v>
      </c>
      <c r="S1938">
        <f>INDIRECT(ADDRESS(1938,18))+INDIRECT(ADDRESS(1936,19))-INDIRECT(ADDRESS(1937,19))</f>
        <v>0</v>
      </c>
      <c r="T1938">
        <f>INDIRECT(ADDRESS(1938,19))+INDIRECT(ADDRESS(1936,20))-INDIRECT(ADDRESS(1937,20))</f>
        <v>0</v>
      </c>
      <c r="U1938">
        <f>INDIRECT(ADDRESS(1938,20))+INDIRECT(ADDRESS(1936,21))-INDIRECT(ADDRESS(1937,21))</f>
        <v>0</v>
      </c>
      <c r="V1938">
        <f>INDIRECT(ADDRESS(1938,21))+INDIRECT(ADDRESS(1936,22))-INDIRECT(ADDRESS(1937,22))</f>
        <v>0</v>
      </c>
      <c r="W1938">
        <f>INDIRECT(ADDRESS(1938,22))+INDIRECT(ADDRESS(1936,23))-INDIRECT(ADDRESS(1937,23))</f>
        <v>0</v>
      </c>
      <c r="X1938">
        <f>INDIRECT(ADDRESS(1938,23))+INDIRECT(ADDRESS(1936,24))-INDIRECT(ADDRESS(1937,24))</f>
        <v>0</v>
      </c>
      <c r="Y1938">
        <f>INDIRECT(ADDRESS(1938,24))+INDIRECT(ADDRESS(1936,25))-INDIRECT(ADDRESS(1937,25))</f>
        <v>0</v>
      </c>
      <c r="Z1938">
        <f>INDIRECT(ADDRESS(1938,25))+INDIRECT(ADDRESS(1936,26))-INDIRECT(ADDRESS(1937,26))</f>
        <v>0</v>
      </c>
      <c r="AA1938">
        <f>INDIRECT(ADDRESS(1938,26))+INDIRECT(ADDRESS(1936,27))-INDIRECT(ADDRESS(1937,27))</f>
        <v>0</v>
      </c>
      <c r="AB1938">
        <f>INDIRECT(ADDRESS(1938,27))+INDIRECT(ADDRESS(1936,28))-INDIRECT(ADDRESS(1937,28))</f>
        <v>0</v>
      </c>
      <c r="AC1938">
        <f>INDIRECT(ADDRESS(1938,28))+INDIRECT(ADDRESS(1936,29))-INDIRECT(ADDRESS(1937,29))</f>
        <v>0</v>
      </c>
      <c r="AD1938">
        <f>INDIRECT(ADDRESS(1938,29))+INDIRECT(ADDRESS(1936,30))-INDIRECT(ADDRESS(1937,30))</f>
        <v>0</v>
      </c>
      <c r="AE1938">
        <f>INDIRECT(ADDRESS(1938,30))+INDIRECT(ADDRESS(1936,31))-INDIRECT(ADDRESS(1937,31))</f>
        <v>0</v>
      </c>
      <c r="AF1938">
        <f>INDIRECT(ADDRESS(1938,31))+INDIRECT(ADDRESS(1936,32))-INDIRECT(ADDRESS(1937,32))</f>
        <v>0</v>
      </c>
      <c r="AG1938">
        <f>INDIRECT(ADDRESS(1938,32))+INDIRECT(ADDRESS(1936,33))-INDIRECT(ADDRESS(1937,33))</f>
        <v>0</v>
      </c>
      <c r="AH1938">
        <f>INDIRECT(ADDRESS(1938,33))+INDIRECT(ADDRESS(1936,34))-INDIRECT(ADDRESS(1937,34))</f>
        <v>0</v>
      </c>
      <c r="AI1938">
        <f>INDIRECT(ADDRESS(1938,34))+INDIRECT(ADDRESS(1936,35))-INDIRECT(ADDRESS(1937,35))</f>
        <v>0</v>
      </c>
      <c r="AJ1938">
        <f>INDIRECT(ADDRESS(1938,35))+INDIRECT(ADDRESS(1936,36))-INDIRECT(ADDRESS(1937,36))</f>
        <v>0</v>
      </c>
      <c r="AK1938">
        <f>INDIRECT(ADDRESS(1938,36))+INDIRECT(ADDRESS(1936,37))-INDIRECT(ADDRESS(1937,37))</f>
        <v>0</v>
      </c>
      <c r="AL1938">
        <f>INDIRECT(ADDRESS(1938,37))+INDIRECT(ADDRESS(1936,38))-INDIRECT(ADDRESS(1937,38))</f>
        <v>0</v>
      </c>
      <c r="AM1938">
        <f>INDIRECT(ADDRESS(1938,38))+INDIRECT(ADDRESS(1936,39))-INDIRECT(ADDRESS(1937,39))</f>
        <v>0</v>
      </c>
      <c r="AN1938">
        <f>INDIRECT(ADDRESS(1938,39))+INDIRECT(ADDRESS(1936,40))-INDIRECT(ADDRESS(1937,40))</f>
        <v>0</v>
      </c>
      <c r="AO1938">
        <f>SUM(INDIRECT(ADDRESS(1937,8)):INDIRECT(ADDRESS(1937,39)))</f>
        <v>0</v>
      </c>
    </row>
    <row r="1939" spans="1:41">
      <c r="A1939" t="s">
        <v>180</v>
      </c>
      <c r="B1939" t="s">
        <v>862</v>
      </c>
      <c r="C1939" t="s">
        <v>863</v>
      </c>
      <c r="E1939">
        <v>1</v>
      </c>
      <c r="I1939" t="s">
        <v>177</v>
      </c>
    </row>
    <row r="1940" spans="1:41">
      <c r="I1940" t="s">
        <v>178</v>
      </c>
      <c r="J1940">
        <f>IFERROR(VLOOKUP("906-471000-210",B:AB,1+8,0),0)</f>
        <v>0</v>
      </c>
      <c r="K1940">
        <f>IFERROR(VLOOKUP("906-471000-210",B:AB,2+8,0),0)</f>
        <v>0</v>
      </c>
      <c r="L1940">
        <f>IFERROR(VLOOKUP("906-471000-210",B:AB,3+8,0),0)</f>
        <v>0</v>
      </c>
      <c r="M1940">
        <f>IFERROR(VLOOKUP("906-471000-210",B:AB,4+8,0),0)</f>
        <v>0</v>
      </c>
      <c r="N1940">
        <f>IFERROR(VLOOKUP("906-471000-210",B:AB,5+8,0),0)</f>
        <v>0</v>
      </c>
      <c r="O1940">
        <f>IFERROR(VLOOKUP("906-471000-210",B:AB,6+8,0),0)</f>
        <v>0</v>
      </c>
      <c r="P1940">
        <f>IFERROR(VLOOKUP("906-471000-210",B:AB,7+8,0),0)</f>
        <v>0</v>
      </c>
      <c r="Q1940">
        <f>IFERROR(VLOOKUP("906-471000-210",B:AB,8+8,0),0)</f>
        <v>0</v>
      </c>
      <c r="R1940">
        <f>IFERROR(VLOOKUP("906-471000-210",B:AB,9+8,0),0)</f>
        <v>0</v>
      </c>
      <c r="S1940">
        <f>IFERROR(VLOOKUP("906-471000-210",B:AB,10+8,0),0)</f>
        <v>0</v>
      </c>
      <c r="T1940">
        <f>IFERROR(VLOOKUP("906-471000-210",B:AB,11+8,0),0)</f>
        <v>0</v>
      </c>
      <c r="U1940">
        <f>IFERROR(VLOOKUP("906-471000-210",B:AB,12+8,0),0)</f>
        <v>0</v>
      </c>
      <c r="V1940">
        <f>IFERROR(VLOOKUP("906-471000-210",B:AB,13+8,0),0)</f>
        <v>0</v>
      </c>
      <c r="W1940">
        <f>IFERROR(VLOOKUP("906-471000-210",B:AB,14+8,0),0)</f>
        <v>0</v>
      </c>
      <c r="X1940">
        <f>IFERROR(VLOOKUP("906-471000-210",B:AB,15+8,0),0)</f>
        <v>0</v>
      </c>
      <c r="Y1940">
        <f>IFERROR(VLOOKUP("906-471000-210",B:AB,16+8,0),0)</f>
        <v>0</v>
      </c>
      <c r="Z1940">
        <f>IFERROR(VLOOKUP("906-471000-210",B:AB,17+8,0),0)</f>
        <v>0</v>
      </c>
      <c r="AA1940">
        <f>IFERROR(VLOOKUP("906-471000-210",B:AB,18+8,0),0)</f>
        <v>0</v>
      </c>
      <c r="AB1940">
        <f>IFERROR(VLOOKUP("906-471000-210",B:AB,19+8,0),0)</f>
        <v>0</v>
      </c>
      <c r="AC1940">
        <f>IFERROR(VLOOKUP("906-471000-210",B:AB,20+8,0),0)</f>
        <v>0</v>
      </c>
      <c r="AD1940">
        <f>IFERROR(VLOOKUP("906-471000-210",B:AB,21+8,0),0)</f>
        <v>0</v>
      </c>
      <c r="AE1940">
        <f>IFERROR(VLOOKUP("906-471000-210",B:AB,22+8,0),0)</f>
        <v>0</v>
      </c>
      <c r="AF1940">
        <f>IFERROR(VLOOKUP("906-471000-210",B:AB,23+8,0),0)</f>
        <v>0</v>
      </c>
      <c r="AG1940">
        <f>IFERROR(VLOOKUP("906-471000-210",B:AB,24+8,0),0)</f>
        <v>0</v>
      </c>
      <c r="AH1940">
        <f>IFERROR(VLOOKUP("906-471000-210",B:AB,25+8,0),0)</f>
        <v>0</v>
      </c>
      <c r="AI1940">
        <f>IFERROR(VLOOKUP("906-471000-210",B:AB,26+8,0),0)</f>
        <v>0</v>
      </c>
      <c r="AJ1940">
        <f>IFERROR(VLOOKUP("906-471000-210",B:AB,27+8,0),0)</f>
        <v>0</v>
      </c>
      <c r="AK1940">
        <f>IFERROR(VLOOKUP("906-471000-210",B:AB,28+8,0),0)</f>
        <v>0</v>
      </c>
      <c r="AL1940">
        <f>IFERROR(VLOOKUP("906-471000-210",B:AB,29+8,0),0)</f>
        <v>0</v>
      </c>
      <c r="AM1940">
        <f>IFERROR(VLOOKUP("906-471000-210",B:AB,30+8,0),0)</f>
        <v>0</v>
      </c>
      <c r="AN1940">
        <f>IFERROR(VLOOKUP("906-471000-210",B:AB,31+8,0),0)</f>
        <v>0</v>
      </c>
      <c r="AO1940">
        <f>SUN(INDIRECT(ADDRESS(1939,8)):INDIRECT(ADDRESS(1939,39)))</f>
        <v>0</v>
      </c>
    </row>
    <row r="1941" spans="1:41">
      <c r="H1941" t="s">
        <v>179</v>
      </c>
      <c r="J1941">
        <f>INDIRECT(ADDRESS(1941,9))+INDIRECT(ADDRESS(1939,10))-INDIRECT(ADDRESS(1940,10))</f>
        <v>0</v>
      </c>
      <c r="K1941">
        <f>INDIRECT(ADDRESS(1941,10))+INDIRECT(ADDRESS(1939,11))-INDIRECT(ADDRESS(1940,11))</f>
        <v>0</v>
      </c>
      <c r="L1941">
        <f>INDIRECT(ADDRESS(1941,11))+INDIRECT(ADDRESS(1939,12))-INDIRECT(ADDRESS(1940,12))</f>
        <v>0</v>
      </c>
      <c r="M1941">
        <f>INDIRECT(ADDRESS(1941,12))+INDIRECT(ADDRESS(1939,13))-INDIRECT(ADDRESS(1940,13))</f>
        <v>0</v>
      </c>
      <c r="N1941">
        <f>INDIRECT(ADDRESS(1941,13))+INDIRECT(ADDRESS(1939,14))-INDIRECT(ADDRESS(1940,14))</f>
        <v>0</v>
      </c>
      <c r="O1941">
        <f>INDIRECT(ADDRESS(1941,14))+INDIRECT(ADDRESS(1939,15))-INDIRECT(ADDRESS(1940,15))</f>
        <v>0</v>
      </c>
      <c r="P1941">
        <f>INDIRECT(ADDRESS(1941,15))+INDIRECT(ADDRESS(1939,16))-INDIRECT(ADDRESS(1940,16))</f>
        <v>0</v>
      </c>
      <c r="Q1941">
        <f>INDIRECT(ADDRESS(1941,16))+INDIRECT(ADDRESS(1939,17))-INDIRECT(ADDRESS(1940,17))</f>
        <v>0</v>
      </c>
      <c r="R1941">
        <f>INDIRECT(ADDRESS(1941,17))+INDIRECT(ADDRESS(1939,18))-INDIRECT(ADDRESS(1940,18))</f>
        <v>0</v>
      </c>
      <c r="S1941">
        <f>INDIRECT(ADDRESS(1941,18))+INDIRECT(ADDRESS(1939,19))-INDIRECT(ADDRESS(1940,19))</f>
        <v>0</v>
      </c>
      <c r="T1941">
        <f>INDIRECT(ADDRESS(1941,19))+INDIRECT(ADDRESS(1939,20))-INDIRECT(ADDRESS(1940,20))</f>
        <v>0</v>
      </c>
      <c r="U1941">
        <f>INDIRECT(ADDRESS(1941,20))+INDIRECT(ADDRESS(1939,21))-INDIRECT(ADDRESS(1940,21))</f>
        <v>0</v>
      </c>
      <c r="V1941">
        <f>INDIRECT(ADDRESS(1941,21))+INDIRECT(ADDRESS(1939,22))-INDIRECT(ADDRESS(1940,22))</f>
        <v>0</v>
      </c>
      <c r="W1941">
        <f>INDIRECT(ADDRESS(1941,22))+INDIRECT(ADDRESS(1939,23))-INDIRECT(ADDRESS(1940,23))</f>
        <v>0</v>
      </c>
      <c r="X1941">
        <f>INDIRECT(ADDRESS(1941,23))+INDIRECT(ADDRESS(1939,24))-INDIRECT(ADDRESS(1940,24))</f>
        <v>0</v>
      </c>
      <c r="Y1941">
        <f>INDIRECT(ADDRESS(1941,24))+INDIRECT(ADDRESS(1939,25))-INDIRECT(ADDRESS(1940,25))</f>
        <v>0</v>
      </c>
      <c r="Z1941">
        <f>INDIRECT(ADDRESS(1941,25))+INDIRECT(ADDRESS(1939,26))-INDIRECT(ADDRESS(1940,26))</f>
        <v>0</v>
      </c>
      <c r="AA1941">
        <f>INDIRECT(ADDRESS(1941,26))+INDIRECT(ADDRESS(1939,27))-INDIRECT(ADDRESS(1940,27))</f>
        <v>0</v>
      </c>
      <c r="AB1941">
        <f>INDIRECT(ADDRESS(1941,27))+INDIRECT(ADDRESS(1939,28))-INDIRECT(ADDRESS(1940,28))</f>
        <v>0</v>
      </c>
      <c r="AC1941">
        <f>INDIRECT(ADDRESS(1941,28))+INDIRECT(ADDRESS(1939,29))-INDIRECT(ADDRESS(1940,29))</f>
        <v>0</v>
      </c>
      <c r="AD1941">
        <f>INDIRECT(ADDRESS(1941,29))+INDIRECT(ADDRESS(1939,30))-INDIRECT(ADDRESS(1940,30))</f>
        <v>0</v>
      </c>
      <c r="AE1941">
        <f>INDIRECT(ADDRESS(1941,30))+INDIRECT(ADDRESS(1939,31))-INDIRECT(ADDRESS(1940,31))</f>
        <v>0</v>
      </c>
      <c r="AF1941">
        <f>INDIRECT(ADDRESS(1941,31))+INDIRECT(ADDRESS(1939,32))-INDIRECT(ADDRESS(1940,32))</f>
        <v>0</v>
      </c>
      <c r="AG1941">
        <f>INDIRECT(ADDRESS(1941,32))+INDIRECT(ADDRESS(1939,33))-INDIRECT(ADDRESS(1940,33))</f>
        <v>0</v>
      </c>
      <c r="AH1941">
        <f>INDIRECT(ADDRESS(1941,33))+INDIRECT(ADDRESS(1939,34))-INDIRECT(ADDRESS(1940,34))</f>
        <v>0</v>
      </c>
      <c r="AI1941">
        <f>INDIRECT(ADDRESS(1941,34))+INDIRECT(ADDRESS(1939,35))-INDIRECT(ADDRESS(1940,35))</f>
        <v>0</v>
      </c>
      <c r="AJ1941">
        <f>INDIRECT(ADDRESS(1941,35))+INDIRECT(ADDRESS(1939,36))-INDIRECT(ADDRESS(1940,36))</f>
        <v>0</v>
      </c>
      <c r="AK1941">
        <f>INDIRECT(ADDRESS(1941,36))+INDIRECT(ADDRESS(1939,37))-INDIRECT(ADDRESS(1940,37))</f>
        <v>0</v>
      </c>
      <c r="AL1941">
        <f>INDIRECT(ADDRESS(1941,37))+INDIRECT(ADDRESS(1939,38))-INDIRECT(ADDRESS(1940,38))</f>
        <v>0</v>
      </c>
      <c r="AM1941">
        <f>INDIRECT(ADDRESS(1941,38))+INDIRECT(ADDRESS(1939,39))-INDIRECT(ADDRESS(1940,39))</f>
        <v>0</v>
      </c>
      <c r="AN1941">
        <f>INDIRECT(ADDRESS(1941,39))+INDIRECT(ADDRESS(1939,40))-INDIRECT(ADDRESS(1940,40))</f>
        <v>0</v>
      </c>
      <c r="AO1941">
        <f>SUM(INDIRECT(ADDRESS(1940,8)):INDIRECT(ADDRESS(1940,39)))</f>
        <v>0</v>
      </c>
    </row>
    <row r="1942" spans="1:41">
      <c r="A1942" t="s">
        <v>180</v>
      </c>
      <c r="B1942" t="s">
        <v>864</v>
      </c>
      <c r="C1942" t="s">
        <v>865</v>
      </c>
      <c r="E1942">
        <v>1</v>
      </c>
      <c r="I1942" t="s">
        <v>177</v>
      </c>
    </row>
    <row r="1943" spans="1:41">
      <c r="I1943" t="s">
        <v>178</v>
      </c>
      <c r="J1943">
        <f>IFERROR(VLOOKUP("906-471000-210",B:AB,1+8,0),0)</f>
        <v>0</v>
      </c>
      <c r="K1943">
        <f>IFERROR(VLOOKUP("906-471000-210",B:AB,2+8,0),0)</f>
        <v>0</v>
      </c>
      <c r="L1943">
        <f>IFERROR(VLOOKUP("906-471000-210",B:AB,3+8,0),0)</f>
        <v>0</v>
      </c>
      <c r="M1943">
        <f>IFERROR(VLOOKUP("906-471000-210",B:AB,4+8,0),0)</f>
        <v>0</v>
      </c>
      <c r="N1943">
        <f>IFERROR(VLOOKUP("906-471000-210",B:AB,5+8,0),0)</f>
        <v>0</v>
      </c>
      <c r="O1943">
        <f>IFERROR(VLOOKUP("906-471000-210",B:AB,6+8,0),0)</f>
        <v>0</v>
      </c>
      <c r="P1943">
        <f>IFERROR(VLOOKUP("906-471000-210",B:AB,7+8,0),0)</f>
        <v>0</v>
      </c>
      <c r="Q1943">
        <f>IFERROR(VLOOKUP("906-471000-210",B:AB,8+8,0),0)</f>
        <v>0</v>
      </c>
      <c r="R1943">
        <f>IFERROR(VLOOKUP("906-471000-210",B:AB,9+8,0),0)</f>
        <v>0</v>
      </c>
      <c r="S1943">
        <f>IFERROR(VLOOKUP("906-471000-210",B:AB,10+8,0),0)</f>
        <v>0</v>
      </c>
      <c r="T1943">
        <f>IFERROR(VLOOKUP("906-471000-210",B:AB,11+8,0),0)</f>
        <v>0</v>
      </c>
      <c r="U1943">
        <f>IFERROR(VLOOKUP("906-471000-210",B:AB,12+8,0),0)</f>
        <v>0</v>
      </c>
      <c r="V1943">
        <f>IFERROR(VLOOKUP("906-471000-210",B:AB,13+8,0),0)</f>
        <v>0</v>
      </c>
      <c r="W1943">
        <f>IFERROR(VLOOKUP("906-471000-210",B:AB,14+8,0),0)</f>
        <v>0</v>
      </c>
      <c r="X1943">
        <f>IFERROR(VLOOKUP("906-471000-210",B:AB,15+8,0),0)</f>
        <v>0</v>
      </c>
      <c r="Y1943">
        <f>IFERROR(VLOOKUP("906-471000-210",B:AB,16+8,0),0)</f>
        <v>0</v>
      </c>
      <c r="Z1943">
        <f>IFERROR(VLOOKUP("906-471000-210",B:AB,17+8,0),0)</f>
        <v>0</v>
      </c>
      <c r="AA1943">
        <f>IFERROR(VLOOKUP("906-471000-210",B:AB,18+8,0),0)</f>
        <v>0</v>
      </c>
      <c r="AB1943">
        <f>IFERROR(VLOOKUP("906-471000-210",B:AB,19+8,0),0)</f>
        <v>0</v>
      </c>
      <c r="AC1943">
        <f>IFERROR(VLOOKUP("906-471000-210",B:AB,20+8,0),0)</f>
        <v>0</v>
      </c>
      <c r="AD1943">
        <f>IFERROR(VLOOKUP("906-471000-210",B:AB,21+8,0),0)</f>
        <v>0</v>
      </c>
      <c r="AE1943">
        <f>IFERROR(VLOOKUP("906-471000-210",B:AB,22+8,0),0)</f>
        <v>0</v>
      </c>
      <c r="AF1943">
        <f>IFERROR(VLOOKUP("906-471000-210",B:AB,23+8,0),0)</f>
        <v>0</v>
      </c>
      <c r="AG1943">
        <f>IFERROR(VLOOKUP("906-471000-210",B:AB,24+8,0),0)</f>
        <v>0</v>
      </c>
      <c r="AH1943">
        <f>IFERROR(VLOOKUP("906-471000-210",B:AB,25+8,0),0)</f>
        <v>0</v>
      </c>
      <c r="AI1943">
        <f>IFERROR(VLOOKUP("906-471000-210",B:AB,26+8,0),0)</f>
        <v>0</v>
      </c>
      <c r="AJ1943">
        <f>IFERROR(VLOOKUP("906-471000-210",B:AB,27+8,0),0)</f>
        <v>0</v>
      </c>
      <c r="AK1943">
        <f>IFERROR(VLOOKUP("906-471000-210",B:AB,28+8,0),0)</f>
        <v>0</v>
      </c>
      <c r="AL1943">
        <f>IFERROR(VLOOKUP("906-471000-210",B:AB,29+8,0),0)</f>
        <v>0</v>
      </c>
      <c r="AM1943">
        <f>IFERROR(VLOOKUP("906-471000-210",B:AB,30+8,0),0)</f>
        <v>0</v>
      </c>
      <c r="AN1943">
        <f>IFERROR(VLOOKUP("906-471000-210",B:AB,31+8,0),0)</f>
        <v>0</v>
      </c>
      <c r="AO1943">
        <f>SUN(INDIRECT(ADDRESS(1942,8)):INDIRECT(ADDRESS(1942,39)))</f>
        <v>0</v>
      </c>
    </row>
    <row r="1944" spans="1:41">
      <c r="H1944" t="s">
        <v>179</v>
      </c>
      <c r="J1944">
        <f>INDIRECT(ADDRESS(1944,9))+INDIRECT(ADDRESS(1942,10))-INDIRECT(ADDRESS(1943,10))</f>
        <v>0</v>
      </c>
      <c r="K1944">
        <f>INDIRECT(ADDRESS(1944,10))+INDIRECT(ADDRESS(1942,11))-INDIRECT(ADDRESS(1943,11))</f>
        <v>0</v>
      </c>
      <c r="L1944">
        <f>INDIRECT(ADDRESS(1944,11))+INDIRECT(ADDRESS(1942,12))-INDIRECT(ADDRESS(1943,12))</f>
        <v>0</v>
      </c>
      <c r="M1944">
        <f>INDIRECT(ADDRESS(1944,12))+INDIRECT(ADDRESS(1942,13))-INDIRECT(ADDRESS(1943,13))</f>
        <v>0</v>
      </c>
      <c r="N1944">
        <f>INDIRECT(ADDRESS(1944,13))+INDIRECT(ADDRESS(1942,14))-INDIRECT(ADDRESS(1943,14))</f>
        <v>0</v>
      </c>
      <c r="O1944">
        <f>INDIRECT(ADDRESS(1944,14))+INDIRECT(ADDRESS(1942,15))-INDIRECT(ADDRESS(1943,15))</f>
        <v>0</v>
      </c>
      <c r="P1944">
        <f>INDIRECT(ADDRESS(1944,15))+INDIRECT(ADDRESS(1942,16))-INDIRECT(ADDRESS(1943,16))</f>
        <v>0</v>
      </c>
      <c r="Q1944">
        <f>INDIRECT(ADDRESS(1944,16))+INDIRECT(ADDRESS(1942,17))-INDIRECT(ADDRESS(1943,17))</f>
        <v>0</v>
      </c>
      <c r="R1944">
        <f>INDIRECT(ADDRESS(1944,17))+INDIRECT(ADDRESS(1942,18))-INDIRECT(ADDRESS(1943,18))</f>
        <v>0</v>
      </c>
      <c r="S1944">
        <f>INDIRECT(ADDRESS(1944,18))+INDIRECT(ADDRESS(1942,19))-INDIRECT(ADDRESS(1943,19))</f>
        <v>0</v>
      </c>
      <c r="T1944">
        <f>INDIRECT(ADDRESS(1944,19))+INDIRECT(ADDRESS(1942,20))-INDIRECT(ADDRESS(1943,20))</f>
        <v>0</v>
      </c>
      <c r="U1944">
        <f>INDIRECT(ADDRESS(1944,20))+INDIRECT(ADDRESS(1942,21))-INDIRECT(ADDRESS(1943,21))</f>
        <v>0</v>
      </c>
      <c r="V1944">
        <f>INDIRECT(ADDRESS(1944,21))+INDIRECT(ADDRESS(1942,22))-INDIRECT(ADDRESS(1943,22))</f>
        <v>0</v>
      </c>
      <c r="W1944">
        <f>INDIRECT(ADDRESS(1944,22))+INDIRECT(ADDRESS(1942,23))-INDIRECT(ADDRESS(1943,23))</f>
        <v>0</v>
      </c>
      <c r="X1944">
        <f>INDIRECT(ADDRESS(1944,23))+INDIRECT(ADDRESS(1942,24))-INDIRECT(ADDRESS(1943,24))</f>
        <v>0</v>
      </c>
      <c r="Y1944">
        <f>INDIRECT(ADDRESS(1944,24))+INDIRECT(ADDRESS(1942,25))-INDIRECT(ADDRESS(1943,25))</f>
        <v>0</v>
      </c>
      <c r="Z1944">
        <f>INDIRECT(ADDRESS(1944,25))+INDIRECT(ADDRESS(1942,26))-INDIRECT(ADDRESS(1943,26))</f>
        <v>0</v>
      </c>
      <c r="AA1944">
        <f>INDIRECT(ADDRESS(1944,26))+INDIRECT(ADDRESS(1942,27))-INDIRECT(ADDRESS(1943,27))</f>
        <v>0</v>
      </c>
      <c r="AB1944">
        <f>INDIRECT(ADDRESS(1944,27))+INDIRECT(ADDRESS(1942,28))-INDIRECT(ADDRESS(1943,28))</f>
        <v>0</v>
      </c>
      <c r="AC1944">
        <f>INDIRECT(ADDRESS(1944,28))+INDIRECT(ADDRESS(1942,29))-INDIRECT(ADDRESS(1943,29))</f>
        <v>0</v>
      </c>
      <c r="AD1944">
        <f>INDIRECT(ADDRESS(1944,29))+INDIRECT(ADDRESS(1942,30))-INDIRECT(ADDRESS(1943,30))</f>
        <v>0</v>
      </c>
      <c r="AE1944">
        <f>INDIRECT(ADDRESS(1944,30))+INDIRECT(ADDRESS(1942,31))-INDIRECT(ADDRESS(1943,31))</f>
        <v>0</v>
      </c>
      <c r="AF1944">
        <f>INDIRECT(ADDRESS(1944,31))+INDIRECT(ADDRESS(1942,32))-INDIRECT(ADDRESS(1943,32))</f>
        <v>0</v>
      </c>
      <c r="AG1944">
        <f>INDIRECT(ADDRESS(1944,32))+INDIRECT(ADDRESS(1942,33))-INDIRECT(ADDRESS(1943,33))</f>
        <v>0</v>
      </c>
      <c r="AH1944">
        <f>INDIRECT(ADDRESS(1944,33))+INDIRECT(ADDRESS(1942,34))-INDIRECT(ADDRESS(1943,34))</f>
        <v>0</v>
      </c>
      <c r="AI1944">
        <f>INDIRECT(ADDRESS(1944,34))+INDIRECT(ADDRESS(1942,35))-INDIRECT(ADDRESS(1943,35))</f>
        <v>0</v>
      </c>
      <c r="AJ1944">
        <f>INDIRECT(ADDRESS(1944,35))+INDIRECT(ADDRESS(1942,36))-INDIRECT(ADDRESS(1943,36))</f>
        <v>0</v>
      </c>
      <c r="AK1944">
        <f>INDIRECT(ADDRESS(1944,36))+INDIRECT(ADDRESS(1942,37))-INDIRECT(ADDRESS(1943,37))</f>
        <v>0</v>
      </c>
      <c r="AL1944">
        <f>INDIRECT(ADDRESS(1944,37))+INDIRECT(ADDRESS(1942,38))-INDIRECT(ADDRESS(1943,38))</f>
        <v>0</v>
      </c>
      <c r="AM1944">
        <f>INDIRECT(ADDRESS(1944,38))+INDIRECT(ADDRESS(1942,39))-INDIRECT(ADDRESS(1943,39))</f>
        <v>0</v>
      </c>
      <c r="AN1944">
        <f>INDIRECT(ADDRESS(1944,39))+INDIRECT(ADDRESS(1942,40))-INDIRECT(ADDRESS(1943,40))</f>
        <v>0</v>
      </c>
      <c r="AO1944">
        <f>SUM(INDIRECT(ADDRESS(1943,8)):INDIRECT(ADDRESS(1943,39)))</f>
        <v>0</v>
      </c>
    </row>
    <row r="1945" spans="1:41">
      <c r="A1945" t="s">
        <v>185</v>
      </c>
      <c r="B1945" t="s">
        <v>167</v>
      </c>
      <c r="C1945" t="s">
        <v>866</v>
      </c>
      <c r="E1945">
        <v>1</v>
      </c>
      <c r="I1945" t="s">
        <v>177</v>
      </c>
    </row>
    <row r="1946" spans="1:41">
      <c r="I1946" t="s">
        <v>178</v>
      </c>
      <c r="J1946">
        <f>IFERROR(VLOOKUP("906-471000-210",B:AB,1+8,0),0)</f>
        <v>0</v>
      </c>
      <c r="K1946">
        <f>IFERROR(VLOOKUP("906-471000-210",B:AB,2+8,0),0)</f>
        <v>0</v>
      </c>
      <c r="L1946">
        <f>IFERROR(VLOOKUP("906-471000-210",B:AB,3+8,0),0)</f>
        <v>0</v>
      </c>
      <c r="M1946">
        <f>IFERROR(VLOOKUP("906-471000-210",B:AB,4+8,0),0)</f>
        <v>0</v>
      </c>
      <c r="N1946">
        <f>IFERROR(VLOOKUP("906-471000-210",B:AB,5+8,0),0)</f>
        <v>0</v>
      </c>
      <c r="O1946">
        <f>IFERROR(VLOOKUP("906-471000-210",B:AB,6+8,0),0)</f>
        <v>0</v>
      </c>
      <c r="P1946">
        <f>IFERROR(VLOOKUP("906-471000-210",B:AB,7+8,0),0)</f>
        <v>0</v>
      </c>
      <c r="Q1946">
        <f>IFERROR(VLOOKUP("906-471000-210",B:AB,8+8,0),0)</f>
        <v>0</v>
      </c>
      <c r="R1946">
        <f>IFERROR(VLOOKUP("906-471000-210",B:AB,9+8,0),0)</f>
        <v>0</v>
      </c>
      <c r="S1946">
        <f>IFERROR(VLOOKUP("906-471000-210",B:AB,10+8,0),0)</f>
        <v>0</v>
      </c>
      <c r="T1946">
        <f>IFERROR(VLOOKUP("906-471000-210",B:AB,11+8,0),0)</f>
        <v>0</v>
      </c>
      <c r="U1946">
        <f>IFERROR(VLOOKUP("906-471000-210",B:AB,12+8,0),0)</f>
        <v>0</v>
      </c>
      <c r="V1946">
        <f>IFERROR(VLOOKUP("906-471000-210",B:AB,13+8,0),0)</f>
        <v>0</v>
      </c>
      <c r="W1946">
        <f>IFERROR(VLOOKUP("906-471000-210",B:AB,14+8,0),0)</f>
        <v>0</v>
      </c>
      <c r="X1946">
        <f>IFERROR(VLOOKUP("906-471000-210",B:AB,15+8,0),0)</f>
        <v>0</v>
      </c>
      <c r="Y1946">
        <f>IFERROR(VLOOKUP("906-471000-210",B:AB,16+8,0),0)</f>
        <v>0</v>
      </c>
      <c r="Z1946">
        <f>IFERROR(VLOOKUP("906-471000-210",B:AB,17+8,0),0)</f>
        <v>0</v>
      </c>
      <c r="AA1946">
        <f>IFERROR(VLOOKUP("906-471000-210",B:AB,18+8,0),0)</f>
        <v>0</v>
      </c>
      <c r="AB1946">
        <f>IFERROR(VLOOKUP("906-471000-210",B:AB,19+8,0),0)</f>
        <v>0</v>
      </c>
      <c r="AC1946">
        <f>IFERROR(VLOOKUP("906-471000-210",B:AB,20+8,0),0)</f>
        <v>0</v>
      </c>
      <c r="AD1946">
        <f>IFERROR(VLOOKUP("906-471000-210",B:AB,21+8,0),0)</f>
        <v>0</v>
      </c>
      <c r="AE1946">
        <f>IFERROR(VLOOKUP("906-471000-210",B:AB,22+8,0),0)</f>
        <v>0</v>
      </c>
      <c r="AF1946">
        <f>IFERROR(VLOOKUP("906-471000-210",B:AB,23+8,0),0)</f>
        <v>0</v>
      </c>
      <c r="AG1946">
        <f>IFERROR(VLOOKUP("906-471000-210",B:AB,24+8,0),0)</f>
        <v>0</v>
      </c>
      <c r="AH1946">
        <f>IFERROR(VLOOKUP("906-471000-210",B:AB,25+8,0),0)</f>
        <v>0</v>
      </c>
      <c r="AI1946">
        <f>IFERROR(VLOOKUP("906-471000-210",B:AB,26+8,0),0)</f>
        <v>0</v>
      </c>
      <c r="AJ1946">
        <f>IFERROR(VLOOKUP("906-471000-210",B:AB,27+8,0),0)</f>
        <v>0</v>
      </c>
      <c r="AK1946">
        <f>IFERROR(VLOOKUP("906-471000-210",B:AB,28+8,0),0)</f>
        <v>0</v>
      </c>
      <c r="AL1946">
        <f>IFERROR(VLOOKUP("906-471000-210",B:AB,29+8,0),0)</f>
        <v>0</v>
      </c>
      <c r="AM1946">
        <f>IFERROR(VLOOKUP("906-471000-210",B:AB,30+8,0),0)</f>
        <v>0</v>
      </c>
      <c r="AN1946">
        <f>IFERROR(VLOOKUP("906-471000-210",B:AB,31+8,0),0)</f>
        <v>0</v>
      </c>
      <c r="AO1946">
        <f>SUN(INDIRECT(ADDRESS(1945,8)):INDIRECT(ADDRESS(1945,39)))</f>
        <v>0</v>
      </c>
    </row>
    <row r="1947" spans="1:41">
      <c r="H1947" t="s">
        <v>179</v>
      </c>
      <c r="J1947">
        <f>INDIRECT(ADDRESS(1947,9))+INDIRECT(ADDRESS(1945,10))-INDIRECT(ADDRESS(1946,10))</f>
        <v>0</v>
      </c>
      <c r="K1947">
        <f>INDIRECT(ADDRESS(1947,10))+INDIRECT(ADDRESS(1945,11))-INDIRECT(ADDRESS(1946,11))</f>
        <v>0</v>
      </c>
      <c r="L1947">
        <f>INDIRECT(ADDRESS(1947,11))+INDIRECT(ADDRESS(1945,12))-INDIRECT(ADDRESS(1946,12))</f>
        <v>0</v>
      </c>
      <c r="M1947">
        <f>INDIRECT(ADDRESS(1947,12))+INDIRECT(ADDRESS(1945,13))-INDIRECT(ADDRESS(1946,13))</f>
        <v>0</v>
      </c>
      <c r="N1947">
        <f>INDIRECT(ADDRESS(1947,13))+INDIRECT(ADDRESS(1945,14))-INDIRECT(ADDRESS(1946,14))</f>
        <v>0</v>
      </c>
      <c r="O1947">
        <f>INDIRECT(ADDRESS(1947,14))+INDIRECT(ADDRESS(1945,15))-INDIRECT(ADDRESS(1946,15))</f>
        <v>0</v>
      </c>
      <c r="P1947">
        <f>INDIRECT(ADDRESS(1947,15))+INDIRECT(ADDRESS(1945,16))-INDIRECT(ADDRESS(1946,16))</f>
        <v>0</v>
      </c>
      <c r="Q1947">
        <f>INDIRECT(ADDRESS(1947,16))+INDIRECT(ADDRESS(1945,17))-INDIRECT(ADDRESS(1946,17))</f>
        <v>0</v>
      </c>
      <c r="R1947">
        <f>INDIRECT(ADDRESS(1947,17))+INDIRECT(ADDRESS(1945,18))-INDIRECT(ADDRESS(1946,18))</f>
        <v>0</v>
      </c>
      <c r="S1947">
        <f>INDIRECT(ADDRESS(1947,18))+INDIRECT(ADDRESS(1945,19))-INDIRECT(ADDRESS(1946,19))</f>
        <v>0</v>
      </c>
      <c r="T1947">
        <f>INDIRECT(ADDRESS(1947,19))+INDIRECT(ADDRESS(1945,20))-INDIRECT(ADDRESS(1946,20))</f>
        <v>0</v>
      </c>
      <c r="U1947">
        <f>INDIRECT(ADDRESS(1947,20))+INDIRECT(ADDRESS(1945,21))-INDIRECT(ADDRESS(1946,21))</f>
        <v>0</v>
      </c>
      <c r="V1947">
        <f>INDIRECT(ADDRESS(1947,21))+INDIRECT(ADDRESS(1945,22))-INDIRECT(ADDRESS(1946,22))</f>
        <v>0</v>
      </c>
      <c r="W1947">
        <f>INDIRECT(ADDRESS(1947,22))+INDIRECT(ADDRESS(1945,23))-INDIRECT(ADDRESS(1946,23))</f>
        <v>0</v>
      </c>
      <c r="X1947">
        <f>INDIRECT(ADDRESS(1947,23))+INDIRECT(ADDRESS(1945,24))-INDIRECT(ADDRESS(1946,24))</f>
        <v>0</v>
      </c>
      <c r="Y1947">
        <f>INDIRECT(ADDRESS(1947,24))+INDIRECT(ADDRESS(1945,25))-INDIRECT(ADDRESS(1946,25))</f>
        <v>0</v>
      </c>
      <c r="Z1947">
        <f>INDIRECT(ADDRESS(1947,25))+INDIRECT(ADDRESS(1945,26))-INDIRECT(ADDRESS(1946,26))</f>
        <v>0</v>
      </c>
      <c r="AA1947">
        <f>INDIRECT(ADDRESS(1947,26))+INDIRECT(ADDRESS(1945,27))-INDIRECT(ADDRESS(1946,27))</f>
        <v>0</v>
      </c>
      <c r="AB1947">
        <f>INDIRECT(ADDRESS(1947,27))+INDIRECT(ADDRESS(1945,28))-INDIRECT(ADDRESS(1946,28))</f>
        <v>0</v>
      </c>
      <c r="AC1947">
        <f>INDIRECT(ADDRESS(1947,28))+INDIRECT(ADDRESS(1945,29))-INDIRECT(ADDRESS(1946,29))</f>
        <v>0</v>
      </c>
      <c r="AD1947">
        <f>INDIRECT(ADDRESS(1947,29))+INDIRECT(ADDRESS(1945,30))-INDIRECT(ADDRESS(1946,30))</f>
        <v>0</v>
      </c>
      <c r="AE1947">
        <f>INDIRECT(ADDRESS(1947,30))+INDIRECT(ADDRESS(1945,31))-INDIRECT(ADDRESS(1946,31))</f>
        <v>0</v>
      </c>
      <c r="AF1947">
        <f>INDIRECT(ADDRESS(1947,31))+INDIRECT(ADDRESS(1945,32))-INDIRECT(ADDRESS(1946,32))</f>
        <v>0</v>
      </c>
      <c r="AG1947">
        <f>INDIRECT(ADDRESS(1947,32))+INDIRECT(ADDRESS(1945,33))-INDIRECT(ADDRESS(1946,33))</f>
        <v>0</v>
      </c>
      <c r="AH1947">
        <f>INDIRECT(ADDRESS(1947,33))+INDIRECT(ADDRESS(1945,34))-INDIRECT(ADDRESS(1946,34))</f>
        <v>0</v>
      </c>
      <c r="AI1947">
        <f>INDIRECT(ADDRESS(1947,34))+INDIRECT(ADDRESS(1945,35))-INDIRECT(ADDRESS(1946,35))</f>
        <v>0</v>
      </c>
      <c r="AJ1947">
        <f>INDIRECT(ADDRESS(1947,35))+INDIRECT(ADDRESS(1945,36))-INDIRECT(ADDRESS(1946,36))</f>
        <v>0</v>
      </c>
      <c r="AK1947">
        <f>INDIRECT(ADDRESS(1947,36))+INDIRECT(ADDRESS(1945,37))-INDIRECT(ADDRESS(1946,37))</f>
        <v>0</v>
      </c>
      <c r="AL1947">
        <f>INDIRECT(ADDRESS(1947,37))+INDIRECT(ADDRESS(1945,38))-INDIRECT(ADDRESS(1946,38))</f>
        <v>0</v>
      </c>
      <c r="AM1947">
        <f>INDIRECT(ADDRESS(1947,38))+INDIRECT(ADDRESS(1945,39))-INDIRECT(ADDRESS(1946,39))</f>
        <v>0</v>
      </c>
      <c r="AN1947">
        <f>INDIRECT(ADDRESS(1947,39))+INDIRECT(ADDRESS(1945,40))-INDIRECT(ADDRESS(1946,40))</f>
        <v>0</v>
      </c>
      <c r="AO1947">
        <f>SUM(INDIRECT(ADDRESS(1946,8)):INDIRECT(ADDRESS(1946,39)))</f>
        <v>0</v>
      </c>
    </row>
    <row r="1948" spans="1:41">
      <c r="A1948" t="s">
        <v>8</v>
      </c>
      <c r="B1948" t="s">
        <v>164</v>
      </c>
      <c r="C1948" t="s">
        <v>165</v>
      </c>
      <c r="E1948" t="s">
        <v>166</v>
      </c>
      <c r="I1948" t="s">
        <v>177</v>
      </c>
    </row>
    <row r="1949" spans="1:41">
      <c r="I1949" t="s">
        <v>178</v>
      </c>
      <c r="J1949">
        <f>IFERROR(VLOOKUP("906-471000-210",Out!B:AB,1+8,0),0)</f>
        <v>0</v>
      </c>
      <c r="K1949">
        <f>IFERROR(VLOOKUP("906-471000-210",Out!B:AB,2+8,0),0)</f>
        <v>0</v>
      </c>
      <c r="L1949">
        <f>IFERROR(VLOOKUP("906-471000-210",Out!B:AB,3+8,0),0)</f>
        <v>0</v>
      </c>
      <c r="M1949">
        <f>IFERROR(VLOOKUP("906-471000-210",Out!B:AB,4+8,0),0)</f>
        <v>0</v>
      </c>
      <c r="N1949">
        <f>IFERROR(VLOOKUP("906-471000-210",Out!B:AB,5+8,0),0)</f>
        <v>0</v>
      </c>
      <c r="O1949">
        <f>IFERROR(VLOOKUP("906-471000-210",Out!B:AB,6+8,0),0)</f>
        <v>0</v>
      </c>
      <c r="P1949">
        <f>IFERROR(VLOOKUP("906-471000-210",Out!B:AB,7+8,0),0)</f>
        <v>0</v>
      </c>
      <c r="Q1949">
        <f>IFERROR(VLOOKUP("906-471000-210",Out!B:AB,8+8,0),0)</f>
        <v>0</v>
      </c>
      <c r="R1949">
        <f>IFERROR(VLOOKUP("906-471000-210",Out!B:AB,9+8,0),0)</f>
        <v>0</v>
      </c>
      <c r="S1949">
        <f>IFERROR(VLOOKUP("906-471000-210",Out!B:AB,10+8,0),0)</f>
        <v>0</v>
      </c>
      <c r="T1949">
        <f>IFERROR(VLOOKUP("906-471000-210",Out!B:AB,11+8,0),0)</f>
        <v>0</v>
      </c>
      <c r="U1949">
        <f>IFERROR(VLOOKUP("906-471000-210",Out!B:AB,12+8,0),0)</f>
        <v>0</v>
      </c>
      <c r="V1949">
        <f>IFERROR(VLOOKUP("906-471000-210",Out!B:AB,13+8,0),0)</f>
        <v>0</v>
      </c>
      <c r="W1949">
        <f>IFERROR(VLOOKUP("906-471000-210",Out!B:AB,14+8,0),0)</f>
        <v>0</v>
      </c>
      <c r="X1949">
        <f>IFERROR(VLOOKUP("906-471000-210",Out!B:AB,15+8,0),0)</f>
        <v>0</v>
      </c>
      <c r="Y1949">
        <f>IFERROR(VLOOKUP("906-471000-210",Out!B:AB,16+8,0),0)</f>
        <v>0</v>
      </c>
      <c r="Z1949">
        <f>IFERROR(VLOOKUP("906-471000-210",Out!B:AB,17+8,0),0)</f>
        <v>0</v>
      </c>
      <c r="AA1949">
        <f>IFERROR(VLOOKUP("906-471000-210",Out!B:AB,18+8,0),0)</f>
        <v>0</v>
      </c>
      <c r="AB1949">
        <f>IFERROR(VLOOKUP("906-471000-210",Out!B:AB,19+8,0),0)</f>
        <v>0</v>
      </c>
      <c r="AC1949">
        <f>IFERROR(VLOOKUP("906-471000-210",Out!B:AB,20+8,0),0)</f>
        <v>0</v>
      </c>
      <c r="AD1949">
        <f>IFERROR(VLOOKUP("906-471000-210",Out!B:AB,21+8,0),0)</f>
        <v>0</v>
      </c>
      <c r="AE1949">
        <f>IFERROR(VLOOKUP("906-471000-210",Out!B:AB,22+8,0),0)</f>
        <v>0</v>
      </c>
      <c r="AF1949">
        <f>IFERROR(VLOOKUP("906-471000-210",Out!B:AB,23+8,0),0)</f>
        <v>0</v>
      </c>
      <c r="AG1949">
        <f>IFERROR(VLOOKUP("906-471000-210",Out!B:AB,24+8,0),0)</f>
        <v>0</v>
      </c>
      <c r="AH1949">
        <f>IFERROR(VLOOKUP("906-471000-210",Out!B:AB,25+8,0),0)</f>
        <v>0</v>
      </c>
      <c r="AI1949">
        <f>IFERROR(VLOOKUP("906-471000-210",Out!B:AB,26+8,0),0)</f>
        <v>0</v>
      </c>
      <c r="AJ1949">
        <f>IFERROR(VLOOKUP("906-471000-210",Out!B:AB,27+8,0),0)</f>
        <v>0</v>
      </c>
      <c r="AK1949">
        <f>IFERROR(VLOOKUP("906-471000-210",Out!B:AB,28+8,0),0)</f>
        <v>0</v>
      </c>
      <c r="AL1949">
        <f>IFERROR(VLOOKUP("906-471000-210",Out!B:AB,29+8,0),0)</f>
        <v>0</v>
      </c>
      <c r="AM1949">
        <f>IFERROR(VLOOKUP("906-471000-210",Out!B:AB,30+8,0),0)</f>
        <v>0</v>
      </c>
      <c r="AN1949">
        <f>IFERROR(VLOOKUP("906-471000-210",Out!B:AB,31+8,0),0)</f>
        <v>0</v>
      </c>
      <c r="AO1949">
        <f>SUN(INDIRECT(ADDRESS(1948,8)):INDIRECT(ADDRESS(1948,39)))</f>
        <v>0</v>
      </c>
    </row>
    <row r="1950" spans="1:41">
      <c r="H1950" t="s">
        <v>179</v>
      </c>
      <c r="J1950">
        <f>INDIRECT(ADDRESS(1950,9))+INDIRECT(ADDRESS(1948,10))-INDIRECT(ADDRESS(1949,10))</f>
        <v>0</v>
      </c>
      <c r="K1950">
        <f>INDIRECT(ADDRESS(1950,10))+INDIRECT(ADDRESS(1948,11))-INDIRECT(ADDRESS(1949,11))</f>
        <v>0</v>
      </c>
      <c r="L1950">
        <f>INDIRECT(ADDRESS(1950,11))+INDIRECT(ADDRESS(1948,12))-INDIRECT(ADDRESS(1949,12))</f>
        <v>0</v>
      </c>
      <c r="M1950">
        <f>INDIRECT(ADDRESS(1950,12))+INDIRECT(ADDRESS(1948,13))-INDIRECT(ADDRESS(1949,13))</f>
        <v>0</v>
      </c>
      <c r="N1950">
        <f>INDIRECT(ADDRESS(1950,13))+INDIRECT(ADDRESS(1948,14))-INDIRECT(ADDRESS(1949,14))</f>
        <v>0</v>
      </c>
      <c r="O1950">
        <f>INDIRECT(ADDRESS(1950,14))+INDIRECT(ADDRESS(1948,15))-INDIRECT(ADDRESS(1949,15))</f>
        <v>0</v>
      </c>
      <c r="P1950">
        <f>INDIRECT(ADDRESS(1950,15))+INDIRECT(ADDRESS(1948,16))-INDIRECT(ADDRESS(1949,16))</f>
        <v>0</v>
      </c>
      <c r="Q1950">
        <f>INDIRECT(ADDRESS(1950,16))+INDIRECT(ADDRESS(1948,17))-INDIRECT(ADDRESS(1949,17))</f>
        <v>0</v>
      </c>
      <c r="R1950">
        <f>INDIRECT(ADDRESS(1950,17))+INDIRECT(ADDRESS(1948,18))-INDIRECT(ADDRESS(1949,18))</f>
        <v>0</v>
      </c>
      <c r="S1950">
        <f>INDIRECT(ADDRESS(1950,18))+INDIRECT(ADDRESS(1948,19))-INDIRECT(ADDRESS(1949,19))</f>
        <v>0</v>
      </c>
      <c r="T1950">
        <f>INDIRECT(ADDRESS(1950,19))+INDIRECT(ADDRESS(1948,20))-INDIRECT(ADDRESS(1949,20))</f>
        <v>0</v>
      </c>
      <c r="U1950">
        <f>INDIRECT(ADDRESS(1950,20))+INDIRECT(ADDRESS(1948,21))-INDIRECT(ADDRESS(1949,21))</f>
        <v>0</v>
      </c>
      <c r="V1950">
        <f>INDIRECT(ADDRESS(1950,21))+INDIRECT(ADDRESS(1948,22))-INDIRECT(ADDRESS(1949,22))</f>
        <v>0</v>
      </c>
      <c r="W1950">
        <f>INDIRECT(ADDRESS(1950,22))+INDIRECT(ADDRESS(1948,23))-INDIRECT(ADDRESS(1949,23))</f>
        <v>0</v>
      </c>
      <c r="X1950">
        <f>INDIRECT(ADDRESS(1950,23))+INDIRECT(ADDRESS(1948,24))-INDIRECT(ADDRESS(1949,24))</f>
        <v>0</v>
      </c>
      <c r="Y1950">
        <f>INDIRECT(ADDRESS(1950,24))+INDIRECT(ADDRESS(1948,25))-INDIRECT(ADDRESS(1949,25))</f>
        <v>0</v>
      </c>
      <c r="Z1950">
        <f>INDIRECT(ADDRESS(1950,25))+INDIRECT(ADDRESS(1948,26))-INDIRECT(ADDRESS(1949,26))</f>
        <v>0</v>
      </c>
      <c r="AA1950">
        <f>INDIRECT(ADDRESS(1950,26))+INDIRECT(ADDRESS(1948,27))-INDIRECT(ADDRESS(1949,27))</f>
        <v>0</v>
      </c>
      <c r="AB1950">
        <f>INDIRECT(ADDRESS(1950,27))+INDIRECT(ADDRESS(1948,28))-INDIRECT(ADDRESS(1949,28))</f>
        <v>0</v>
      </c>
      <c r="AC1950">
        <f>INDIRECT(ADDRESS(1950,28))+INDIRECT(ADDRESS(1948,29))-INDIRECT(ADDRESS(1949,29))</f>
        <v>0</v>
      </c>
      <c r="AD1950">
        <f>INDIRECT(ADDRESS(1950,29))+INDIRECT(ADDRESS(1948,30))-INDIRECT(ADDRESS(1949,30))</f>
        <v>0</v>
      </c>
      <c r="AE1950">
        <f>INDIRECT(ADDRESS(1950,30))+INDIRECT(ADDRESS(1948,31))-INDIRECT(ADDRESS(1949,31))</f>
        <v>0</v>
      </c>
      <c r="AF1950">
        <f>INDIRECT(ADDRESS(1950,31))+INDIRECT(ADDRESS(1948,32))-INDIRECT(ADDRESS(1949,32))</f>
        <v>0</v>
      </c>
      <c r="AG1950">
        <f>INDIRECT(ADDRESS(1950,32))+INDIRECT(ADDRESS(1948,33))-INDIRECT(ADDRESS(1949,33))</f>
        <v>0</v>
      </c>
      <c r="AH1950">
        <f>INDIRECT(ADDRESS(1950,33))+INDIRECT(ADDRESS(1948,34))-INDIRECT(ADDRESS(1949,34))</f>
        <v>0</v>
      </c>
      <c r="AI1950">
        <f>INDIRECT(ADDRESS(1950,34))+INDIRECT(ADDRESS(1948,35))-INDIRECT(ADDRESS(1949,35))</f>
        <v>0</v>
      </c>
      <c r="AJ1950">
        <f>INDIRECT(ADDRESS(1950,35))+INDIRECT(ADDRESS(1948,36))-INDIRECT(ADDRESS(1949,36))</f>
        <v>0</v>
      </c>
      <c r="AK1950">
        <f>INDIRECT(ADDRESS(1950,36))+INDIRECT(ADDRESS(1948,37))-INDIRECT(ADDRESS(1949,37))</f>
        <v>0</v>
      </c>
      <c r="AL1950">
        <f>INDIRECT(ADDRESS(1950,37))+INDIRECT(ADDRESS(1948,38))-INDIRECT(ADDRESS(1949,38))</f>
        <v>0</v>
      </c>
      <c r="AM1950">
        <f>INDIRECT(ADDRESS(1950,38))+INDIRECT(ADDRESS(1948,39))-INDIRECT(ADDRESS(1949,39))</f>
        <v>0</v>
      </c>
      <c r="AN1950">
        <f>INDIRECT(ADDRESS(1950,39))+INDIRECT(ADDRESS(1948,40))-INDIRECT(ADDRESS(1949,40))</f>
        <v>0</v>
      </c>
      <c r="AO1950">
        <f>SUM(INDIRECT(ADDRESS(1949,8)):INDIRECT(ADDRESS(1949,39)))</f>
        <v>0</v>
      </c>
    </row>
    <row r="1951" spans="1:41">
      <c r="A1951" t="s">
        <v>180</v>
      </c>
      <c r="B1951" t="s">
        <v>862</v>
      </c>
      <c r="C1951" t="s">
        <v>863</v>
      </c>
      <c r="E1951">
        <v>1</v>
      </c>
      <c r="I1951" t="s">
        <v>177</v>
      </c>
    </row>
    <row r="1952" spans="1:41">
      <c r="I1952" t="s">
        <v>178</v>
      </c>
      <c r="J1952">
        <f>IFERROR(VLOOKUP("906-471000-210",B:AB,1+8,0),0)</f>
        <v>0</v>
      </c>
      <c r="K1952">
        <f>IFERROR(VLOOKUP("906-471000-210",B:AB,2+8,0),0)</f>
        <v>0</v>
      </c>
      <c r="L1952">
        <f>IFERROR(VLOOKUP("906-471000-210",B:AB,3+8,0),0)</f>
        <v>0</v>
      </c>
      <c r="M1952">
        <f>IFERROR(VLOOKUP("906-471000-210",B:AB,4+8,0),0)</f>
        <v>0</v>
      </c>
      <c r="N1952">
        <f>IFERROR(VLOOKUP("906-471000-210",B:AB,5+8,0),0)</f>
        <v>0</v>
      </c>
      <c r="O1952">
        <f>IFERROR(VLOOKUP("906-471000-210",B:AB,6+8,0),0)</f>
        <v>0</v>
      </c>
      <c r="P1952">
        <f>IFERROR(VLOOKUP("906-471000-210",B:AB,7+8,0),0)</f>
        <v>0</v>
      </c>
      <c r="Q1952">
        <f>IFERROR(VLOOKUP("906-471000-210",B:AB,8+8,0),0)</f>
        <v>0</v>
      </c>
      <c r="R1952">
        <f>IFERROR(VLOOKUP("906-471000-210",B:AB,9+8,0),0)</f>
        <v>0</v>
      </c>
      <c r="S1952">
        <f>IFERROR(VLOOKUP("906-471000-210",B:AB,10+8,0),0)</f>
        <v>0</v>
      </c>
      <c r="T1952">
        <f>IFERROR(VLOOKUP("906-471000-210",B:AB,11+8,0),0)</f>
        <v>0</v>
      </c>
      <c r="U1952">
        <f>IFERROR(VLOOKUP("906-471000-210",B:AB,12+8,0),0)</f>
        <v>0</v>
      </c>
      <c r="V1952">
        <f>IFERROR(VLOOKUP("906-471000-210",B:AB,13+8,0),0)</f>
        <v>0</v>
      </c>
      <c r="W1952">
        <f>IFERROR(VLOOKUP("906-471000-210",B:AB,14+8,0),0)</f>
        <v>0</v>
      </c>
      <c r="X1952">
        <f>IFERROR(VLOOKUP("906-471000-210",B:AB,15+8,0),0)</f>
        <v>0</v>
      </c>
      <c r="Y1952">
        <f>IFERROR(VLOOKUP("906-471000-210",B:AB,16+8,0),0)</f>
        <v>0</v>
      </c>
      <c r="Z1952">
        <f>IFERROR(VLOOKUP("906-471000-210",B:AB,17+8,0),0)</f>
        <v>0</v>
      </c>
      <c r="AA1952">
        <f>IFERROR(VLOOKUP("906-471000-210",B:AB,18+8,0),0)</f>
        <v>0</v>
      </c>
      <c r="AB1952">
        <f>IFERROR(VLOOKUP("906-471000-210",B:AB,19+8,0),0)</f>
        <v>0</v>
      </c>
      <c r="AC1952">
        <f>IFERROR(VLOOKUP("906-471000-210",B:AB,20+8,0),0)</f>
        <v>0</v>
      </c>
      <c r="AD1952">
        <f>IFERROR(VLOOKUP("906-471000-210",B:AB,21+8,0),0)</f>
        <v>0</v>
      </c>
      <c r="AE1952">
        <f>IFERROR(VLOOKUP("906-471000-210",B:AB,22+8,0),0)</f>
        <v>0</v>
      </c>
      <c r="AF1952">
        <f>IFERROR(VLOOKUP("906-471000-210",B:AB,23+8,0),0)</f>
        <v>0</v>
      </c>
      <c r="AG1952">
        <f>IFERROR(VLOOKUP("906-471000-210",B:AB,24+8,0),0)</f>
        <v>0</v>
      </c>
      <c r="AH1952">
        <f>IFERROR(VLOOKUP("906-471000-210",B:AB,25+8,0),0)</f>
        <v>0</v>
      </c>
      <c r="AI1952">
        <f>IFERROR(VLOOKUP("906-471000-210",B:AB,26+8,0),0)</f>
        <v>0</v>
      </c>
      <c r="AJ1952">
        <f>IFERROR(VLOOKUP("906-471000-210",B:AB,27+8,0),0)</f>
        <v>0</v>
      </c>
      <c r="AK1952">
        <f>IFERROR(VLOOKUP("906-471000-210",B:AB,28+8,0),0)</f>
        <v>0</v>
      </c>
      <c r="AL1952">
        <f>IFERROR(VLOOKUP("906-471000-210",B:AB,29+8,0),0)</f>
        <v>0</v>
      </c>
      <c r="AM1952">
        <f>IFERROR(VLOOKUP("906-471000-210",B:AB,30+8,0),0)</f>
        <v>0</v>
      </c>
      <c r="AN1952">
        <f>IFERROR(VLOOKUP("906-471000-210",B:AB,31+8,0),0)</f>
        <v>0</v>
      </c>
      <c r="AO1952">
        <f>SUN(INDIRECT(ADDRESS(1951,8)):INDIRECT(ADDRESS(1951,39)))</f>
        <v>0</v>
      </c>
    </row>
    <row r="1953" spans="1:41">
      <c r="H1953" t="s">
        <v>179</v>
      </c>
      <c r="J1953">
        <f>INDIRECT(ADDRESS(1953,9))+INDIRECT(ADDRESS(1951,10))-INDIRECT(ADDRESS(1952,10))</f>
        <v>0</v>
      </c>
      <c r="K1953">
        <f>INDIRECT(ADDRESS(1953,10))+INDIRECT(ADDRESS(1951,11))-INDIRECT(ADDRESS(1952,11))</f>
        <v>0</v>
      </c>
      <c r="L1953">
        <f>INDIRECT(ADDRESS(1953,11))+INDIRECT(ADDRESS(1951,12))-INDIRECT(ADDRESS(1952,12))</f>
        <v>0</v>
      </c>
      <c r="M1953">
        <f>INDIRECT(ADDRESS(1953,12))+INDIRECT(ADDRESS(1951,13))-INDIRECT(ADDRESS(1952,13))</f>
        <v>0</v>
      </c>
      <c r="N1953">
        <f>INDIRECT(ADDRESS(1953,13))+INDIRECT(ADDRESS(1951,14))-INDIRECT(ADDRESS(1952,14))</f>
        <v>0</v>
      </c>
      <c r="O1953">
        <f>INDIRECT(ADDRESS(1953,14))+INDIRECT(ADDRESS(1951,15))-INDIRECT(ADDRESS(1952,15))</f>
        <v>0</v>
      </c>
      <c r="P1953">
        <f>INDIRECT(ADDRESS(1953,15))+INDIRECT(ADDRESS(1951,16))-INDIRECT(ADDRESS(1952,16))</f>
        <v>0</v>
      </c>
      <c r="Q1953">
        <f>INDIRECT(ADDRESS(1953,16))+INDIRECT(ADDRESS(1951,17))-INDIRECT(ADDRESS(1952,17))</f>
        <v>0</v>
      </c>
      <c r="R1953">
        <f>INDIRECT(ADDRESS(1953,17))+INDIRECT(ADDRESS(1951,18))-INDIRECT(ADDRESS(1952,18))</f>
        <v>0</v>
      </c>
      <c r="S1953">
        <f>INDIRECT(ADDRESS(1953,18))+INDIRECT(ADDRESS(1951,19))-INDIRECT(ADDRESS(1952,19))</f>
        <v>0</v>
      </c>
      <c r="T1953">
        <f>INDIRECT(ADDRESS(1953,19))+INDIRECT(ADDRESS(1951,20))-INDIRECT(ADDRESS(1952,20))</f>
        <v>0</v>
      </c>
      <c r="U1953">
        <f>INDIRECT(ADDRESS(1953,20))+INDIRECT(ADDRESS(1951,21))-INDIRECT(ADDRESS(1952,21))</f>
        <v>0</v>
      </c>
      <c r="V1953">
        <f>INDIRECT(ADDRESS(1953,21))+INDIRECT(ADDRESS(1951,22))-INDIRECT(ADDRESS(1952,22))</f>
        <v>0</v>
      </c>
      <c r="W1953">
        <f>INDIRECT(ADDRESS(1953,22))+INDIRECT(ADDRESS(1951,23))-INDIRECT(ADDRESS(1952,23))</f>
        <v>0</v>
      </c>
      <c r="X1953">
        <f>INDIRECT(ADDRESS(1953,23))+INDIRECT(ADDRESS(1951,24))-INDIRECT(ADDRESS(1952,24))</f>
        <v>0</v>
      </c>
      <c r="Y1953">
        <f>INDIRECT(ADDRESS(1953,24))+INDIRECT(ADDRESS(1951,25))-INDIRECT(ADDRESS(1952,25))</f>
        <v>0</v>
      </c>
      <c r="Z1953">
        <f>INDIRECT(ADDRESS(1953,25))+INDIRECT(ADDRESS(1951,26))-INDIRECT(ADDRESS(1952,26))</f>
        <v>0</v>
      </c>
      <c r="AA1953">
        <f>INDIRECT(ADDRESS(1953,26))+INDIRECT(ADDRESS(1951,27))-INDIRECT(ADDRESS(1952,27))</f>
        <v>0</v>
      </c>
      <c r="AB1953">
        <f>INDIRECT(ADDRESS(1953,27))+INDIRECT(ADDRESS(1951,28))-INDIRECT(ADDRESS(1952,28))</f>
        <v>0</v>
      </c>
      <c r="AC1953">
        <f>INDIRECT(ADDRESS(1953,28))+INDIRECT(ADDRESS(1951,29))-INDIRECT(ADDRESS(1952,29))</f>
        <v>0</v>
      </c>
      <c r="AD1953">
        <f>INDIRECT(ADDRESS(1953,29))+INDIRECT(ADDRESS(1951,30))-INDIRECT(ADDRESS(1952,30))</f>
        <v>0</v>
      </c>
      <c r="AE1953">
        <f>INDIRECT(ADDRESS(1953,30))+INDIRECT(ADDRESS(1951,31))-INDIRECT(ADDRESS(1952,31))</f>
        <v>0</v>
      </c>
      <c r="AF1953">
        <f>INDIRECT(ADDRESS(1953,31))+INDIRECT(ADDRESS(1951,32))-INDIRECT(ADDRESS(1952,32))</f>
        <v>0</v>
      </c>
      <c r="AG1953">
        <f>INDIRECT(ADDRESS(1953,32))+INDIRECT(ADDRESS(1951,33))-INDIRECT(ADDRESS(1952,33))</f>
        <v>0</v>
      </c>
      <c r="AH1953">
        <f>INDIRECT(ADDRESS(1953,33))+INDIRECT(ADDRESS(1951,34))-INDIRECT(ADDRESS(1952,34))</f>
        <v>0</v>
      </c>
      <c r="AI1953">
        <f>INDIRECT(ADDRESS(1953,34))+INDIRECT(ADDRESS(1951,35))-INDIRECT(ADDRESS(1952,35))</f>
        <v>0</v>
      </c>
      <c r="AJ1953">
        <f>INDIRECT(ADDRESS(1953,35))+INDIRECT(ADDRESS(1951,36))-INDIRECT(ADDRESS(1952,36))</f>
        <v>0</v>
      </c>
      <c r="AK1953">
        <f>INDIRECT(ADDRESS(1953,36))+INDIRECT(ADDRESS(1951,37))-INDIRECT(ADDRESS(1952,37))</f>
        <v>0</v>
      </c>
      <c r="AL1953">
        <f>INDIRECT(ADDRESS(1953,37))+INDIRECT(ADDRESS(1951,38))-INDIRECT(ADDRESS(1952,38))</f>
        <v>0</v>
      </c>
      <c r="AM1953">
        <f>INDIRECT(ADDRESS(1953,38))+INDIRECT(ADDRESS(1951,39))-INDIRECT(ADDRESS(1952,39))</f>
        <v>0</v>
      </c>
      <c r="AN1953">
        <f>INDIRECT(ADDRESS(1953,39))+INDIRECT(ADDRESS(1951,40))-INDIRECT(ADDRESS(1952,40))</f>
        <v>0</v>
      </c>
      <c r="AO1953">
        <f>SUM(INDIRECT(ADDRESS(1952,8)):INDIRECT(ADDRESS(1952,39)))</f>
        <v>0</v>
      </c>
    </row>
    <row r="1954" spans="1:41">
      <c r="A1954" t="s">
        <v>180</v>
      </c>
      <c r="B1954" t="s">
        <v>864</v>
      </c>
      <c r="C1954" t="s">
        <v>865</v>
      </c>
      <c r="E1954">
        <v>1</v>
      </c>
      <c r="I1954" t="s">
        <v>177</v>
      </c>
    </row>
    <row r="1955" spans="1:41">
      <c r="I1955" t="s">
        <v>178</v>
      </c>
      <c r="J1955">
        <f>IFERROR(VLOOKUP("906-471000-210",B:AB,1+8,0),0)</f>
        <v>0</v>
      </c>
      <c r="K1955">
        <f>IFERROR(VLOOKUP("906-471000-210",B:AB,2+8,0),0)</f>
        <v>0</v>
      </c>
      <c r="L1955">
        <f>IFERROR(VLOOKUP("906-471000-210",B:AB,3+8,0),0)</f>
        <v>0</v>
      </c>
      <c r="M1955">
        <f>IFERROR(VLOOKUP("906-471000-210",B:AB,4+8,0),0)</f>
        <v>0</v>
      </c>
      <c r="N1955">
        <f>IFERROR(VLOOKUP("906-471000-210",B:AB,5+8,0),0)</f>
        <v>0</v>
      </c>
      <c r="O1955">
        <f>IFERROR(VLOOKUP("906-471000-210",B:AB,6+8,0),0)</f>
        <v>0</v>
      </c>
      <c r="P1955">
        <f>IFERROR(VLOOKUP("906-471000-210",B:AB,7+8,0),0)</f>
        <v>0</v>
      </c>
      <c r="Q1955">
        <f>IFERROR(VLOOKUP("906-471000-210",B:AB,8+8,0),0)</f>
        <v>0</v>
      </c>
      <c r="R1955">
        <f>IFERROR(VLOOKUP("906-471000-210",B:AB,9+8,0),0)</f>
        <v>0</v>
      </c>
      <c r="S1955">
        <f>IFERROR(VLOOKUP("906-471000-210",B:AB,10+8,0),0)</f>
        <v>0</v>
      </c>
      <c r="T1955">
        <f>IFERROR(VLOOKUP("906-471000-210",B:AB,11+8,0),0)</f>
        <v>0</v>
      </c>
      <c r="U1955">
        <f>IFERROR(VLOOKUP("906-471000-210",B:AB,12+8,0),0)</f>
        <v>0</v>
      </c>
      <c r="V1955">
        <f>IFERROR(VLOOKUP("906-471000-210",B:AB,13+8,0),0)</f>
        <v>0</v>
      </c>
      <c r="W1955">
        <f>IFERROR(VLOOKUP("906-471000-210",B:AB,14+8,0),0)</f>
        <v>0</v>
      </c>
      <c r="X1955">
        <f>IFERROR(VLOOKUP("906-471000-210",B:AB,15+8,0),0)</f>
        <v>0</v>
      </c>
      <c r="Y1955">
        <f>IFERROR(VLOOKUP("906-471000-210",B:AB,16+8,0),0)</f>
        <v>0</v>
      </c>
      <c r="Z1955">
        <f>IFERROR(VLOOKUP("906-471000-210",B:AB,17+8,0),0)</f>
        <v>0</v>
      </c>
      <c r="AA1955">
        <f>IFERROR(VLOOKUP("906-471000-210",B:AB,18+8,0),0)</f>
        <v>0</v>
      </c>
      <c r="AB1955">
        <f>IFERROR(VLOOKUP("906-471000-210",B:AB,19+8,0),0)</f>
        <v>0</v>
      </c>
      <c r="AC1955">
        <f>IFERROR(VLOOKUP("906-471000-210",B:AB,20+8,0),0)</f>
        <v>0</v>
      </c>
      <c r="AD1955">
        <f>IFERROR(VLOOKUP("906-471000-210",B:AB,21+8,0),0)</f>
        <v>0</v>
      </c>
      <c r="AE1955">
        <f>IFERROR(VLOOKUP("906-471000-210",B:AB,22+8,0),0)</f>
        <v>0</v>
      </c>
      <c r="AF1955">
        <f>IFERROR(VLOOKUP("906-471000-210",B:AB,23+8,0),0)</f>
        <v>0</v>
      </c>
      <c r="AG1955">
        <f>IFERROR(VLOOKUP("906-471000-210",B:AB,24+8,0),0)</f>
        <v>0</v>
      </c>
      <c r="AH1955">
        <f>IFERROR(VLOOKUP("906-471000-210",B:AB,25+8,0),0)</f>
        <v>0</v>
      </c>
      <c r="AI1955">
        <f>IFERROR(VLOOKUP("906-471000-210",B:AB,26+8,0),0)</f>
        <v>0</v>
      </c>
      <c r="AJ1955">
        <f>IFERROR(VLOOKUP("906-471000-210",B:AB,27+8,0),0)</f>
        <v>0</v>
      </c>
      <c r="AK1955">
        <f>IFERROR(VLOOKUP("906-471000-210",B:AB,28+8,0),0)</f>
        <v>0</v>
      </c>
      <c r="AL1955">
        <f>IFERROR(VLOOKUP("906-471000-210",B:AB,29+8,0),0)</f>
        <v>0</v>
      </c>
      <c r="AM1955">
        <f>IFERROR(VLOOKUP("906-471000-210",B:AB,30+8,0),0)</f>
        <v>0</v>
      </c>
      <c r="AN1955">
        <f>IFERROR(VLOOKUP("906-471000-210",B:AB,31+8,0),0)</f>
        <v>0</v>
      </c>
      <c r="AO1955">
        <f>SUN(INDIRECT(ADDRESS(1954,8)):INDIRECT(ADDRESS(1954,39)))</f>
        <v>0</v>
      </c>
    </row>
    <row r="1956" spans="1:41">
      <c r="H1956" t="s">
        <v>179</v>
      </c>
      <c r="J1956">
        <f>INDIRECT(ADDRESS(1956,9))+INDIRECT(ADDRESS(1954,10))-INDIRECT(ADDRESS(1955,10))</f>
        <v>0</v>
      </c>
      <c r="K1956">
        <f>INDIRECT(ADDRESS(1956,10))+INDIRECT(ADDRESS(1954,11))-INDIRECT(ADDRESS(1955,11))</f>
        <v>0</v>
      </c>
      <c r="L1956">
        <f>INDIRECT(ADDRESS(1956,11))+INDIRECT(ADDRESS(1954,12))-INDIRECT(ADDRESS(1955,12))</f>
        <v>0</v>
      </c>
      <c r="M1956">
        <f>INDIRECT(ADDRESS(1956,12))+INDIRECT(ADDRESS(1954,13))-INDIRECT(ADDRESS(1955,13))</f>
        <v>0</v>
      </c>
      <c r="N1956">
        <f>INDIRECT(ADDRESS(1956,13))+INDIRECT(ADDRESS(1954,14))-INDIRECT(ADDRESS(1955,14))</f>
        <v>0</v>
      </c>
      <c r="O1956">
        <f>INDIRECT(ADDRESS(1956,14))+INDIRECT(ADDRESS(1954,15))-INDIRECT(ADDRESS(1955,15))</f>
        <v>0</v>
      </c>
      <c r="P1956">
        <f>INDIRECT(ADDRESS(1956,15))+INDIRECT(ADDRESS(1954,16))-INDIRECT(ADDRESS(1955,16))</f>
        <v>0</v>
      </c>
      <c r="Q1956">
        <f>INDIRECT(ADDRESS(1956,16))+INDIRECT(ADDRESS(1954,17))-INDIRECT(ADDRESS(1955,17))</f>
        <v>0</v>
      </c>
      <c r="R1956">
        <f>INDIRECT(ADDRESS(1956,17))+INDIRECT(ADDRESS(1954,18))-INDIRECT(ADDRESS(1955,18))</f>
        <v>0</v>
      </c>
      <c r="S1956">
        <f>INDIRECT(ADDRESS(1956,18))+INDIRECT(ADDRESS(1954,19))-INDIRECT(ADDRESS(1955,19))</f>
        <v>0</v>
      </c>
      <c r="T1956">
        <f>INDIRECT(ADDRESS(1956,19))+INDIRECT(ADDRESS(1954,20))-INDIRECT(ADDRESS(1955,20))</f>
        <v>0</v>
      </c>
      <c r="U1956">
        <f>INDIRECT(ADDRESS(1956,20))+INDIRECT(ADDRESS(1954,21))-INDIRECT(ADDRESS(1955,21))</f>
        <v>0</v>
      </c>
      <c r="V1956">
        <f>INDIRECT(ADDRESS(1956,21))+INDIRECT(ADDRESS(1954,22))-INDIRECT(ADDRESS(1955,22))</f>
        <v>0</v>
      </c>
      <c r="W1956">
        <f>INDIRECT(ADDRESS(1956,22))+INDIRECT(ADDRESS(1954,23))-INDIRECT(ADDRESS(1955,23))</f>
        <v>0</v>
      </c>
      <c r="X1956">
        <f>INDIRECT(ADDRESS(1956,23))+INDIRECT(ADDRESS(1954,24))-INDIRECT(ADDRESS(1955,24))</f>
        <v>0</v>
      </c>
      <c r="Y1956">
        <f>INDIRECT(ADDRESS(1956,24))+INDIRECT(ADDRESS(1954,25))-INDIRECT(ADDRESS(1955,25))</f>
        <v>0</v>
      </c>
      <c r="Z1956">
        <f>INDIRECT(ADDRESS(1956,25))+INDIRECT(ADDRESS(1954,26))-INDIRECT(ADDRESS(1955,26))</f>
        <v>0</v>
      </c>
      <c r="AA1956">
        <f>INDIRECT(ADDRESS(1956,26))+INDIRECT(ADDRESS(1954,27))-INDIRECT(ADDRESS(1955,27))</f>
        <v>0</v>
      </c>
      <c r="AB1956">
        <f>INDIRECT(ADDRESS(1956,27))+INDIRECT(ADDRESS(1954,28))-INDIRECT(ADDRESS(1955,28))</f>
        <v>0</v>
      </c>
      <c r="AC1956">
        <f>INDIRECT(ADDRESS(1956,28))+INDIRECT(ADDRESS(1954,29))-INDIRECT(ADDRESS(1955,29))</f>
        <v>0</v>
      </c>
      <c r="AD1956">
        <f>INDIRECT(ADDRESS(1956,29))+INDIRECT(ADDRESS(1954,30))-INDIRECT(ADDRESS(1955,30))</f>
        <v>0</v>
      </c>
      <c r="AE1956">
        <f>INDIRECT(ADDRESS(1956,30))+INDIRECT(ADDRESS(1954,31))-INDIRECT(ADDRESS(1955,31))</f>
        <v>0</v>
      </c>
      <c r="AF1956">
        <f>INDIRECT(ADDRESS(1956,31))+INDIRECT(ADDRESS(1954,32))-INDIRECT(ADDRESS(1955,32))</f>
        <v>0</v>
      </c>
      <c r="AG1956">
        <f>INDIRECT(ADDRESS(1956,32))+INDIRECT(ADDRESS(1954,33))-INDIRECT(ADDRESS(1955,33))</f>
        <v>0</v>
      </c>
      <c r="AH1956">
        <f>INDIRECT(ADDRESS(1956,33))+INDIRECT(ADDRESS(1954,34))-INDIRECT(ADDRESS(1955,34))</f>
        <v>0</v>
      </c>
      <c r="AI1956">
        <f>INDIRECT(ADDRESS(1956,34))+INDIRECT(ADDRESS(1954,35))-INDIRECT(ADDRESS(1955,35))</f>
        <v>0</v>
      </c>
      <c r="AJ1956">
        <f>INDIRECT(ADDRESS(1956,35))+INDIRECT(ADDRESS(1954,36))-INDIRECT(ADDRESS(1955,36))</f>
        <v>0</v>
      </c>
      <c r="AK1956">
        <f>INDIRECT(ADDRESS(1956,36))+INDIRECT(ADDRESS(1954,37))-INDIRECT(ADDRESS(1955,37))</f>
        <v>0</v>
      </c>
      <c r="AL1956">
        <f>INDIRECT(ADDRESS(1956,37))+INDIRECT(ADDRESS(1954,38))-INDIRECT(ADDRESS(1955,38))</f>
        <v>0</v>
      </c>
      <c r="AM1956">
        <f>INDIRECT(ADDRESS(1956,38))+INDIRECT(ADDRESS(1954,39))-INDIRECT(ADDRESS(1955,39))</f>
        <v>0</v>
      </c>
      <c r="AN1956">
        <f>INDIRECT(ADDRESS(1956,39))+INDIRECT(ADDRESS(1954,40))-INDIRECT(ADDRESS(1955,40))</f>
        <v>0</v>
      </c>
      <c r="AO1956">
        <f>SUM(INDIRECT(ADDRESS(1955,8)):INDIRECT(ADDRESS(1955,39)))</f>
        <v>0</v>
      </c>
    </row>
    <row r="1957" spans="1:41">
      <c r="A1957" t="s">
        <v>185</v>
      </c>
      <c r="B1957" t="s">
        <v>167</v>
      </c>
      <c r="C1957" t="s">
        <v>866</v>
      </c>
      <c r="E1957">
        <v>1</v>
      </c>
      <c r="I1957" t="s">
        <v>177</v>
      </c>
    </row>
    <row r="1958" spans="1:41">
      <c r="I1958" t="s">
        <v>178</v>
      </c>
      <c r="J1958">
        <f>IFERROR(VLOOKUP("906-471000-210",B:AB,1+8,0),0)</f>
        <v>0</v>
      </c>
      <c r="K1958">
        <f>IFERROR(VLOOKUP("906-471000-210",B:AB,2+8,0),0)</f>
        <v>0</v>
      </c>
      <c r="L1958">
        <f>IFERROR(VLOOKUP("906-471000-210",B:AB,3+8,0),0)</f>
        <v>0</v>
      </c>
      <c r="M1958">
        <f>IFERROR(VLOOKUP("906-471000-210",B:AB,4+8,0),0)</f>
        <v>0</v>
      </c>
      <c r="N1958">
        <f>IFERROR(VLOOKUP("906-471000-210",B:AB,5+8,0),0)</f>
        <v>0</v>
      </c>
      <c r="O1958">
        <f>IFERROR(VLOOKUP("906-471000-210",B:AB,6+8,0),0)</f>
        <v>0</v>
      </c>
      <c r="P1958">
        <f>IFERROR(VLOOKUP("906-471000-210",B:AB,7+8,0),0)</f>
        <v>0</v>
      </c>
      <c r="Q1958">
        <f>IFERROR(VLOOKUP("906-471000-210",B:AB,8+8,0),0)</f>
        <v>0</v>
      </c>
      <c r="R1958">
        <f>IFERROR(VLOOKUP("906-471000-210",B:AB,9+8,0),0)</f>
        <v>0</v>
      </c>
      <c r="S1958">
        <f>IFERROR(VLOOKUP("906-471000-210",B:AB,10+8,0),0)</f>
        <v>0</v>
      </c>
      <c r="T1958">
        <f>IFERROR(VLOOKUP("906-471000-210",B:AB,11+8,0),0)</f>
        <v>0</v>
      </c>
      <c r="U1958">
        <f>IFERROR(VLOOKUP("906-471000-210",B:AB,12+8,0),0)</f>
        <v>0</v>
      </c>
      <c r="V1958">
        <f>IFERROR(VLOOKUP("906-471000-210",B:AB,13+8,0),0)</f>
        <v>0</v>
      </c>
      <c r="W1958">
        <f>IFERROR(VLOOKUP("906-471000-210",B:AB,14+8,0),0)</f>
        <v>0</v>
      </c>
      <c r="X1958">
        <f>IFERROR(VLOOKUP("906-471000-210",B:AB,15+8,0),0)</f>
        <v>0</v>
      </c>
      <c r="Y1958">
        <f>IFERROR(VLOOKUP("906-471000-210",B:AB,16+8,0),0)</f>
        <v>0</v>
      </c>
      <c r="Z1958">
        <f>IFERROR(VLOOKUP("906-471000-210",B:AB,17+8,0),0)</f>
        <v>0</v>
      </c>
      <c r="AA1958">
        <f>IFERROR(VLOOKUP("906-471000-210",B:AB,18+8,0),0)</f>
        <v>0</v>
      </c>
      <c r="AB1958">
        <f>IFERROR(VLOOKUP("906-471000-210",B:AB,19+8,0),0)</f>
        <v>0</v>
      </c>
      <c r="AC1958">
        <f>IFERROR(VLOOKUP("906-471000-210",B:AB,20+8,0),0)</f>
        <v>0</v>
      </c>
      <c r="AD1958">
        <f>IFERROR(VLOOKUP("906-471000-210",B:AB,21+8,0),0)</f>
        <v>0</v>
      </c>
      <c r="AE1958">
        <f>IFERROR(VLOOKUP("906-471000-210",B:AB,22+8,0),0)</f>
        <v>0</v>
      </c>
      <c r="AF1958">
        <f>IFERROR(VLOOKUP("906-471000-210",B:AB,23+8,0),0)</f>
        <v>0</v>
      </c>
      <c r="AG1958">
        <f>IFERROR(VLOOKUP("906-471000-210",B:AB,24+8,0),0)</f>
        <v>0</v>
      </c>
      <c r="AH1958">
        <f>IFERROR(VLOOKUP("906-471000-210",B:AB,25+8,0),0)</f>
        <v>0</v>
      </c>
      <c r="AI1958">
        <f>IFERROR(VLOOKUP("906-471000-210",B:AB,26+8,0),0)</f>
        <v>0</v>
      </c>
      <c r="AJ1958">
        <f>IFERROR(VLOOKUP("906-471000-210",B:AB,27+8,0),0)</f>
        <v>0</v>
      </c>
      <c r="AK1958">
        <f>IFERROR(VLOOKUP("906-471000-210",B:AB,28+8,0),0)</f>
        <v>0</v>
      </c>
      <c r="AL1958">
        <f>IFERROR(VLOOKUP("906-471000-210",B:AB,29+8,0),0)</f>
        <v>0</v>
      </c>
      <c r="AM1958">
        <f>IFERROR(VLOOKUP("906-471000-210",B:AB,30+8,0),0)</f>
        <v>0</v>
      </c>
      <c r="AN1958">
        <f>IFERROR(VLOOKUP("906-471000-210",B:AB,31+8,0),0)</f>
        <v>0</v>
      </c>
      <c r="AO1958">
        <f>SUN(INDIRECT(ADDRESS(1957,8)):INDIRECT(ADDRESS(1957,39)))</f>
        <v>0</v>
      </c>
    </row>
    <row r="1959" spans="1:41">
      <c r="H1959" t="s">
        <v>179</v>
      </c>
      <c r="J1959">
        <f>INDIRECT(ADDRESS(1959,9))+INDIRECT(ADDRESS(1957,10))-INDIRECT(ADDRESS(1958,10))</f>
        <v>0</v>
      </c>
      <c r="K1959">
        <f>INDIRECT(ADDRESS(1959,10))+INDIRECT(ADDRESS(1957,11))-INDIRECT(ADDRESS(1958,11))</f>
        <v>0</v>
      </c>
      <c r="L1959">
        <f>INDIRECT(ADDRESS(1959,11))+INDIRECT(ADDRESS(1957,12))-INDIRECT(ADDRESS(1958,12))</f>
        <v>0</v>
      </c>
      <c r="M1959">
        <f>INDIRECT(ADDRESS(1959,12))+INDIRECT(ADDRESS(1957,13))-INDIRECT(ADDRESS(1958,13))</f>
        <v>0</v>
      </c>
      <c r="N1959">
        <f>INDIRECT(ADDRESS(1959,13))+INDIRECT(ADDRESS(1957,14))-INDIRECT(ADDRESS(1958,14))</f>
        <v>0</v>
      </c>
      <c r="O1959">
        <f>INDIRECT(ADDRESS(1959,14))+INDIRECT(ADDRESS(1957,15))-INDIRECT(ADDRESS(1958,15))</f>
        <v>0</v>
      </c>
      <c r="P1959">
        <f>INDIRECT(ADDRESS(1959,15))+INDIRECT(ADDRESS(1957,16))-INDIRECT(ADDRESS(1958,16))</f>
        <v>0</v>
      </c>
      <c r="Q1959">
        <f>INDIRECT(ADDRESS(1959,16))+INDIRECT(ADDRESS(1957,17))-INDIRECT(ADDRESS(1958,17))</f>
        <v>0</v>
      </c>
      <c r="R1959">
        <f>INDIRECT(ADDRESS(1959,17))+INDIRECT(ADDRESS(1957,18))-INDIRECT(ADDRESS(1958,18))</f>
        <v>0</v>
      </c>
      <c r="S1959">
        <f>INDIRECT(ADDRESS(1959,18))+INDIRECT(ADDRESS(1957,19))-INDIRECT(ADDRESS(1958,19))</f>
        <v>0</v>
      </c>
      <c r="T1959">
        <f>INDIRECT(ADDRESS(1959,19))+INDIRECT(ADDRESS(1957,20))-INDIRECT(ADDRESS(1958,20))</f>
        <v>0</v>
      </c>
      <c r="U1959">
        <f>INDIRECT(ADDRESS(1959,20))+INDIRECT(ADDRESS(1957,21))-INDIRECT(ADDRESS(1958,21))</f>
        <v>0</v>
      </c>
      <c r="V1959">
        <f>INDIRECT(ADDRESS(1959,21))+INDIRECT(ADDRESS(1957,22))-INDIRECT(ADDRESS(1958,22))</f>
        <v>0</v>
      </c>
      <c r="W1959">
        <f>INDIRECT(ADDRESS(1959,22))+INDIRECT(ADDRESS(1957,23))-INDIRECT(ADDRESS(1958,23))</f>
        <v>0</v>
      </c>
      <c r="X1959">
        <f>INDIRECT(ADDRESS(1959,23))+INDIRECT(ADDRESS(1957,24))-INDIRECT(ADDRESS(1958,24))</f>
        <v>0</v>
      </c>
      <c r="Y1959">
        <f>INDIRECT(ADDRESS(1959,24))+INDIRECT(ADDRESS(1957,25))-INDIRECT(ADDRESS(1958,25))</f>
        <v>0</v>
      </c>
      <c r="Z1959">
        <f>INDIRECT(ADDRESS(1959,25))+INDIRECT(ADDRESS(1957,26))-INDIRECT(ADDRESS(1958,26))</f>
        <v>0</v>
      </c>
      <c r="AA1959">
        <f>INDIRECT(ADDRESS(1959,26))+INDIRECT(ADDRESS(1957,27))-INDIRECT(ADDRESS(1958,27))</f>
        <v>0</v>
      </c>
      <c r="AB1959">
        <f>INDIRECT(ADDRESS(1959,27))+INDIRECT(ADDRESS(1957,28))-INDIRECT(ADDRESS(1958,28))</f>
        <v>0</v>
      </c>
      <c r="AC1959">
        <f>INDIRECT(ADDRESS(1959,28))+INDIRECT(ADDRESS(1957,29))-INDIRECT(ADDRESS(1958,29))</f>
        <v>0</v>
      </c>
      <c r="AD1959">
        <f>INDIRECT(ADDRESS(1959,29))+INDIRECT(ADDRESS(1957,30))-INDIRECT(ADDRESS(1958,30))</f>
        <v>0</v>
      </c>
      <c r="AE1959">
        <f>INDIRECT(ADDRESS(1959,30))+INDIRECT(ADDRESS(1957,31))-INDIRECT(ADDRESS(1958,31))</f>
        <v>0</v>
      </c>
      <c r="AF1959">
        <f>INDIRECT(ADDRESS(1959,31))+INDIRECT(ADDRESS(1957,32))-INDIRECT(ADDRESS(1958,32))</f>
        <v>0</v>
      </c>
      <c r="AG1959">
        <f>INDIRECT(ADDRESS(1959,32))+INDIRECT(ADDRESS(1957,33))-INDIRECT(ADDRESS(1958,33))</f>
        <v>0</v>
      </c>
      <c r="AH1959">
        <f>INDIRECT(ADDRESS(1959,33))+INDIRECT(ADDRESS(1957,34))-INDIRECT(ADDRESS(1958,34))</f>
        <v>0</v>
      </c>
      <c r="AI1959">
        <f>INDIRECT(ADDRESS(1959,34))+INDIRECT(ADDRESS(1957,35))-INDIRECT(ADDRESS(1958,35))</f>
        <v>0</v>
      </c>
      <c r="AJ1959">
        <f>INDIRECT(ADDRESS(1959,35))+INDIRECT(ADDRESS(1957,36))-INDIRECT(ADDRESS(1958,36))</f>
        <v>0</v>
      </c>
      <c r="AK1959">
        <f>INDIRECT(ADDRESS(1959,36))+INDIRECT(ADDRESS(1957,37))-INDIRECT(ADDRESS(1958,37))</f>
        <v>0</v>
      </c>
      <c r="AL1959">
        <f>INDIRECT(ADDRESS(1959,37))+INDIRECT(ADDRESS(1957,38))-INDIRECT(ADDRESS(1958,38))</f>
        <v>0</v>
      </c>
      <c r="AM1959">
        <f>INDIRECT(ADDRESS(1959,38))+INDIRECT(ADDRESS(1957,39))-INDIRECT(ADDRESS(1958,39))</f>
        <v>0</v>
      </c>
      <c r="AN1959">
        <f>INDIRECT(ADDRESS(1959,39))+INDIRECT(ADDRESS(1957,40))-INDIRECT(ADDRESS(1958,40))</f>
        <v>0</v>
      </c>
      <c r="AO1959">
        <f>SUM(INDIRECT(ADDRESS(1958,8)):INDIRECT(ADDRESS(1958,39)))</f>
        <v>0</v>
      </c>
    </row>
    <row r="1960" spans="1:41">
      <c r="A1960" t="s">
        <v>8</v>
      </c>
      <c r="B1960" t="s">
        <v>167</v>
      </c>
      <c r="C1960" t="s">
        <v>168</v>
      </c>
      <c r="E1960">
        <v>1</v>
      </c>
      <c r="I1960" t="s">
        <v>177</v>
      </c>
    </row>
    <row r="1961" spans="1:41">
      <c r="I1961" t="s">
        <v>178</v>
      </c>
      <c r="J1961">
        <f>IFERROR(VLOOKUP("271-000800-000",Out!B:AB,1+8,0),0)</f>
        <v>0</v>
      </c>
      <c r="K1961">
        <f>IFERROR(VLOOKUP("271-000800-000",Out!B:AB,2+8,0),0)</f>
        <v>0</v>
      </c>
      <c r="L1961">
        <f>IFERROR(VLOOKUP("271-000800-000",Out!B:AB,3+8,0),0)</f>
        <v>0</v>
      </c>
      <c r="M1961">
        <f>IFERROR(VLOOKUP("271-000800-000",Out!B:AB,4+8,0),0)</f>
        <v>0</v>
      </c>
      <c r="N1961">
        <f>IFERROR(VLOOKUP("271-000800-000",Out!B:AB,5+8,0),0)</f>
        <v>0</v>
      </c>
      <c r="O1961">
        <f>IFERROR(VLOOKUP("271-000800-000",Out!B:AB,6+8,0),0)</f>
        <v>0</v>
      </c>
      <c r="P1961">
        <f>IFERROR(VLOOKUP("271-000800-000",Out!B:AB,7+8,0),0)</f>
        <v>0</v>
      </c>
      <c r="Q1961">
        <f>IFERROR(VLOOKUP("271-000800-000",Out!B:AB,8+8,0),0)</f>
        <v>0</v>
      </c>
      <c r="R1961">
        <f>IFERROR(VLOOKUP("271-000800-000",Out!B:AB,9+8,0),0)</f>
        <v>0</v>
      </c>
      <c r="S1961">
        <f>IFERROR(VLOOKUP("271-000800-000",Out!B:AB,10+8,0),0)</f>
        <v>0</v>
      </c>
      <c r="T1961">
        <f>IFERROR(VLOOKUP("271-000800-000",Out!B:AB,11+8,0),0)</f>
        <v>0</v>
      </c>
      <c r="U1961">
        <f>IFERROR(VLOOKUP("271-000800-000",Out!B:AB,12+8,0),0)</f>
        <v>0</v>
      </c>
      <c r="V1961">
        <f>IFERROR(VLOOKUP("271-000800-000",Out!B:AB,13+8,0),0)</f>
        <v>0</v>
      </c>
      <c r="W1961">
        <f>IFERROR(VLOOKUP("271-000800-000",Out!B:AB,14+8,0),0)</f>
        <v>0</v>
      </c>
      <c r="X1961">
        <f>IFERROR(VLOOKUP("271-000800-000",Out!B:AB,15+8,0),0)</f>
        <v>0</v>
      </c>
      <c r="Y1961">
        <f>IFERROR(VLOOKUP("271-000800-000",Out!B:AB,16+8,0),0)</f>
        <v>0</v>
      </c>
      <c r="Z1961">
        <f>IFERROR(VLOOKUP("271-000800-000",Out!B:AB,17+8,0),0)</f>
        <v>0</v>
      </c>
      <c r="AA1961">
        <f>IFERROR(VLOOKUP("271-000800-000",Out!B:AB,18+8,0),0)</f>
        <v>0</v>
      </c>
      <c r="AB1961">
        <f>IFERROR(VLOOKUP("271-000800-000",Out!B:AB,19+8,0),0)</f>
        <v>0</v>
      </c>
      <c r="AC1961">
        <f>IFERROR(VLOOKUP("271-000800-000",Out!B:AB,20+8,0),0)</f>
        <v>0</v>
      </c>
      <c r="AD1961">
        <f>IFERROR(VLOOKUP("271-000800-000",Out!B:AB,21+8,0),0)</f>
        <v>0</v>
      </c>
      <c r="AE1961">
        <f>IFERROR(VLOOKUP("271-000800-000",Out!B:AB,22+8,0),0)</f>
        <v>0</v>
      </c>
      <c r="AF1961">
        <f>IFERROR(VLOOKUP("271-000800-000",Out!B:AB,23+8,0),0)</f>
        <v>0</v>
      </c>
      <c r="AG1961">
        <f>IFERROR(VLOOKUP("271-000800-000",Out!B:AB,24+8,0),0)</f>
        <v>0</v>
      </c>
      <c r="AH1961">
        <f>IFERROR(VLOOKUP("271-000800-000",Out!B:AB,25+8,0),0)</f>
        <v>0</v>
      </c>
      <c r="AI1961">
        <f>IFERROR(VLOOKUP("271-000800-000",Out!B:AB,26+8,0),0)</f>
        <v>0</v>
      </c>
      <c r="AJ1961">
        <f>IFERROR(VLOOKUP("271-000800-000",Out!B:AB,27+8,0),0)</f>
        <v>0</v>
      </c>
      <c r="AK1961">
        <f>IFERROR(VLOOKUP("271-000800-000",Out!B:AB,28+8,0),0)</f>
        <v>0</v>
      </c>
      <c r="AL1961">
        <f>IFERROR(VLOOKUP("271-000800-000",Out!B:AB,29+8,0),0)</f>
        <v>0</v>
      </c>
      <c r="AM1961">
        <f>IFERROR(VLOOKUP("271-000800-000",Out!B:AB,30+8,0),0)</f>
        <v>0</v>
      </c>
      <c r="AN1961">
        <f>IFERROR(VLOOKUP("271-000800-000",Out!B:AB,31+8,0),0)</f>
        <v>0</v>
      </c>
      <c r="AO1961">
        <f>SUN(INDIRECT(ADDRESS(1960,8)):INDIRECT(ADDRESS(1960,39)))</f>
        <v>0</v>
      </c>
    </row>
    <row r="1962" spans="1:41">
      <c r="H1962" t="s">
        <v>179</v>
      </c>
      <c r="J1962">
        <f>INDIRECT(ADDRESS(1962,9))+INDIRECT(ADDRESS(1960,10))-INDIRECT(ADDRESS(1961,10))</f>
        <v>0</v>
      </c>
      <c r="K1962">
        <f>INDIRECT(ADDRESS(1962,10))+INDIRECT(ADDRESS(1960,11))-INDIRECT(ADDRESS(1961,11))</f>
        <v>0</v>
      </c>
      <c r="L1962">
        <f>INDIRECT(ADDRESS(1962,11))+INDIRECT(ADDRESS(1960,12))-INDIRECT(ADDRESS(1961,12))</f>
        <v>0</v>
      </c>
      <c r="M1962">
        <f>INDIRECT(ADDRESS(1962,12))+INDIRECT(ADDRESS(1960,13))-INDIRECT(ADDRESS(1961,13))</f>
        <v>0</v>
      </c>
      <c r="N1962">
        <f>INDIRECT(ADDRESS(1962,13))+INDIRECT(ADDRESS(1960,14))-INDIRECT(ADDRESS(1961,14))</f>
        <v>0</v>
      </c>
      <c r="O1962">
        <f>INDIRECT(ADDRESS(1962,14))+INDIRECT(ADDRESS(1960,15))-INDIRECT(ADDRESS(1961,15))</f>
        <v>0</v>
      </c>
      <c r="P1962">
        <f>INDIRECT(ADDRESS(1962,15))+INDIRECT(ADDRESS(1960,16))-INDIRECT(ADDRESS(1961,16))</f>
        <v>0</v>
      </c>
      <c r="Q1962">
        <f>INDIRECT(ADDRESS(1962,16))+INDIRECT(ADDRESS(1960,17))-INDIRECT(ADDRESS(1961,17))</f>
        <v>0</v>
      </c>
      <c r="R1962">
        <f>INDIRECT(ADDRESS(1962,17))+INDIRECT(ADDRESS(1960,18))-INDIRECT(ADDRESS(1961,18))</f>
        <v>0</v>
      </c>
      <c r="S1962">
        <f>INDIRECT(ADDRESS(1962,18))+INDIRECT(ADDRESS(1960,19))-INDIRECT(ADDRESS(1961,19))</f>
        <v>0</v>
      </c>
      <c r="T1962">
        <f>INDIRECT(ADDRESS(1962,19))+INDIRECT(ADDRESS(1960,20))-INDIRECT(ADDRESS(1961,20))</f>
        <v>0</v>
      </c>
      <c r="U1962">
        <f>INDIRECT(ADDRESS(1962,20))+INDIRECT(ADDRESS(1960,21))-INDIRECT(ADDRESS(1961,21))</f>
        <v>0</v>
      </c>
      <c r="V1962">
        <f>INDIRECT(ADDRESS(1962,21))+INDIRECT(ADDRESS(1960,22))-INDIRECT(ADDRESS(1961,22))</f>
        <v>0</v>
      </c>
      <c r="W1962">
        <f>INDIRECT(ADDRESS(1962,22))+INDIRECT(ADDRESS(1960,23))-INDIRECT(ADDRESS(1961,23))</f>
        <v>0</v>
      </c>
      <c r="X1962">
        <f>INDIRECT(ADDRESS(1962,23))+INDIRECT(ADDRESS(1960,24))-INDIRECT(ADDRESS(1961,24))</f>
        <v>0</v>
      </c>
      <c r="Y1962">
        <f>INDIRECT(ADDRESS(1962,24))+INDIRECT(ADDRESS(1960,25))-INDIRECT(ADDRESS(1961,25))</f>
        <v>0</v>
      </c>
      <c r="Z1962">
        <f>INDIRECT(ADDRESS(1962,25))+INDIRECT(ADDRESS(1960,26))-INDIRECT(ADDRESS(1961,26))</f>
        <v>0</v>
      </c>
      <c r="AA1962">
        <f>INDIRECT(ADDRESS(1962,26))+INDIRECT(ADDRESS(1960,27))-INDIRECT(ADDRESS(1961,27))</f>
        <v>0</v>
      </c>
      <c r="AB1962">
        <f>INDIRECT(ADDRESS(1962,27))+INDIRECT(ADDRESS(1960,28))-INDIRECT(ADDRESS(1961,28))</f>
        <v>0</v>
      </c>
      <c r="AC1962">
        <f>INDIRECT(ADDRESS(1962,28))+INDIRECT(ADDRESS(1960,29))-INDIRECT(ADDRESS(1961,29))</f>
        <v>0</v>
      </c>
      <c r="AD1962">
        <f>INDIRECT(ADDRESS(1962,29))+INDIRECT(ADDRESS(1960,30))-INDIRECT(ADDRESS(1961,30))</f>
        <v>0</v>
      </c>
      <c r="AE1962">
        <f>INDIRECT(ADDRESS(1962,30))+INDIRECT(ADDRESS(1960,31))-INDIRECT(ADDRESS(1961,31))</f>
        <v>0</v>
      </c>
      <c r="AF1962">
        <f>INDIRECT(ADDRESS(1962,31))+INDIRECT(ADDRESS(1960,32))-INDIRECT(ADDRESS(1961,32))</f>
        <v>0</v>
      </c>
      <c r="AG1962">
        <f>INDIRECT(ADDRESS(1962,32))+INDIRECT(ADDRESS(1960,33))-INDIRECT(ADDRESS(1961,33))</f>
        <v>0</v>
      </c>
      <c r="AH1962">
        <f>INDIRECT(ADDRESS(1962,33))+INDIRECT(ADDRESS(1960,34))-INDIRECT(ADDRESS(1961,34))</f>
        <v>0</v>
      </c>
      <c r="AI1962">
        <f>INDIRECT(ADDRESS(1962,34))+INDIRECT(ADDRESS(1960,35))-INDIRECT(ADDRESS(1961,35))</f>
        <v>0</v>
      </c>
      <c r="AJ1962">
        <f>INDIRECT(ADDRESS(1962,35))+INDIRECT(ADDRESS(1960,36))-INDIRECT(ADDRESS(1961,36))</f>
        <v>0</v>
      </c>
      <c r="AK1962">
        <f>INDIRECT(ADDRESS(1962,36))+INDIRECT(ADDRESS(1960,37))-INDIRECT(ADDRESS(1961,37))</f>
        <v>0</v>
      </c>
      <c r="AL1962">
        <f>INDIRECT(ADDRESS(1962,37))+INDIRECT(ADDRESS(1960,38))-INDIRECT(ADDRESS(1961,38))</f>
        <v>0</v>
      </c>
      <c r="AM1962">
        <f>INDIRECT(ADDRESS(1962,38))+INDIRECT(ADDRESS(1960,39))-INDIRECT(ADDRESS(1961,39))</f>
        <v>0</v>
      </c>
      <c r="AN1962">
        <f>INDIRECT(ADDRESS(1962,39))+INDIRECT(ADDRESS(1960,40))-INDIRECT(ADDRESS(1961,40))</f>
        <v>0</v>
      </c>
      <c r="AO1962">
        <f>SUM(INDIRECT(ADDRESS(1961,8)):INDIRECT(ADDRESS(1961,39)))</f>
        <v>0</v>
      </c>
    </row>
    <row r="1963" spans="1:41">
      <c r="A1963" t="s">
        <v>180</v>
      </c>
      <c r="B1963" t="s">
        <v>867</v>
      </c>
      <c r="C1963" t="s">
        <v>868</v>
      </c>
      <c r="E1963">
        <v>1</v>
      </c>
      <c r="I1963" t="s">
        <v>177</v>
      </c>
    </row>
    <row r="1964" spans="1:41">
      <c r="I1964" t="s">
        <v>178</v>
      </c>
      <c r="J1964">
        <f>IFERROR(VLOOKUP("271-000800-000",B:AB,1+8,0),0)</f>
        <v>0</v>
      </c>
      <c r="K1964">
        <f>IFERROR(VLOOKUP("271-000800-000",B:AB,2+8,0),0)</f>
        <v>0</v>
      </c>
      <c r="L1964">
        <f>IFERROR(VLOOKUP("271-000800-000",B:AB,3+8,0),0)</f>
        <v>0</v>
      </c>
      <c r="M1964">
        <f>IFERROR(VLOOKUP("271-000800-000",B:AB,4+8,0),0)</f>
        <v>0</v>
      </c>
      <c r="N1964">
        <f>IFERROR(VLOOKUP("271-000800-000",B:AB,5+8,0),0)</f>
        <v>0</v>
      </c>
      <c r="O1964">
        <f>IFERROR(VLOOKUP("271-000800-000",B:AB,6+8,0),0)</f>
        <v>0</v>
      </c>
      <c r="P1964">
        <f>IFERROR(VLOOKUP("271-000800-000",B:AB,7+8,0),0)</f>
        <v>0</v>
      </c>
      <c r="Q1964">
        <f>IFERROR(VLOOKUP("271-000800-000",B:AB,8+8,0),0)</f>
        <v>0</v>
      </c>
      <c r="R1964">
        <f>IFERROR(VLOOKUP("271-000800-000",B:AB,9+8,0),0)</f>
        <v>0</v>
      </c>
      <c r="S1964">
        <f>IFERROR(VLOOKUP("271-000800-000",B:AB,10+8,0),0)</f>
        <v>0</v>
      </c>
      <c r="T1964">
        <f>IFERROR(VLOOKUP("271-000800-000",B:AB,11+8,0),0)</f>
        <v>0</v>
      </c>
      <c r="U1964">
        <f>IFERROR(VLOOKUP("271-000800-000",B:AB,12+8,0),0)</f>
        <v>0</v>
      </c>
      <c r="V1964">
        <f>IFERROR(VLOOKUP("271-000800-000",B:AB,13+8,0),0)</f>
        <v>0</v>
      </c>
      <c r="W1964">
        <f>IFERROR(VLOOKUP("271-000800-000",B:AB,14+8,0),0)</f>
        <v>0</v>
      </c>
      <c r="X1964">
        <f>IFERROR(VLOOKUP("271-000800-000",B:AB,15+8,0),0)</f>
        <v>0</v>
      </c>
      <c r="Y1964">
        <f>IFERROR(VLOOKUP("271-000800-000",B:AB,16+8,0),0)</f>
        <v>0</v>
      </c>
      <c r="Z1964">
        <f>IFERROR(VLOOKUP("271-000800-000",B:AB,17+8,0),0)</f>
        <v>0</v>
      </c>
      <c r="AA1964">
        <f>IFERROR(VLOOKUP("271-000800-000",B:AB,18+8,0),0)</f>
        <v>0</v>
      </c>
      <c r="AB1964">
        <f>IFERROR(VLOOKUP("271-000800-000",B:AB,19+8,0),0)</f>
        <v>0</v>
      </c>
      <c r="AC1964">
        <f>IFERROR(VLOOKUP("271-000800-000",B:AB,20+8,0),0)</f>
        <v>0</v>
      </c>
      <c r="AD1964">
        <f>IFERROR(VLOOKUP("271-000800-000",B:AB,21+8,0),0)</f>
        <v>0</v>
      </c>
      <c r="AE1964">
        <f>IFERROR(VLOOKUP("271-000800-000",B:AB,22+8,0),0)</f>
        <v>0</v>
      </c>
      <c r="AF1964">
        <f>IFERROR(VLOOKUP("271-000800-000",B:AB,23+8,0),0)</f>
        <v>0</v>
      </c>
      <c r="AG1964">
        <f>IFERROR(VLOOKUP("271-000800-000",B:AB,24+8,0),0)</f>
        <v>0</v>
      </c>
      <c r="AH1964">
        <f>IFERROR(VLOOKUP("271-000800-000",B:AB,25+8,0),0)</f>
        <v>0</v>
      </c>
      <c r="AI1964">
        <f>IFERROR(VLOOKUP("271-000800-000",B:AB,26+8,0),0)</f>
        <v>0</v>
      </c>
      <c r="AJ1964">
        <f>IFERROR(VLOOKUP("271-000800-000",B:AB,27+8,0),0)</f>
        <v>0</v>
      </c>
      <c r="AK1964">
        <f>IFERROR(VLOOKUP("271-000800-000",B:AB,28+8,0),0)</f>
        <v>0</v>
      </c>
      <c r="AL1964">
        <f>IFERROR(VLOOKUP("271-000800-000",B:AB,29+8,0),0)</f>
        <v>0</v>
      </c>
      <c r="AM1964">
        <f>IFERROR(VLOOKUP("271-000800-000",B:AB,30+8,0),0)</f>
        <v>0</v>
      </c>
      <c r="AN1964">
        <f>IFERROR(VLOOKUP("271-000800-000",B:AB,31+8,0),0)</f>
        <v>0</v>
      </c>
      <c r="AO1964">
        <f>SUN(INDIRECT(ADDRESS(1963,8)):INDIRECT(ADDRESS(1963,39)))</f>
        <v>0</v>
      </c>
    </row>
    <row r="1965" spans="1:41">
      <c r="H1965" t="s">
        <v>179</v>
      </c>
      <c r="J1965">
        <f>INDIRECT(ADDRESS(1965,9))+INDIRECT(ADDRESS(1963,10))-INDIRECT(ADDRESS(1964,10))</f>
        <v>0</v>
      </c>
      <c r="K1965">
        <f>INDIRECT(ADDRESS(1965,10))+INDIRECT(ADDRESS(1963,11))-INDIRECT(ADDRESS(1964,11))</f>
        <v>0</v>
      </c>
      <c r="L1965">
        <f>INDIRECT(ADDRESS(1965,11))+INDIRECT(ADDRESS(1963,12))-INDIRECT(ADDRESS(1964,12))</f>
        <v>0</v>
      </c>
      <c r="M1965">
        <f>INDIRECT(ADDRESS(1965,12))+INDIRECT(ADDRESS(1963,13))-INDIRECT(ADDRESS(1964,13))</f>
        <v>0</v>
      </c>
      <c r="N1965">
        <f>INDIRECT(ADDRESS(1965,13))+INDIRECT(ADDRESS(1963,14))-INDIRECT(ADDRESS(1964,14))</f>
        <v>0</v>
      </c>
      <c r="O1965">
        <f>INDIRECT(ADDRESS(1965,14))+INDIRECT(ADDRESS(1963,15))-INDIRECT(ADDRESS(1964,15))</f>
        <v>0</v>
      </c>
      <c r="P1965">
        <f>INDIRECT(ADDRESS(1965,15))+INDIRECT(ADDRESS(1963,16))-INDIRECT(ADDRESS(1964,16))</f>
        <v>0</v>
      </c>
      <c r="Q1965">
        <f>INDIRECT(ADDRESS(1965,16))+INDIRECT(ADDRESS(1963,17))-INDIRECT(ADDRESS(1964,17))</f>
        <v>0</v>
      </c>
      <c r="R1965">
        <f>INDIRECT(ADDRESS(1965,17))+INDIRECT(ADDRESS(1963,18))-INDIRECT(ADDRESS(1964,18))</f>
        <v>0</v>
      </c>
      <c r="S1965">
        <f>INDIRECT(ADDRESS(1965,18))+INDIRECT(ADDRESS(1963,19))-INDIRECT(ADDRESS(1964,19))</f>
        <v>0</v>
      </c>
      <c r="T1965">
        <f>INDIRECT(ADDRESS(1965,19))+INDIRECT(ADDRESS(1963,20))-INDIRECT(ADDRESS(1964,20))</f>
        <v>0</v>
      </c>
      <c r="U1965">
        <f>INDIRECT(ADDRESS(1965,20))+INDIRECT(ADDRESS(1963,21))-INDIRECT(ADDRESS(1964,21))</f>
        <v>0</v>
      </c>
      <c r="V1965">
        <f>INDIRECT(ADDRESS(1965,21))+INDIRECT(ADDRESS(1963,22))-INDIRECT(ADDRESS(1964,22))</f>
        <v>0</v>
      </c>
      <c r="W1965">
        <f>INDIRECT(ADDRESS(1965,22))+INDIRECT(ADDRESS(1963,23))-INDIRECT(ADDRESS(1964,23))</f>
        <v>0</v>
      </c>
      <c r="X1965">
        <f>INDIRECT(ADDRESS(1965,23))+INDIRECT(ADDRESS(1963,24))-INDIRECT(ADDRESS(1964,24))</f>
        <v>0</v>
      </c>
      <c r="Y1965">
        <f>INDIRECT(ADDRESS(1965,24))+INDIRECT(ADDRESS(1963,25))-INDIRECT(ADDRESS(1964,25))</f>
        <v>0</v>
      </c>
      <c r="Z1965">
        <f>INDIRECT(ADDRESS(1965,25))+INDIRECT(ADDRESS(1963,26))-INDIRECT(ADDRESS(1964,26))</f>
        <v>0</v>
      </c>
      <c r="AA1965">
        <f>INDIRECT(ADDRESS(1965,26))+INDIRECT(ADDRESS(1963,27))-INDIRECT(ADDRESS(1964,27))</f>
        <v>0</v>
      </c>
      <c r="AB1965">
        <f>INDIRECT(ADDRESS(1965,27))+INDIRECT(ADDRESS(1963,28))-INDIRECT(ADDRESS(1964,28))</f>
        <v>0</v>
      </c>
      <c r="AC1965">
        <f>INDIRECT(ADDRESS(1965,28))+INDIRECT(ADDRESS(1963,29))-INDIRECT(ADDRESS(1964,29))</f>
        <v>0</v>
      </c>
      <c r="AD1965">
        <f>INDIRECT(ADDRESS(1965,29))+INDIRECT(ADDRESS(1963,30))-INDIRECT(ADDRESS(1964,30))</f>
        <v>0</v>
      </c>
      <c r="AE1965">
        <f>INDIRECT(ADDRESS(1965,30))+INDIRECT(ADDRESS(1963,31))-INDIRECT(ADDRESS(1964,31))</f>
        <v>0</v>
      </c>
      <c r="AF1965">
        <f>INDIRECT(ADDRESS(1965,31))+INDIRECT(ADDRESS(1963,32))-INDIRECT(ADDRESS(1964,32))</f>
        <v>0</v>
      </c>
      <c r="AG1965">
        <f>INDIRECT(ADDRESS(1965,32))+INDIRECT(ADDRESS(1963,33))-INDIRECT(ADDRESS(1964,33))</f>
        <v>0</v>
      </c>
      <c r="AH1965">
        <f>INDIRECT(ADDRESS(1965,33))+INDIRECT(ADDRESS(1963,34))-INDIRECT(ADDRESS(1964,34))</f>
        <v>0</v>
      </c>
      <c r="AI1965">
        <f>INDIRECT(ADDRESS(1965,34))+INDIRECT(ADDRESS(1963,35))-INDIRECT(ADDRESS(1964,35))</f>
        <v>0</v>
      </c>
      <c r="AJ1965">
        <f>INDIRECT(ADDRESS(1965,35))+INDIRECT(ADDRESS(1963,36))-INDIRECT(ADDRESS(1964,36))</f>
        <v>0</v>
      </c>
      <c r="AK1965">
        <f>INDIRECT(ADDRESS(1965,36))+INDIRECT(ADDRESS(1963,37))-INDIRECT(ADDRESS(1964,37))</f>
        <v>0</v>
      </c>
      <c r="AL1965">
        <f>INDIRECT(ADDRESS(1965,37))+INDIRECT(ADDRESS(1963,38))-INDIRECT(ADDRESS(1964,38))</f>
        <v>0</v>
      </c>
      <c r="AM1965">
        <f>INDIRECT(ADDRESS(1965,38))+INDIRECT(ADDRESS(1963,39))-INDIRECT(ADDRESS(1964,39))</f>
        <v>0</v>
      </c>
      <c r="AN1965">
        <f>INDIRECT(ADDRESS(1965,39))+INDIRECT(ADDRESS(1963,40))-INDIRECT(ADDRESS(1964,40))</f>
        <v>0</v>
      </c>
      <c r="AO1965">
        <f>SUM(INDIRECT(ADDRESS(1964,8)):INDIRECT(ADDRESS(1964,39)))</f>
        <v>0</v>
      </c>
    </row>
    <row r="1966" spans="1:41">
      <c r="A1966" t="s">
        <v>185</v>
      </c>
      <c r="B1966" t="s">
        <v>160</v>
      </c>
      <c r="C1966" t="s">
        <v>845</v>
      </c>
      <c r="E1966">
        <v>1</v>
      </c>
      <c r="I1966" t="s">
        <v>177</v>
      </c>
    </row>
    <row r="1967" spans="1:41">
      <c r="I1967" t="s">
        <v>178</v>
      </c>
      <c r="J1967">
        <f>IFERROR(VLOOKUP("271-000800-000",B:AB,1+8,0),0)</f>
        <v>0</v>
      </c>
      <c r="K1967">
        <f>IFERROR(VLOOKUP("271-000800-000",B:AB,2+8,0),0)</f>
        <v>0</v>
      </c>
      <c r="L1967">
        <f>IFERROR(VLOOKUP("271-000800-000",B:AB,3+8,0),0)</f>
        <v>0</v>
      </c>
      <c r="M1967">
        <f>IFERROR(VLOOKUP("271-000800-000",B:AB,4+8,0),0)</f>
        <v>0</v>
      </c>
      <c r="N1967">
        <f>IFERROR(VLOOKUP("271-000800-000",B:AB,5+8,0),0)</f>
        <v>0</v>
      </c>
      <c r="O1967">
        <f>IFERROR(VLOOKUP("271-000800-000",B:AB,6+8,0),0)</f>
        <v>0</v>
      </c>
      <c r="P1967">
        <f>IFERROR(VLOOKUP("271-000800-000",B:AB,7+8,0),0)</f>
        <v>0</v>
      </c>
      <c r="Q1967">
        <f>IFERROR(VLOOKUP("271-000800-000",B:AB,8+8,0),0)</f>
        <v>0</v>
      </c>
      <c r="R1967">
        <f>IFERROR(VLOOKUP("271-000800-000",B:AB,9+8,0),0)</f>
        <v>0</v>
      </c>
      <c r="S1967">
        <f>IFERROR(VLOOKUP("271-000800-000",B:AB,10+8,0),0)</f>
        <v>0</v>
      </c>
      <c r="T1967">
        <f>IFERROR(VLOOKUP("271-000800-000",B:AB,11+8,0),0)</f>
        <v>0</v>
      </c>
      <c r="U1967">
        <f>IFERROR(VLOOKUP("271-000800-000",B:AB,12+8,0),0)</f>
        <v>0</v>
      </c>
      <c r="V1967">
        <f>IFERROR(VLOOKUP("271-000800-000",B:AB,13+8,0),0)</f>
        <v>0</v>
      </c>
      <c r="W1967">
        <f>IFERROR(VLOOKUP("271-000800-000",B:AB,14+8,0),0)</f>
        <v>0</v>
      </c>
      <c r="X1967">
        <f>IFERROR(VLOOKUP("271-000800-000",B:AB,15+8,0),0)</f>
        <v>0</v>
      </c>
      <c r="Y1967">
        <f>IFERROR(VLOOKUP("271-000800-000",B:AB,16+8,0),0)</f>
        <v>0</v>
      </c>
      <c r="Z1967">
        <f>IFERROR(VLOOKUP("271-000800-000",B:AB,17+8,0),0)</f>
        <v>0</v>
      </c>
      <c r="AA1967">
        <f>IFERROR(VLOOKUP("271-000800-000",B:AB,18+8,0),0)</f>
        <v>0</v>
      </c>
      <c r="AB1967">
        <f>IFERROR(VLOOKUP("271-000800-000",B:AB,19+8,0),0)</f>
        <v>0</v>
      </c>
      <c r="AC1967">
        <f>IFERROR(VLOOKUP("271-000800-000",B:AB,20+8,0),0)</f>
        <v>0</v>
      </c>
      <c r="AD1967">
        <f>IFERROR(VLOOKUP("271-000800-000",B:AB,21+8,0),0)</f>
        <v>0</v>
      </c>
      <c r="AE1967">
        <f>IFERROR(VLOOKUP("271-000800-000",B:AB,22+8,0),0)</f>
        <v>0</v>
      </c>
      <c r="AF1967">
        <f>IFERROR(VLOOKUP("271-000800-000",B:AB,23+8,0),0)</f>
        <v>0</v>
      </c>
      <c r="AG1967">
        <f>IFERROR(VLOOKUP("271-000800-000",B:AB,24+8,0),0)</f>
        <v>0</v>
      </c>
      <c r="AH1967">
        <f>IFERROR(VLOOKUP("271-000800-000",B:AB,25+8,0),0)</f>
        <v>0</v>
      </c>
      <c r="AI1967">
        <f>IFERROR(VLOOKUP("271-000800-000",B:AB,26+8,0),0)</f>
        <v>0</v>
      </c>
      <c r="AJ1967">
        <f>IFERROR(VLOOKUP("271-000800-000",B:AB,27+8,0),0)</f>
        <v>0</v>
      </c>
      <c r="AK1967">
        <f>IFERROR(VLOOKUP("271-000800-000",B:AB,28+8,0),0)</f>
        <v>0</v>
      </c>
      <c r="AL1967">
        <f>IFERROR(VLOOKUP("271-000800-000",B:AB,29+8,0),0)</f>
        <v>0</v>
      </c>
      <c r="AM1967">
        <f>IFERROR(VLOOKUP("271-000800-000",B:AB,30+8,0),0)</f>
        <v>0</v>
      </c>
      <c r="AN1967">
        <f>IFERROR(VLOOKUP("271-000800-000",B:AB,31+8,0),0)</f>
        <v>0</v>
      </c>
      <c r="AO1967">
        <f>SUN(INDIRECT(ADDRESS(1966,8)):INDIRECT(ADDRESS(1966,39)))</f>
        <v>0</v>
      </c>
    </row>
    <row r="1968" spans="1:41">
      <c r="H1968" t="s">
        <v>179</v>
      </c>
      <c r="J1968">
        <f>INDIRECT(ADDRESS(1968,9))+INDIRECT(ADDRESS(1966,10))-INDIRECT(ADDRESS(1967,10))</f>
        <v>0</v>
      </c>
      <c r="K1968">
        <f>INDIRECT(ADDRESS(1968,10))+INDIRECT(ADDRESS(1966,11))-INDIRECT(ADDRESS(1967,11))</f>
        <v>0</v>
      </c>
      <c r="L1968">
        <f>INDIRECT(ADDRESS(1968,11))+INDIRECT(ADDRESS(1966,12))-INDIRECT(ADDRESS(1967,12))</f>
        <v>0</v>
      </c>
      <c r="M1968">
        <f>INDIRECT(ADDRESS(1968,12))+INDIRECT(ADDRESS(1966,13))-INDIRECT(ADDRESS(1967,13))</f>
        <v>0</v>
      </c>
      <c r="N1968">
        <f>INDIRECT(ADDRESS(1968,13))+INDIRECT(ADDRESS(1966,14))-INDIRECT(ADDRESS(1967,14))</f>
        <v>0</v>
      </c>
      <c r="O1968">
        <f>INDIRECT(ADDRESS(1968,14))+INDIRECT(ADDRESS(1966,15))-INDIRECT(ADDRESS(1967,15))</f>
        <v>0</v>
      </c>
      <c r="P1968">
        <f>INDIRECT(ADDRESS(1968,15))+INDIRECT(ADDRESS(1966,16))-INDIRECT(ADDRESS(1967,16))</f>
        <v>0</v>
      </c>
      <c r="Q1968">
        <f>INDIRECT(ADDRESS(1968,16))+INDIRECT(ADDRESS(1966,17))-INDIRECT(ADDRESS(1967,17))</f>
        <v>0</v>
      </c>
      <c r="R1968">
        <f>INDIRECT(ADDRESS(1968,17))+INDIRECT(ADDRESS(1966,18))-INDIRECT(ADDRESS(1967,18))</f>
        <v>0</v>
      </c>
      <c r="S1968">
        <f>INDIRECT(ADDRESS(1968,18))+INDIRECT(ADDRESS(1966,19))-INDIRECT(ADDRESS(1967,19))</f>
        <v>0</v>
      </c>
      <c r="T1968">
        <f>INDIRECT(ADDRESS(1968,19))+INDIRECT(ADDRESS(1966,20))-INDIRECT(ADDRESS(1967,20))</f>
        <v>0</v>
      </c>
      <c r="U1968">
        <f>INDIRECT(ADDRESS(1968,20))+INDIRECT(ADDRESS(1966,21))-INDIRECT(ADDRESS(1967,21))</f>
        <v>0</v>
      </c>
      <c r="V1968">
        <f>INDIRECT(ADDRESS(1968,21))+INDIRECT(ADDRESS(1966,22))-INDIRECT(ADDRESS(1967,22))</f>
        <v>0</v>
      </c>
      <c r="W1968">
        <f>INDIRECT(ADDRESS(1968,22))+INDIRECT(ADDRESS(1966,23))-INDIRECT(ADDRESS(1967,23))</f>
        <v>0</v>
      </c>
      <c r="X1968">
        <f>INDIRECT(ADDRESS(1968,23))+INDIRECT(ADDRESS(1966,24))-INDIRECT(ADDRESS(1967,24))</f>
        <v>0</v>
      </c>
      <c r="Y1968">
        <f>INDIRECT(ADDRESS(1968,24))+INDIRECT(ADDRESS(1966,25))-INDIRECT(ADDRESS(1967,25))</f>
        <v>0</v>
      </c>
      <c r="Z1968">
        <f>INDIRECT(ADDRESS(1968,25))+INDIRECT(ADDRESS(1966,26))-INDIRECT(ADDRESS(1967,26))</f>
        <v>0</v>
      </c>
      <c r="AA1968">
        <f>INDIRECT(ADDRESS(1968,26))+INDIRECT(ADDRESS(1966,27))-INDIRECT(ADDRESS(1967,27))</f>
        <v>0</v>
      </c>
      <c r="AB1968">
        <f>INDIRECT(ADDRESS(1968,27))+INDIRECT(ADDRESS(1966,28))-INDIRECT(ADDRESS(1967,28))</f>
        <v>0</v>
      </c>
      <c r="AC1968">
        <f>INDIRECT(ADDRESS(1968,28))+INDIRECT(ADDRESS(1966,29))-INDIRECT(ADDRESS(1967,29))</f>
        <v>0</v>
      </c>
      <c r="AD1968">
        <f>INDIRECT(ADDRESS(1968,29))+INDIRECT(ADDRESS(1966,30))-INDIRECT(ADDRESS(1967,30))</f>
        <v>0</v>
      </c>
      <c r="AE1968">
        <f>INDIRECT(ADDRESS(1968,30))+INDIRECT(ADDRESS(1966,31))-INDIRECT(ADDRESS(1967,31))</f>
        <v>0</v>
      </c>
      <c r="AF1968">
        <f>INDIRECT(ADDRESS(1968,31))+INDIRECT(ADDRESS(1966,32))-INDIRECT(ADDRESS(1967,32))</f>
        <v>0</v>
      </c>
      <c r="AG1968">
        <f>INDIRECT(ADDRESS(1968,32))+INDIRECT(ADDRESS(1966,33))-INDIRECT(ADDRESS(1967,33))</f>
        <v>0</v>
      </c>
      <c r="AH1968">
        <f>INDIRECT(ADDRESS(1968,33))+INDIRECT(ADDRESS(1966,34))-INDIRECT(ADDRESS(1967,34))</f>
        <v>0</v>
      </c>
      <c r="AI1968">
        <f>INDIRECT(ADDRESS(1968,34))+INDIRECT(ADDRESS(1966,35))-INDIRECT(ADDRESS(1967,35))</f>
        <v>0</v>
      </c>
      <c r="AJ1968">
        <f>INDIRECT(ADDRESS(1968,35))+INDIRECT(ADDRESS(1966,36))-INDIRECT(ADDRESS(1967,36))</f>
        <v>0</v>
      </c>
      <c r="AK1968">
        <f>INDIRECT(ADDRESS(1968,36))+INDIRECT(ADDRESS(1966,37))-INDIRECT(ADDRESS(1967,37))</f>
        <v>0</v>
      </c>
      <c r="AL1968">
        <f>INDIRECT(ADDRESS(1968,37))+INDIRECT(ADDRESS(1966,38))-INDIRECT(ADDRESS(1967,38))</f>
        <v>0</v>
      </c>
      <c r="AM1968">
        <f>INDIRECT(ADDRESS(1968,38))+INDIRECT(ADDRESS(1966,39))-INDIRECT(ADDRESS(1967,39))</f>
        <v>0</v>
      </c>
      <c r="AN1968">
        <f>INDIRECT(ADDRESS(1968,39))+INDIRECT(ADDRESS(1966,40))-INDIRECT(ADDRESS(1967,40))</f>
        <v>0</v>
      </c>
      <c r="AO1968">
        <f>SUM(INDIRECT(ADDRESS(1967,8)):INDIRECT(ADDRESS(1967,39)))</f>
        <v>0</v>
      </c>
    </row>
    <row r="1969" spans="1:41">
      <c r="A1969" t="s">
        <v>185</v>
      </c>
      <c r="B1969" t="s">
        <v>169</v>
      </c>
      <c r="C1969" t="s">
        <v>869</v>
      </c>
      <c r="E1969">
        <v>1</v>
      </c>
      <c r="I1969" t="s">
        <v>177</v>
      </c>
    </row>
    <row r="1970" spans="1:41">
      <c r="I1970" t="s">
        <v>178</v>
      </c>
      <c r="J1970">
        <f>IFERROR(VLOOKUP("271-000800-000",B:AB,1+8,0),0)</f>
        <v>0</v>
      </c>
      <c r="K1970">
        <f>IFERROR(VLOOKUP("271-000800-000",B:AB,2+8,0),0)</f>
        <v>0</v>
      </c>
      <c r="L1970">
        <f>IFERROR(VLOOKUP("271-000800-000",B:AB,3+8,0),0)</f>
        <v>0</v>
      </c>
      <c r="M1970">
        <f>IFERROR(VLOOKUP("271-000800-000",B:AB,4+8,0),0)</f>
        <v>0</v>
      </c>
      <c r="N1970">
        <f>IFERROR(VLOOKUP("271-000800-000",B:AB,5+8,0),0)</f>
        <v>0</v>
      </c>
      <c r="O1970">
        <f>IFERROR(VLOOKUP("271-000800-000",B:AB,6+8,0),0)</f>
        <v>0</v>
      </c>
      <c r="P1970">
        <f>IFERROR(VLOOKUP("271-000800-000",B:AB,7+8,0),0)</f>
        <v>0</v>
      </c>
      <c r="Q1970">
        <f>IFERROR(VLOOKUP("271-000800-000",B:AB,8+8,0),0)</f>
        <v>0</v>
      </c>
      <c r="R1970">
        <f>IFERROR(VLOOKUP("271-000800-000",B:AB,9+8,0),0)</f>
        <v>0</v>
      </c>
      <c r="S1970">
        <f>IFERROR(VLOOKUP("271-000800-000",B:AB,10+8,0),0)</f>
        <v>0</v>
      </c>
      <c r="T1970">
        <f>IFERROR(VLOOKUP("271-000800-000",B:AB,11+8,0),0)</f>
        <v>0</v>
      </c>
      <c r="U1970">
        <f>IFERROR(VLOOKUP("271-000800-000",B:AB,12+8,0),0)</f>
        <v>0</v>
      </c>
      <c r="V1970">
        <f>IFERROR(VLOOKUP("271-000800-000",B:AB,13+8,0),0)</f>
        <v>0</v>
      </c>
      <c r="W1970">
        <f>IFERROR(VLOOKUP("271-000800-000",B:AB,14+8,0),0)</f>
        <v>0</v>
      </c>
      <c r="X1970">
        <f>IFERROR(VLOOKUP("271-000800-000",B:AB,15+8,0),0)</f>
        <v>0</v>
      </c>
      <c r="Y1970">
        <f>IFERROR(VLOOKUP("271-000800-000",B:AB,16+8,0),0)</f>
        <v>0</v>
      </c>
      <c r="Z1970">
        <f>IFERROR(VLOOKUP("271-000800-000",B:AB,17+8,0),0)</f>
        <v>0</v>
      </c>
      <c r="AA1970">
        <f>IFERROR(VLOOKUP("271-000800-000",B:AB,18+8,0),0)</f>
        <v>0</v>
      </c>
      <c r="AB1970">
        <f>IFERROR(VLOOKUP("271-000800-000",B:AB,19+8,0),0)</f>
        <v>0</v>
      </c>
      <c r="AC1970">
        <f>IFERROR(VLOOKUP("271-000800-000",B:AB,20+8,0),0)</f>
        <v>0</v>
      </c>
      <c r="AD1970">
        <f>IFERROR(VLOOKUP("271-000800-000",B:AB,21+8,0),0)</f>
        <v>0</v>
      </c>
      <c r="AE1970">
        <f>IFERROR(VLOOKUP("271-000800-000",B:AB,22+8,0),0)</f>
        <v>0</v>
      </c>
      <c r="AF1970">
        <f>IFERROR(VLOOKUP("271-000800-000",B:AB,23+8,0),0)</f>
        <v>0</v>
      </c>
      <c r="AG1970">
        <f>IFERROR(VLOOKUP("271-000800-000",B:AB,24+8,0),0)</f>
        <v>0</v>
      </c>
      <c r="AH1970">
        <f>IFERROR(VLOOKUP("271-000800-000",B:AB,25+8,0),0)</f>
        <v>0</v>
      </c>
      <c r="AI1970">
        <f>IFERROR(VLOOKUP("271-000800-000",B:AB,26+8,0),0)</f>
        <v>0</v>
      </c>
      <c r="AJ1970">
        <f>IFERROR(VLOOKUP("271-000800-000",B:AB,27+8,0),0)</f>
        <v>0</v>
      </c>
      <c r="AK1970">
        <f>IFERROR(VLOOKUP("271-000800-000",B:AB,28+8,0),0)</f>
        <v>0</v>
      </c>
      <c r="AL1970">
        <f>IFERROR(VLOOKUP("271-000800-000",B:AB,29+8,0),0)</f>
        <v>0</v>
      </c>
      <c r="AM1970">
        <f>IFERROR(VLOOKUP("271-000800-000",B:AB,30+8,0),0)</f>
        <v>0</v>
      </c>
      <c r="AN1970">
        <f>IFERROR(VLOOKUP("271-000800-000",B:AB,31+8,0),0)</f>
        <v>0</v>
      </c>
      <c r="AO1970">
        <f>SUN(INDIRECT(ADDRESS(1969,8)):INDIRECT(ADDRESS(1969,39)))</f>
        <v>0</v>
      </c>
    </row>
    <row r="1971" spans="1:41">
      <c r="H1971" t="s">
        <v>179</v>
      </c>
      <c r="J1971">
        <f>INDIRECT(ADDRESS(1971,9))+INDIRECT(ADDRESS(1969,10))-INDIRECT(ADDRESS(1970,10))</f>
        <v>0</v>
      </c>
      <c r="K1971">
        <f>INDIRECT(ADDRESS(1971,10))+INDIRECT(ADDRESS(1969,11))-INDIRECT(ADDRESS(1970,11))</f>
        <v>0</v>
      </c>
      <c r="L1971">
        <f>INDIRECT(ADDRESS(1971,11))+INDIRECT(ADDRESS(1969,12))-INDIRECT(ADDRESS(1970,12))</f>
        <v>0</v>
      </c>
      <c r="M1971">
        <f>INDIRECT(ADDRESS(1971,12))+INDIRECT(ADDRESS(1969,13))-INDIRECT(ADDRESS(1970,13))</f>
        <v>0</v>
      </c>
      <c r="N1971">
        <f>INDIRECT(ADDRESS(1971,13))+INDIRECT(ADDRESS(1969,14))-INDIRECT(ADDRESS(1970,14))</f>
        <v>0</v>
      </c>
      <c r="O1971">
        <f>INDIRECT(ADDRESS(1971,14))+INDIRECT(ADDRESS(1969,15))-INDIRECT(ADDRESS(1970,15))</f>
        <v>0</v>
      </c>
      <c r="P1971">
        <f>INDIRECT(ADDRESS(1971,15))+INDIRECT(ADDRESS(1969,16))-INDIRECT(ADDRESS(1970,16))</f>
        <v>0</v>
      </c>
      <c r="Q1971">
        <f>INDIRECT(ADDRESS(1971,16))+INDIRECT(ADDRESS(1969,17))-INDIRECT(ADDRESS(1970,17))</f>
        <v>0</v>
      </c>
      <c r="R1971">
        <f>INDIRECT(ADDRESS(1971,17))+INDIRECT(ADDRESS(1969,18))-INDIRECT(ADDRESS(1970,18))</f>
        <v>0</v>
      </c>
      <c r="S1971">
        <f>INDIRECT(ADDRESS(1971,18))+INDIRECT(ADDRESS(1969,19))-INDIRECT(ADDRESS(1970,19))</f>
        <v>0</v>
      </c>
      <c r="T1971">
        <f>INDIRECT(ADDRESS(1971,19))+INDIRECT(ADDRESS(1969,20))-INDIRECT(ADDRESS(1970,20))</f>
        <v>0</v>
      </c>
      <c r="U1971">
        <f>INDIRECT(ADDRESS(1971,20))+INDIRECT(ADDRESS(1969,21))-INDIRECT(ADDRESS(1970,21))</f>
        <v>0</v>
      </c>
      <c r="V1971">
        <f>INDIRECT(ADDRESS(1971,21))+INDIRECT(ADDRESS(1969,22))-INDIRECT(ADDRESS(1970,22))</f>
        <v>0</v>
      </c>
      <c r="W1971">
        <f>INDIRECT(ADDRESS(1971,22))+INDIRECT(ADDRESS(1969,23))-INDIRECT(ADDRESS(1970,23))</f>
        <v>0</v>
      </c>
      <c r="X1971">
        <f>INDIRECT(ADDRESS(1971,23))+INDIRECT(ADDRESS(1969,24))-INDIRECT(ADDRESS(1970,24))</f>
        <v>0</v>
      </c>
      <c r="Y1971">
        <f>INDIRECT(ADDRESS(1971,24))+INDIRECT(ADDRESS(1969,25))-INDIRECT(ADDRESS(1970,25))</f>
        <v>0</v>
      </c>
      <c r="Z1971">
        <f>INDIRECT(ADDRESS(1971,25))+INDIRECT(ADDRESS(1969,26))-INDIRECT(ADDRESS(1970,26))</f>
        <v>0</v>
      </c>
      <c r="AA1971">
        <f>INDIRECT(ADDRESS(1971,26))+INDIRECT(ADDRESS(1969,27))-INDIRECT(ADDRESS(1970,27))</f>
        <v>0</v>
      </c>
      <c r="AB1971">
        <f>INDIRECT(ADDRESS(1971,27))+INDIRECT(ADDRESS(1969,28))-INDIRECT(ADDRESS(1970,28))</f>
        <v>0</v>
      </c>
      <c r="AC1971">
        <f>INDIRECT(ADDRESS(1971,28))+INDIRECT(ADDRESS(1969,29))-INDIRECT(ADDRESS(1970,29))</f>
        <v>0</v>
      </c>
      <c r="AD1971">
        <f>INDIRECT(ADDRESS(1971,29))+INDIRECT(ADDRESS(1969,30))-INDIRECT(ADDRESS(1970,30))</f>
        <v>0</v>
      </c>
      <c r="AE1971">
        <f>INDIRECT(ADDRESS(1971,30))+INDIRECT(ADDRESS(1969,31))-INDIRECT(ADDRESS(1970,31))</f>
        <v>0</v>
      </c>
      <c r="AF1971">
        <f>INDIRECT(ADDRESS(1971,31))+INDIRECT(ADDRESS(1969,32))-INDIRECT(ADDRESS(1970,32))</f>
        <v>0</v>
      </c>
      <c r="AG1971">
        <f>INDIRECT(ADDRESS(1971,32))+INDIRECT(ADDRESS(1969,33))-INDIRECT(ADDRESS(1970,33))</f>
        <v>0</v>
      </c>
      <c r="AH1971">
        <f>INDIRECT(ADDRESS(1971,33))+INDIRECT(ADDRESS(1969,34))-INDIRECT(ADDRESS(1970,34))</f>
        <v>0</v>
      </c>
      <c r="AI1971">
        <f>INDIRECT(ADDRESS(1971,34))+INDIRECT(ADDRESS(1969,35))-INDIRECT(ADDRESS(1970,35))</f>
        <v>0</v>
      </c>
      <c r="AJ1971">
        <f>INDIRECT(ADDRESS(1971,35))+INDIRECT(ADDRESS(1969,36))-INDIRECT(ADDRESS(1970,36))</f>
        <v>0</v>
      </c>
      <c r="AK1971">
        <f>INDIRECT(ADDRESS(1971,36))+INDIRECT(ADDRESS(1969,37))-INDIRECT(ADDRESS(1970,37))</f>
        <v>0</v>
      </c>
      <c r="AL1971">
        <f>INDIRECT(ADDRESS(1971,37))+INDIRECT(ADDRESS(1969,38))-INDIRECT(ADDRESS(1970,38))</f>
        <v>0</v>
      </c>
      <c r="AM1971">
        <f>INDIRECT(ADDRESS(1971,38))+INDIRECT(ADDRESS(1969,39))-INDIRECT(ADDRESS(1970,39))</f>
        <v>0</v>
      </c>
      <c r="AN1971">
        <f>INDIRECT(ADDRESS(1971,39))+INDIRECT(ADDRESS(1969,40))-INDIRECT(ADDRESS(1970,40))</f>
        <v>0</v>
      </c>
      <c r="AO1971">
        <f>SUM(INDIRECT(ADDRESS(1970,8)):INDIRECT(ADDRESS(1970,39)))</f>
        <v>0</v>
      </c>
    </row>
    <row r="1972" spans="1:41">
      <c r="A1972" t="s">
        <v>8</v>
      </c>
      <c r="B1972" t="s">
        <v>169</v>
      </c>
      <c r="C1972" t="s">
        <v>170</v>
      </c>
      <c r="E1972" t="s">
        <v>166</v>
      </c>
      <c r="I1972" t="s">
        <v>177</v>
      </c>
    </row>
    <row r="1973" spans="1:41">
      <c r="I1973" t="s">
        <v>178</v>
      </c>
      <c r="J1973">
        <f>IFERROR(VLOOKUP("623-000000-002",Out!B:AB,1+8,0),0)</f>
        <v>0</v>
      </c>
      <c r="K1973">
        <f>IFERROR(VLOOKUP("623-000000-002",Out!B:AB,2+8,0),0)</f>
        <v>0</v>
      </c>
      <c r="L1973">
        <f>IFERROR(VLOOKUP("623-000000-002",Out!B:AB,3+8,0),0)</f>
        <v>0</v>
      </c>
      <c r="M1973">
        <f>IFERROR(VLOOKUP("623-000000-002",Out!B:AB,4+8,0),0)</f>
        <v>0</v>
      </c>
      <c r="N1973">
        <f>IFERROR(VLOOKUP("623-000000-002",Out!B:AB,5+8,0),0)</f>
        <v>0</v>
      </c>
      <c r="O1973">
        <f>IFERROR(VLOOKUP("623-000000-002",Out!B:AB,6+8,0),0)</f>
        <v>0</v>
      </c>
      <c r="P1973">
        <f>IFERROR(VLOOKUP("623-000000-002",Out!B:AB,7+8,0),0)</f>
        <v>0</v>
      </c>
      <c r="Q1973">
        <f>IFERROR(VLOOKUP("623-000000-002",Out!B:AB,8+8,0),0)</f>
        <v>0</v>
      </c>
      <c r="R1973">
        <f>IFERROR(VLOOKUP("623-000000-002",Out!B:AB,9+8,0),0)</f>
        <v>0</v>
      </c>
      <c r="S1973">
        <f>IFERROR(VLOOKUP("623-000000-002",Out!B:AB,10+8,0),0)</f>
        <v>0</v>
      </c>
      <c r="T1973">
        <f>IFERROR(VLOOKUP("623-000000-002",Out!B:AB,11+8,0),0)</f>
        <v>0</v>
      </c>
      <c r="U1973">
        <f>IFERROR(VLOOKUP("623-000000-002",Out!B:AB,12+8,0),0)</f>
        <v>0</v>
      </c>
      <c r="V1973">
        <f>IFERROR(VLOOKUP("623-000000-002",Out!B:AB,13+8,0),0)</f>
        <v>0</v>
      </c>
      <c r="W1973">
        <f>IFERROR(VLOOKUP("623-000000-002",Out!B:AB,14+8,0),0)</f>
        <v>0</v>
      </c>
      <c r="X1973">
        <f>IFERROR(VLOOKUP("623-000000-002",Out!B:AB,15+8,0),0)</f>
        <v>0</v>
      </c>
      <c r="Y1973">
        <f>IFERROR(VLOOKUP("623-000000-002",Out!B:AB,16+8,0),0)</f>
        <v>0</v>
      </c>
      <c r="Z1973">
        <f>IFERROR(VLOOKUP("623-000000-002",Out!B:AB,17+8,0),0)</f>
        <v>0</v>
      </c>
      <c r="AA1973">
        <f>IFERROR(VLOOKUP("623-000000-002",Out!B:AB,18+8,0),0)</f>
        <v>0</v>
      </c>
      <c r="AB1973">
        <f>IFERROR(VLOOKUP("623-000000-002",Out!B:AB,19+8,0),0)</f>
        <v>0</v>
      </c>
      <c r="AC1973">
        <f>IFERROR(VLOOKUP("623-000000-002",Out!B:AB,20+8,0),0)</f>
        <v>0</v>
      </c>
      <c r="AD1973">
        <f>IFERROR(VLOOKUP("623-000000-002",Out!B:AB,21+8,0),0)</f>
        <v>0</v>
      </c>
      <c r="AE1973">
        <f>IFERROR(VLOOKUP("623-000000-002",Out!B:AB,22+8,0),0)</f>
        <v>0</v>
      </c>
      <c r="AF1973">
        <f>IFERROR(VLOOKUP("623-000000-002",Out!B:AB,23+8,0),0)</f>
        <v>0</v>
      </c>
      <c r="AG1973">
        <f>IFERROR(VLOOKUP("623-000000-002",Out!B:AB,24+8,0),0)</f>
        <v>0</v>
      </c>
      <c r="AH1973">
        <f>IFERROR(VLOOKUP("623-000000-002",Out!B:AB,25+8,0),0)</f>
        <v>0</v>
      </c>
      <c r="AI1973">
        <f>IFERROR(VLOOKUP("623-000000-002",Out!B:AB,26+8,0),0)</f>
        <v>0</v>
      </c>
      <c r="AJ1973">
        <f>IFERROR(VLOOKUP("623-000000-002",Out!B:AB,27+8,0),0)</f>
        <v>0</v>
      </c>
      <c r="AK1973">
        <f>IFERROR(VLOOKUP("623-000000-002",Out!B:AB,28+8,0),0)</f>
        <v>0</v>
      </c>
      <c r="AL1973">
        <f>IFERROR(VLOOKUP("623-000000-002",Out!B:AB,29+8,0),0)</f>
        <v>0</v>
      </c>
      <c r="AM1973">
        <f>IFERROR(VLOOKUP("623-000000-002",Out!B:AB,30+8,0),0)</f>
        <v>0</v>
      </c>
      <c r="AN1973">
        <f>IFERROR(VLOOKUP("623-000000-002",Out!B:AB,31+8,0),0)</f>
        <v>0</v>
      </c>
      <c r="AO1973">
        <f>SUN(INDIRECT(ADDRESS(1972,8)):INDIRECT(ADDRESS(1972,39)))</f>
        <v>0</v>
      </c>
    </row>
    <row r="1974" spans="1:41">
      <c r="H1974" t="s">
        <v>179</v>
      </c>
      <c r="J1974">
        <f>INDIRECT(ADDRESS(1974,9))+INDIRECT(ADDRESS(1972,10))-INDIRECT(ADDRESS(1973,10))</f>
        <v>0</v>
      </c>
      <c r="K1974">
        <f>INDIRECT(ADDRESS(1974,10))+INDIRECT(ADDRESS(1972,11))-INDIRECT(ADDRESS(1973,11))</f>
        <v>0</v>
      </c>
      <c r="L1974">
        <f>INDIRECT(ADDRESS(1974,11))+INDIRECT(ADDRESS(1972,12))-INDIRECT(ADDRESS(1973,12))</f>
        <v>0</v>
      </c>
      <c r="M1974">
        <f>INDIRECT(ADDRESS(1974,12))+INDIRECT(ADDRESS(1972,13))-INDIRECT(ADDRESS(1973,13))</f>
        <v>0</v>
      </c>
      <c r="N1974">
        <f>INDIRECT(ADDRESS(1974,13))+INDIRECT(ADDRESS(1972,14))-INDIRECT(ADDRESS(1973,14))</f>
        <v>0</v>
      </c>
      <c r="O1974">
        <f>INDIRECT(ADDRESS(1974,14))+INDIRECT(ADDRESS(1972,15))-INDIRECT(ADDRESS(1973,15))</f>
        <v>0</v>
      </c>
      <c r="P1974">
        <f>INDIRECT(ADDRESS(1974,15))+INDIRECT(ADDRESS(1972,16))-INDIRECT(ADDRESS(1973,16))</f>
        <v>0</v>
      </c>
      <c r="Q1974">
        <f>INDIRECT(ADDRESS(1974,16))+INDIRECT(ADDRESS(1972,17))-INDIRECT(ADDRESS(1973,17))</f>
        <v>0</v>
      </c>
      <c r="R1974">
        <f>INDIRECT(ADDRESS(1974,17))+INDIRECT(ADDRESS(1972,18))-INDIRECT(ADDRESS(1973,18))</f>
        <v>0</v>
      </c>
      <c r="S1974">
        <f>INDIRECT(ADDRESS(1974,18))+INDIRECT(ADDRESS(1972,19))-INDIRECT(ADDRESS(1973,19))</f>
        <v>0</v>
      </c>
      <c r="T1974">
        <f>INDIRECT(ADDRESS(1974,19))+INDIRECT(ADDRESS(1972,20))-INDIRECT(ADDRESS(1973,20))</f>
        <v>0</v>
      </c>
      <c r="U1974">
        <f>INDIRECT(ADDRESS(1974,20))+INDIRECT(ADDRESS(1972,21))-INDIRECT(ADDRESS(1973,21))</f>
        <v>0</v>
      </c>
      <c r="V1974">
        <f>INDIRECT(ADDRESS(1974,21))+INDIRECT(ADDRESS(1972,22))-INDIRECT(ADDRESS(1973,22))</f>
        <v>0</v>
      </c>
      <c r="W1974">
        <f>INDIRECT(ADDRESS(1974,22))+INDIRECT(ADDRESS(1972,23))-INDIRECT(ADDRESS(1973,23))</f>
        <v>0</v>
      </c>
      <c r="X1974">
        <f>INDIRECT(ADDRESS(1974,23))+INDIRECT(ADDRESS(1972,24))-INDIRECT(ADDRESS(1973,24))</f>
        <v>0</v>
      </c>
      <c r="Y1974">
        <f>INDIRECT(ADDRESS(1974,24))+INDIRECT(ADDRESS(1972,25))-INDIRECT(ADDRESS(1973,25))</f>
        <v>0</v>
      </c>
      <c r="Z1974">
        <f>INDIRECT(ADDRESS(1974,25))+INDIRECT(ADDRESS(1972,26))-INDIRECT(ADDRESS(1973,26))</f>
        <v>0</v>
      </c>
      <c r="AA1974">
        <f>INDIRECT(ADDRESS(1974,26))+INDIRECT(ADDRESS(1972,27))-INDIRECT(ADDRESS(1973,27))</f>
        <v>0</v>
      </c>
      <c r="AB1974">
        <f>INDIRECT(ADDRESS(1974,27))+INDIRECT(ADDRESS(1972,28))-INDIRECT(ADDRESS(1973,28))</f>
        <v>0</v>
      </c>
      <c r="AC1974">
        <f>INDIRECT(ADDRESS(1974,28))+INDIRECT(ADDRESS(1972,29))-INDIRECT(ADDRESS(1973,29))</f>
        <v>0</v>
      </c>
      <c r="AD1974">
        <f>INDIRECT(ADDRESS(1974,29))+INDIRECT(ADDRESS(1972,30))-INDIRECT(ADDRESS(1973,30))</f>
        <v>0</v>
      </c>
      <c r="AE1974">
        <f>INDIRECT(ADDRESS(1974,30))+INDIRECT(ADDRESS(1972,31))-INDIRECT(ADDRESS(1973,31))</f>
        <v>0</v>
      </c>
      <c r="AF1974">
        <f>INDIRECT(ADDRESS(1974,31))+INDIRECT(ADDRESS(1972,32))-INDIRECT(ADDRESS(1973,32))</f>
        <v>0</v>
      </c>
      <c r="AG1974">
        <f>INDIRECT(ADDRESS(1974,32))+INDIRECT(ADDRESS(1972,33))-INDIRECT(ADDRESS(1973,33))</f>
        <v>0</v>
      </c>
      <c r="AH1974">
        <f>INDIRECT(ADDRESS(1974,33))+INDIRECT(ADDRESS(1972,34))-INDIRECT(ADDRESS(1973,34))</f>
        <v>0</v>
      </c>
      <c r="AI1974">
        <f>INDIRECT(ADDRESS(1974,34))+INDIRECT(ADDRESS(1972,35))-INDIRECT(ADDRESS(1973,35))</f>
        <v>0</v>
      </c>
      <c r="AJ1974">
        <f>INDIRECT(ADDRESS(1974,35))+INDIRECT(ADDRESS(1972,36))-INDIRECT(ADDRESS(1973,36))</f>
        <v>0</v>
      </c>
      <c r="AK1974">
        <f>INDIRECT(ADDRESS(1974,36))+INDIRECT(ADDRESS(1972,37))-INDIRECT(ADDRESS(1973,37))</f>
        <v>0</v>
      </c>
      <c r="AL1974">
        <f>INDIRECT(ADDRESS(1974,37))+INDIRECT(ADDRESS(1972,38))-INDIRECT(ADDRESS(1973,38))</f>
        <v>0</v>
      </c>
      <c r="AM1974">
        <f>INDIRECT(ADDRESS(1974,38))+INDIRECT(ADDRESS(1972,39))-INDIRECT(ADDRESS(1973,39))</f>
        <v>0</v>
      </c>
      <c r="AN1974">
        <f>INDIRECT(ADDRESS(1974,39))+INDIRECT(ADDRESS(1972,40))-INDIRECT(ADDRESS(1973,40))</f>
        <v>0</v>
      </c>
      <c r="AO1974">
        <f>SUM(INDIRECT(ADDRESS(1973,8)):INDIRECT(ADDRESS(1973,39)))</f>
        <v>0</v>
      </c>
    </row>
    <row r="1975" spans="1:41">
      <c r="A1975" t="s">
        <v>180</v>
      </c>
      <c r="B1975" t="s">
        <v>870</v>
      </c>
      <c r="C1975" t="s">
        <v>871</v>
      </c>
      <c r="E1975">
        <v>1</v>
      </c>
      <c r="I1975" t="s">
        <v>177</v>
      </c>
    </row>
    <row r="1976" spans="1:41">
      <c r="I1976" t="s">
        <v>178</v>
      </c>
      <c r="J1976">
        <f>IFERROR(VLOOKUP("623-000000-002",B:AB,1+8,0),0)</f>
        <v>0</v>
      </c>
      <c r="K1976">
        <f>IFERROR(VLOOKUP("623-000000-002",B:AB,2+8,0),0)</f>
        <v>0</v>
      </c>
      <c r="L1976">
        <f>IFERROR(VLOOKUP("623-000000-002",B:AB,3+8,0),0)</f>
        <v>0</v>
      </c>
      <c r="M1976">
        <f>IFERROR(VLOOKUP("623-000000-002",B:AB,4+8,0),0)</f>
        <v>0</v>
      </c>
      <c r="N1976">
        <f>IFERROR(VLOOKUP("623-000000-002",B:AB,5+8,0),0)</f>
        <v>0</v>
      </c>
      <c r="O1976">
        <f>IFERROR(VLOOKUP("623-000000-002",B:AB,6+8,0),0)</f>
        <v>0</v>
      </c>
      <c r="P1976">
        <f>IFERROR(VLOOKUP("623-000000-002",B:AB,7+8,0),0)</f>
        <v>0</v>
      </c>
      <c r="Q1976">
        <f>IFERROR(VLOOKUP("623-000000-002",B:AB,8+8,0),0)</f>
        <v>0</v>
      </c>
      <c r="R1976">
        <f>IFERROR(VLOOKUP("623-000000-002",B:AB,9+8,0),0)</f>
        <v>0</v>
      </c>
      <c r="S1976">
        <f>IFERROR(VLOOKUP("623-000000-002",B:AB,10+8,0),0)</f>
        <v>0</v>
      </c>
      <c r="T1976">
        <f>IFERROR(VLOOKUP("623-000000-002",B:AB,11+8,0),0)</f>
        <v>0</v>
      </c>
      <c r="U1976">
        <f>IFERROR(VLOOKUP("623-000000-002",B:AB,12+8,0),0)</f>
        <v>0</v>
      </c>
      <c r="V1976">
        <f>IFERROR(VLOOKUP("623-000000-002",B:AB,13+8,0),0)</f>
        <v>0</v>
      </c>
      <c r="W1976">
        <f>IFERROR(VLOOKUP("623-000000-002",B:AB,14+8,0),0)</f>
        <v>0</v>
      </c>
      <c r="X1976">
        <f>IFERROR(VLOOKUP("623-000000-002",B:AB,15+8,0),0)</f>
        <v>0</v>
      </c>
      <c r="Y1976">
        <f>IFERROR(VLOOKUP("623-000000-002",B:AB,16+8,0),0)</f>
        <v>0</v>
      </c>
      <c r="Z1976">
        <f>IFERROR(VLOOKUP("623-000000-002",B:AB,17+8,0),0)</f>
        <v>0</v>
      </c>
      <c r="AA1976">
        <f>IFERROR(VLOOKUP("623-000000-002",B:AB,18+8,0),0)</f>
        <v>0</v>
      </c>
      <c r="AB1976">
        <f>IFERROR(VLOOKUP("623-000000-002",B:AB,19+8,0),0)</f>
        <v>0</v>
      </c>
      <c r="AC1976">
        <f>IFERROR(VLOOKUP("623-000000-002",B:AB,20+8,0),0)</f>
        <v>0</v>
      </c>
      <c r="AD1976">
        <f>IFERROR(VLOOKUP("623-000000-002",B:AB,21+8,0),0)</f>
        <v>0</v>
      </c>
      <c r="AE1976">
        <f>IFERROR(VLOOKUP("623-000000-002",B:AB,22+8,0),0)</f>
        <v>0</v>
      </c>
      <c r="AF1976">
        <f>IFERROR(VLOOKUP("623-000000-002",B:AB,23+8,0),0)</f>
        <v>0</v>
      </c>
      <c r="AG1976">
        <f>IFERROR(VLOOKUP("623-000000-002",B:AB,24+8,0),0)</f>
        <v>0</v>
      </c>
      <c r="AH1976">
        <f>IFERROR(VLOOKUP("623-000000-002",B:AB,25+8,0),0)</f>
        <v>0</v>
      </c>
      <c r="AI1976">
        <f>IFERROR(VLOOKUP("623-000000-002",B:AB,26+8,0),0)</f>
        <v>0</v>
      </c>
      <c r="AJ1976">
        <f>IFERROR(VLOOKUP("623-000000-002",B:AB,27+8,0),0)</f>
        <v>0</v>
      </c>
      <c r="AK1976">
        <f>IFERROR(VLOOKUP("623-000000-002",B:AB,28+8,0),0)</f>
        <v>0</v>
      </c>
      <c r="AL1976">
        <f>IFERROR(VLOOKUP("623-000000-002",B:AB,29+8,0),0)</f>
        <v>0</v>
      </c>
      <c r="AM1976">
        <f>IFERROR(VLOOKUP("623-000000-002",B:AB,30+8,0),0)</f>
        <v>0</v>
      </c>
      <c r="AN1976">
        <f>IFERROR(VLOOKUP("623-000000-002",B:AB,31+8,0),0)</f>
        <v>0</v>
      </c>
      <c r="AO1976">
        <f>SUN(INDIRECT(ADDRESS(1975,8)):INDIRECT(ADDRESS(1975,39)))</f>
        <v>0</v>
      </c>
    </row>
    <row r="1977" spans="1:41">
      <c r="H1977" t="s">
        <v>179</v>
      </c>
      <c r="J1977">
        <f>INDIRECT(ADDRESS(1977,9))+INDIRECT(ADDRESS(1975,10))-INDIRECT(ADDRESS(1976,10))</f>
        <v>0</v>
      </c>
      <c r="K1977">
        <f>INDIRECT(ADDRESS(1977,10))+INDIRECT(ADDRESS(1975,11))-INDIRECT(ADDRESS(1976,11))</f>
        <v>0</v>
      </c>
      <c r="L1977">
        <f>INDIRECT(ADDRESS(1977,11))+INDIRECT(ADDRESS(1975,12))-INDIRECT(ADDRESS(1976,12))</f>
        <v>0</v>
      </c>
      <c r="M1977">
        <f>INDIRECT(ADDRESS(1977,12))+INDIRECT(ADDRESS(1975,13))-INDIRECT(ADDRESS(1976,13))</f>
        <v>0</v>
      </c>
      <c r="N1977">
        <f>INDIRECT(ADDRESS(1977,13))+INDIRECT(ADDRESS(1975,14))-INDIRECT(ADDRESS(1976,14))</f>
        <v>0</v>
      </c>
      <c r="O1977">
        <f>INDIRECT(ADDRESS(1977,14))+INDIRECT(ADDRESS(1975,15))-INDIRECT(ADDRESS(1976,15))</f>
        <v>0</v>
      </c>
      <c r="P1977">
        <f>INDIRECT(ADDRESS(1977,15))+INDIRECT(ADDRESS(1975,16))-INDIRECT(ADDRESS(1976,16))</f>
        <v>0</v>
      </c>
      <c r="Q1977">
        <f>INDIRECT(ADDRESS(1977,16))+INDIRECT(ADDRESS(1975,17))-INDIRECT(ADDRESS(1976,17))</f>
        <v>0</v>
      </c>
      <c r="R1977">
        <f>INDIRECT(ADDRESS(1977,17))+INDIRECT(ADDRESS(1975,18))-INDIRECT(ADDRESS(1976,18))</f>
        <v>0</v>
      </c>
      <c r="S1977">
        <f>INDIRECT(ADDRESS(1977,18))+INDIRECT(ADDRESS(1975,19))-INDIRECT(ADDRESS(1976,19))</f>
        <v>0</v>
      </c>
      <c r="T1977">
        <f>INDIRECT(ADDRESS(1977,19))+INDIRECT(ADDRESS(1975,20))-INDIRECT(ADDRESS(1976,20))</f>
        <v>0</v>
      </c>
      <c r="U1977">
        <f>INDIRECT(ADDRESS(1977,20))+INDIRECT(ADDRESS(1975,21))-INDIRECT(ADDRESS(1976,21))</f>
        <v>0</v>
      </c>
      <c r="V1977">
        <f>INDIRECT(ADDRESS(1977,21))+INDIRECT(ADDRESS(1975,22))-INDIRECT(ADDRESS(1976,22))</f>
        <v>0</v>
      </c>
      <c r="W1977">
        <f>INDIRECT(ADDRESS(1977,22))+INDIRECT(ADDRESS(1975,23))-INDIRECT(ADDRESS(1976,23))</f>
        <v>0</v>
      </c>
      <c r="X1977">
        <f>INDIRECT(ADDRESS(1977,23))+INDIRECT(ADDRESS(1975,24))-INDIRECT(ADDRESS(1976,24))</f>
        <v>0</v>
      </c>
      <c r="Y1977">
        <f>INDIRECT(ADDRESS(1977,24))+INDIRECT(ADDRESS(1975,25))-INDIRECT(ADDRESS(1976,25))</f>
        <v>0</v>
      </c>
      <c r="Z1977">
        <f>INDIRECT(ADDRESS(1977,25))+INDIRECT(ADDRESS(1975,26))-INDIRECT(ADDRESS(1976,26))</f>
        <v>0</v>
      </c>
      <c r="AA1977">
        <f>INDIRECT(ADDRESS(1977,26))+INDIRECT(ADDRESS(1975,27))-INDIRECT(ADDRESS(1976,27))</f>
        <v>0</v>
      </c>
      <c r="AB1977">
        <f>INDIRECT(ADDRESS(1977,27))+INDIRECT(ADDRESS(1975,28))-INDIRECT(ADDRESS(1976,28))</f>
        <v>0</v>
      </c>
      <c r="AC1977">
        <f>INDIRECT(ADDRESS(1977,28))+INDIRECT(ADDRESS(1975,29))-INDIRECT(ADDRESS(1976,29))</f>
        <v>0</v>
      </c>
      <c r="AD1977">
        <f>INDIRECT(ADDRESS(1977,29))+INDIRECT(ADDRESS(1975,30))-INDIRECT(ADDRESS(1976,30))</f>
        <v>0</v>
      </c>
      <c r="AE1977">
        <f>INDIRECT(ADDRESS(1977,30))+INDIRECT(ADDRESS(1975,31))-INDIRECT(ADDRESS(1976,31))</f>
        <v>0</v>
      </c>
      <c r="AF1977">
        <f>INDIRECT(ADDRESS(1977,31))+INDIRECT(ADDRESS(1975,32))-INDIRECT(ADDRESS(1976,32))</f>
        <v>0</v>
      </c>
      <c r="AG1977">
        <f>INDIRECT(ADDRESS(1977,32))+INDIRECT(ADDRESS(1975,33))-INDIRECT(ADDRESS(1976,33))</f>
        <v>0</v>
      </c>
      <c r="AH1977">
        <f>INDIRECT(ADDRESS(1977,33))+INDIRECT(ADDRESS(1975,34))-INDIRECT(ADDRESS(1976,34))</f>
        <v>0</v>
      </c>
      <c r="AI1977">
        <f>INDIRECT(ADDRESS(1977,34))+INDIRECT(ADDRESS(1975,35))-INDIRECT(ADDRESS(1976,35))</f>
        <v>0</v>
      </c>
      <c r="AJ1977">
        <f>INDIRECT(ADDRESS(1977,35))+INDIRECT(ADDRESS(1975,36))-INDIRECT(ADDRESS(1976,36))</f>
        <v>0</v>
      </c>
      <c r="AK1977">
        <f>INDIRECT(ADDRESS(1977,36))+INDIRECT(ADDRESS(1975,37))-INDIRECT(ADDRESS(1976,37))</f>
        <v>0</v>
      </c>
      <c r="AL1977">
        <f>INDIRECT(ADDRESS(1977,37))+INDIRECT(ADDRESS(1975,38))-INDIRECT(ADDRESS(1976,38))</f>
        <v>0</v>
      </c>
      <c r="AM1977">
        <f>INDIRECT(ADDRESS(1977,38))+INDIRECT(ADDRESS(1975,39))-INDIRECT(ADDRESS(1976,39))</f>
        <v>0</v>
      </c>
      <c r="AN1977">
        <f>INDIRECT(ADDRESS(1977,39))+INDIRECT(ADDRESS(1975,40))-INDIRECT(ADDRESS(1976,40))</f>
        <v>0</v>
      </c>
      <c r="AO1977">
        <f>SUM(INDIRECT(ADDRESS(1976,8)):INDIRECT(ADDRESS(1976,39)))</f>
        <v>0</v>
      </c>
    </row>
    <row r="1978" spans="1:41">
      <c r="A1978" t="s">
        <v>185</v>
      </c>
      <c r="B1978" t="s">
        <v>872</v>
      </c>
      <c r="C1978" t="s">
        <v>873</v>
      </c>
      <c r="E1978">
        <v>1</v>
      </c>
      <c r="I1978" t="s">
        <v>177</v>
      </c>
    </row>
    <row r="1979" spans="1:41">
      <c r="I1979" t="s">
        <v>178</v>
      </c>
      <c r="J1979">
        <f>IFERROR(VLOOKUP("623-000000-002",B:AB,1+8,0),0)</f>
        <v>0</v>
      </c>
      <c r="K1979">
        <f>IFERROR(VLOOKUP("623-000000-002",B:AB,2+8,0),0)</f>
        <v>0</v>
      </c>
      <c r="L1979">
        <f>IFERROR(VLOOKUP("623-000000-002",B:AB,3+8,0),0)</f>
        <v>0</v>
      </c>
      <c r="M1979">
        <f>IFERROR(VLOOKUP("623-000000-002",B:AB,4+8,0),0)</f>
        <v>0</v>
      </c>
      <c r="N1979">
        <f>IFERROR(VLOOKUP("623-000000-002",B:AB,5+8,0),0)</f>
        <v>0</v>
      </c>
      <c r="O1979">
        <f>IFERROR(VLOOKUP("623-000000-002",B:AB,6+8,0),0)</f>
        <v>0</v>
      </c>
      <c r="P1979">
        <f>IFERROR(VLOOKUP("623-000000-002",B:AB,7+8,0),0)</f>
        <v>0</v>
      </c>
      <c r="Q1979">
        <f>IFERROR(VLOOKUP("623-000000-002",B:AB,8+8,0),0)</f>
        <v>0</v>
      </c>
      <c r="R1979">
        <f>IFERROR(VLOOKUP("623-000000-002",B:AB,9+8,0),0)</f>
        <v>0</v>
      </c>
      <c r="S1979">
        <f>IFERROR(VLOOKUP("623-000000-002",B:AB,10+8,0),0)</f>
        <v>0</v>
      </c>
      <c r="T1979">
        <f>IFERROR(VLOOKUP("623-000000-002",B:AB,11+8,0),0)</f>
        <v>0</v>
      </c>
      <c r="U1979">
        <f>IFERROR(VLOOKUP("623-000000-002",B:AB,12+8,0),0)</f>
        <v>0</v>
      </c>
      <c r="V1979">
        <f>IFERROR(VLOOKUP("623-000000-002",B:AB,13+8,0),0)</f>
        <v>0</v>
      </c>
      <c r="W1979">
        <f>IFERROR(VLOOKUP("623-000000-002",B:AB,14+8,0),0)</f>
        <v>0</v>
      </c>
      <c r="X1979">
        <f>IFERROR(VLOOKUP("623-000000-002",B:AB,15+8,0),0)</f>
        <v>0</v>
      </c>
      <c r="Y1979">
        <f>IFERROR(VLOOKUP("623-000000-002",B:AB,16+8,0),0)</f>
        <v>0</v>
      </c>
      <c r="Z1979">
        <f>IFERROR(VLOOKUP("623-000000-002",B:AB,17+8,0),0)</f>
        <v>0</v>
      </c>
      <c r="AA1979">
        <f>IFERROR(VLOOKUP("623-000000-002",B:AB,18+8,0),0)</f>
        <v>0</v>
      </c>
      <c r="AB1979">
        <f>IFERROR(VLOOKUP("623-000000-002",B:AB,19+8,0),0)</f>
        <v>0</v>
      </c>
      <c r="AC1979">
        <f>IFERROR(VLOOKUP("623-000000-002",B:AB,20+8,0),0)</f>
        <v>0</v>
      </c>
      <c r="AD1979">
        <f>IFERROR(VLOOKUP("623-000000-002",B:AB,21+8,0),0)</f>
        <v>0</v>
      </c>
      <c r="AE1979">
        <f>IFERROR(VLOOKUP("623-000000-002",B:AB,22+8,0),0)</f>
        <v>0</v>
      </c>
      <c r="AF1979">
        <f>IFERROR(VLOOKUP("623-000000-002",B:AB,23+8,0),0)</f>
        <v>0</v>
      </c>
      <c r="AG1979">
        <f>IFERROR(VLOOKUP("623-000000-002",B:AB,24+8,0),0)</f>
        <v>0</v>
      </c>
      <c r="AH1979">
        <f>IFERROR(VLOOKUP("623-000000-002",B:AB,25+8,0),0)</f>
        <v>0</v>
      </c>
      <c r="AI1979">
        <f>IFERROR(VLOOKUP("623-000000-002",B:AB,26+8,0),0)</f>
        <v>0</v>
      </c>
      <c r="AJ1979">
        <f>IFERROR(VLOOKUP("623-000000-002",B:AB,27+8,0),0)</f>
        <v>0</v>
      </c>
      <c r="AK1979">
        <f>IFERROR(VLOOKUP("623-000000-002",B:AB,28+8,0),0)</f>
        <v>0</v>
      </c>
      <c r="AL1979">
        <f>IFERROR(VLOOKUP("623-000000-002",B:AB,29+8,0),0)</f>
        <v>0</v>
      </c>
      <c r="AM1979">
        <f>IFERROR(VLOOKUP("623-000000-002",B:AB,30+8,0),0)</f>
        <v>0</v>
      </c>
      <c r="AN1979">
        <f>IFERROR(VLOOKUP("623-000000-002",B:AB,31+8,0),0)</f>
        <v>0</v>
      </c>
      <c r="AO1979">
        <f>SUN(INDIRECT(ADDRESS(1978,8)):INDIRECT(ADDRESS(1978,39)))</f>
        <v>0</v>
      </c>
    </row>
    <row r="1980" spans="1:41">
      <c r="H1980" t="s">
        <v>179</v>
      </c>
      <c r="J1980">
        <f>INDIRECT(ADDRESS(1980,9))+INDIRECT(ADDRESS(1978,10))-INDIRECT(ADDRESS(1979,10))</f>
        <v>0</v>
      </c>
      <c r="K1980">
        <f>INDIRECT(ADDRESS(1980,10))+INDIRECT(ADDRESS(1978,11))-INDIRECT(ADDRESS(1979,11))</f>
        <v>0</v>
      </c>
      <c r="L1980">
        <f>INDIRECT(ADDRESS(1980,11))+INDIRECT(ADDRESS(1978,12))-INDIRECT(ADDRESS(1979,12))</f>
        <v>0</v>
      </c>
      <c r="M1980">
        <f>INDIRECT(ADDRESS(1980,12))+INDIRECT(ADDRESS(1978,13))-INDIRECT(ADDRESS(1979,13))</f>
        <v>0</v>
      </c>
      <c r="N1980">
        <f>INDIRECT(ADDRESS(1980,13))+INDIRECT(ADDRESS(1978,14))-INDIRECT(ADDRESS(1979,14))</f>
        <v>0</v>
      </c>
      <c r="O1980">
        <f>INDIRECT(ADDRESS(1980,14))+INDIRECT(ADDRESS(1978,15))-INDIRECT(ADDRESS(1979,15))</f>
        <v>0</v>
      </c>
      <c r="P1980">
        <f>INDIRECT(ADDRESS(1980,15))+INDIRECT(ADDRESS(1978,16))-INDIRECT(ADDRESS(1979,16))</f>
        <v>0</v>
      </c>
      <c r="Q1980">
        <f>INDIRECT(ADDRESS(1980,16))+INDIRECT(ADDRESS(1978,17))-INDIRECT(ADDRESS(1979,17))</f>
        <v>0</v>
      </c>
      <c r="R1980">
        <f>INDIRECT(ADDRESS(1980,17))+INDIRECT(ADDRESS(1978,18))-INDIRECT(ADDRESS(1979,18))</f>
        <v>0</v>
      </c>
      <c r="S1980">
        <f>INDIRECT(ADDRESS(1980,18))+INDIRECT(ADDRESS(1978,19))-INDIRECT(ADDRESS(1979,19))</f>
        <v>0</v>
      </c>
      <c r="T1980">
        <f>INDIRECT(ADDRESS(1980,19))+INDIRECT(ADDRESS(1978,20))-INDIRECT(ADDRESS(1979,20))</f>
        <v>0</v>
      </c>
      <c r="U1980">
        <f>INDIRECT(ADDRESS(1980,20))+INDIRECT(ADDRESS(1978,21))-INDIRECT(ADDRESS(1979,21))</f>
        <v>0</v>
      </c>
      <c r="V1980">
        <f>INDIRECT(ADDRESS(1980,21))+INDIRECT(ADDRESS(1978,22))-INDIRECT(ADDRESS(1979,22))</f>
        <v>0</v>
      </c>
      <c r="W1980">
        <f>INDIRECT(ADDRESS(1980,22))+INDIRECT(ADDRESS(1978,23))-INDIRECT(ADDRESS(1979,23))</f>
        <v>0</v>
      </c>
      <c r="X1980">
        <f>INDIRECT(ADDRESS(1980,23))+INDIRECT(ADDRESS(1978,24))-INDIRECT(ADDRESS(1979,24))</f>
        <v>0</v>
      </c>
      <c r="Y1980">
        <f>INDIRECT(ADDRESS(1980,24))+INDIRECT(ADDRESS(1978,25))-INDIRECT(ADDRESS(1979,25))</f>
        <v>0</v>
      </c>
      <c r="Z1980">
        <f>INDIRECT(ADDRESS(1980,25))+INDIRECT(ADDRESS(1978,26))-INDIRECT(ADDRESS(1979,26))</f>
        <v>0</v>
      </c>
      <c r="AA1980">
        <f>INDIRECT(ADDRESS(1980,26))+INDIRECT(ADDRESS(1978,27))-INDIRECT(ADDRESS(1979,27))</f>
        <v>0</v>
      </c>
      <c r="AB1980">
        <f>INDIRECT(ADDRESS(1980,27))+INDIRECT(ADDRESS(1978,28))-INDIRECT(ADDRESS(1979,28))</f>
        <v>0</v>
      </c>
      <c r="AC1980">
        <f>INDIRECT(ADDRESS(1980,28))+INDIRECT(ADDRESS(1978,29))-INDIRECT(ADDRESS(1979,29))</f>
        <v>0</v>
      </c>
      <c r="AD1980">
        <f>INDIRECT(ADDRESS(1980,29))+INDIRECT(ADDRESS(1978,30))-INDIRECT(ADDRESS(1979,30))</f>
        <v>0</v>
      </c>
      <c r="AE1980">
        <f>INDIRECT(ADDRESS(1980,30))+INDIRECT(ADDRESS(1978,31))-INDIRECT(ADDRESS(1979,31))</f>
        <v>0</v>
      </c>
      <c r="AF1980">
        <f>INDIRECT(ADDRESS(1980,31))+INDIRECT(ADDRESS(1978,32))-INDIRECT(ADDRESS(1979,32))</f>
        <v>0</v>
      </c>
      <c r="AG1980">
        <f>INDIRECT(ADDRESS(1980,32))+INDIRECT(ADDRESS(1978,33))-INDIRECT(ADDRESS(1979,33))</f>
        <v>0</v>
      </c>
      <c r="AH1980">
        <f>INDIRECT(ADDRESS(1980,33))+INDIRECT(ADDRESS(1978,34))-INDIRECT(ADDRESS(1979,34))</f>
        <v>0</v>
      </c>
      <c r="AI1980">
        <f>INDIRECT(ADDRESS(1980,34))+INDIRECT(ADDRESS(1978,35))-INDIRECT(ADDRESS(1979,35))</f>
        <v>0</v>
      </c>
      <c r="AJ1980">
        <f>INDIRECT(ADDRESS(1980,35))+INDIRECT(ADDRESS(1978,36))-INDIRECT(ADDRESS(1979,36))</f>
        <v>0</v>
      </c>
      <c r="AK1980">
        <f>INDIRECT(ADDRESS(1980,36))+INDIRECT(ADDRESS(1978,37))-INDIRECT(ADDRESS(1979,37))</f>
        <v>0</v>
      </c>
      <c r="AL1980">
        <f>INDIRECT(ADDRESS(1980,37))+INDIRECT(ADDRESS(1978,38))-INDIRECT(ADDRESS(1979,38))</f>
        <v>0</v>
      </c>
      <c r="AM1980">
        <f>INDIRECT(ADDRESS(1980,38))+INDIRECT(ADDRESS(1978,39))-INDIRECT(ADDRESS(1979,39))</f>
        <v>0</v>
      </c>
      <c r="AN1980">
        <f>INDIRECT(ADDRESS(1980,39))+INDIRECT(ADDRESS(1978,40))-INDIRECT(ADDRESS(1979,40))</f>
        <v>0</v>
      </c>
      <c r="AO1980">
        <f>SUM(INDIRECT(ADDRESS(1979,8)):INDIRECT(ADDRESS(1979,39)))</f>
        <v>0</v>
      </c>
    </row>
    <row r="1981" spans="1:41">
      <c r="A1981" t="s">
        <v>185</v>
      </c>
      <c r="B1981" t="s">
        <v>874</v>
      </c>
      <c r="C1981" t="s">
        <v>875</v>
      </c>
      <c r="E1981">
        <v>2</v>
      </c>
      <c r="I1981" t="s">
        <v>177</v>
      </c>
    </row>
    <row r="1982" spans="1:41">
      <c r="I1982" t="s">
        <v>178</v>
      </c>
      <c r="J1982">
        <f>IFERROR(VLOOKUP("623-000000-002",B:AB,1+8,0),0)</f>
        <v>0</v>
      </c>
      <c r="K1982">
        <f>IFERROR(VLOOKUP("623-000000-002",B:AB,2+8,0),0)</f>
        <v>0</v>
      </c>
      <c r="L1982">
        <f>IFERROR(VLOOKUP("623-000000-002",B:AB,3+8,0),0)</f>
        <v>0</v>
      </c>
      <c r="M1982">
        <f>IFERROR(VLOOKUP("623-000000-002",B:AB,4+8,0),0)</f>
        <v>0</v>
      </c>
      <c r="N1982">
        <f>IFERROR(VLOOKUP("623-000000-002",B:AB,5+8,0),0)</f>
        <v>0</v>
      </c>
      <c r="O1982">
        <f>IFERROR(VLOOKUP("623-000000-002",B:AB,6+8,0),0)</f>
        <v>0</v>
      </c>
      <c r="P1982">
        <f>IFERROR(VLOOKUP("623-000000-002",B:AB,7+8,0),0)</f>
        <v>0</v>
      </c>
      <c r="Q1982">
        <f>IFERROR(VLOOKUP("623-000000-002",B:AB,8+8,0),0)</f>
        <v>0</v>
      </c>
      <c r="R1982">
        <f>IFERROR(VLOOKUP("623-000000-002",B:AB,9+8,0),0)</f>
        <v>0</v>
      </c>
      <c r="S1982">
        <f>IFERROR(VLOOKUP("623-000000-002",B:AB,10+8,0),0)</f>
        <v>0</v>
      </c>
      <c r="T1982">
        <f>IFERROR(VLOOKUP("623-000000-002",B:AB,11+8,0),0)</f>
        <v>0</v>
      </c>
      <c r="U1982">
        <f>IFERROR(VLOOKUP("623-000000-002",B:AB,12+8,0),0)</f>
        <v>0</v>
      </c>
      <c r="V1982">
        <f>IFERROR(VLOOKUP("623-000000-002",B:AB,13+8,0),0)</f>
        <v>0</v>
      </c>
      <c r="W1982">
        <f>IFERROR(VLOOKUP("623-000000-002",B:AB,14+8,0),0)</f>
        <v>0</v>
      </c>
      <c r="X1982">
        <f>IFERROR(VLOOKUP("623-000000-002",B:AB,15+8,0),0)</f>
        <v>0</v>
      </c>
      <c r="Y1982">
        <f>IFERROR(VLOOKUP("623-000000-002",B:AB,16+8,0),0)</f>
        <v>0</v>
      </c>
      <c r="Z1982">
        <f>IFERROR(VLOOKUP("623-000000-002",B:AB,17+8,0),0)</f>
        <v>0</v>
      </c>
      <c r="AA1982">
        <f>IFERROR(VLOOKUP("623-000000-002",B:AB,18+8,0),0)</f>
        <v>0</v>
      </c>
      <c r="AB1982">
        <f>IFERROR(VLOOKUP("623-000000-002",B:AB,19+8,0),0)</f>
        <v>0</v>
      </c>
      <c r="AC1982">
        <f>IFERROR(VLOOKUP("623-000000-002",B:AB,20+8,0),0)</f>
        <v>0</v>
      </c>
      <c r="AD1982">
        <f>IFERROR(VLOOKUP("623-000000-002",B:AB,21+8,0),0)</f>
        <v>0</v>
      </c>
      <c r="AE1982">
        <f>IFERROR(VLOOKUP("623-000000-002",B:AB,22+8,0),0)</f>
        <v>0</v>
      </c>
      <c r="AF1982">
        <f>IFERROR(VLOOKUP("623-000000-002",B:AB,23+8,0),0)</f>
        <v>0</v>
      </c>
      <c r="AG1982">
        <f>IFERROR(VLOOKUP("623-000000-002",B:AB,24+8,0),0)</f>
        <v>0</v>
      </c>
      <c r="AH1982">
        <f>IFERROR(VLOOKUP("623-000000-002",B:AB,25+8,0),0)</f>
        <v>0</v>
      </c>
      <c r="AI1982">
        <f>IFERROR(VLOOKUP("623-000000-002",B:AB,26+8,0),0)</f>
        <v>0</v>
      </c>
      <c r="AJ1982">
        <f>IFERROR(VLOOKUP("623-000000-002",B:AB,27+8,0),0)</f>
        <v>0</v>
      </c>
      <c r="AK1982">
        <f>IFERROR(VLOOKUP("623-000000-002",B:AB,28+8,0),0)</f>
        <v>0</v>
      </c>
      <c r="AL1982">
        <f>IFERROR(VLOOKUP("623-000000-002",B:AB,29+8,0),0)</f>
        <v>0</v>
      </c>
      <c r="AM1982">
        <f>IFERROR(VLOOKUP("623-000000-002",B:AB,30+8,0),0)</f>
        <v>0</v>
      </c>
      <c r="AN1982">
        <f>IFERROR(VLOOKUP("623-000000-002",B:AB,31+8,0),0)</f>
        <v>0</v>
      </c>
      <c r="AO1982">
        <f>SUN(INDIRECT(ADDRESS(1981,8)):INDIRECT(ADDRESS(1981,39)))</f>
        <v>0</v>
      </c>
    </row>
    <row r="1983" spans="1:41">
      <c r="H1983" t="s">
        <v>179</v>
      </c>
      <c r="J1983">
        <f>INDIRECT(ADDRESS(1983,9))+INDIRECT(ADDRESS(1981,10))-INDIRECT(ADDRESS(1982,10))</f>
        <v>0</v>
      </c>
      <c r="K1983">
        <f>INDIRECT(ADDRESS(1983,10))+INDIRECT(ADDRESS(1981,11))-INDIRECT(ADDRESS(1982,11))</f>
        <v>0</v>
      </c>
      <c r="L1983">
        <f>INDIRECT(ADDRESS(1983,11))+INDIRECT(ADDRESS(1981,12))-INDIRECT(ADDRESS(1982,12))</f>
        <v>0</v>
      </c>
      <c r="M1983">
        <f>INDIRECT(ADDRESS(1983,12))+INDIRECT(ADDRESS(1981,13))-INDIRECT(ADDRESS(1982,13))</f>
        <v>0</v>
      </c>
      <c r="N1983">
        <f>INDIRECT(ADDRESS(1983,13))+INDIRECT(ADDRESS(1981,14))-INDIRECT(ADDRESS(1982,14))</f>
        <v>0</v>
      </c>
      <c r="O1983">
        <f>INDIRECT(ADDRESS(1983,14))+INDIRECT(ADDRESS(1981,15))-INDIRECT(ADDRESS(1982,15))</f>
        <v>0</v>
      </c>
      <c r="P1983">
        <f>INDIRECT(ADDRESS(1983,15))+INDIRECT(ADDRESS(1981,16))-INDIRECT(ADDRESS(1982,16))</f>
        <v>0</v>
      </c>
      <c r="Q1983">
        <f>INDIRECT(ADDRESS(1983,16))+INDIRECT(ADDRESS(1981,17))-INDIRECT(ADDRESS(1982,17))</f>
        <v>0</v>
      </c>
      <c r="R1983">
        <f>INDIRECT(ADDRESS(1983,17))+INDIRECT(ADDRESS(1981,18))-INDIRECT(ADDRESS(1982,18))</f>
        <v>0</v>
      </c>
      <c r="S1983">
        <f>INDIRECT(ADDRESS(1983,18))+INDIRECT(ADDRESS(1981,19))-INDIRECT(ADDRESS(1982,19))</f>
        <v>0</v>
      </c>
      <c r="T1983">
        <f>INDIRECT(ADDRESS(1983,19))+INDIRECT(ADDRESS(1981,20))-INDIRECT(ADDRESS(1982,20))</f>
        <v>0</v>
      </c>
      <c r="U1983">
        <f>INDIRECT(ADDRESS(1983,20))+INDIRECT(ADDRESS(1981,21))-INDIRECT(ADDRESS(1982,21))</f>
        <v>0</v>
      </c>
      <c r="V1983">
        <f>INDIRECT(ADDRESS(1983,21))+INDIRECT(ADDRESS(1981,22))-INDIRECT(ADDRESS(1982,22))</f>
        <v>0</v>
      </c>
      <c r="W1983">
        <f>INDIRECT(ADDRESS(1983,22))+INDIRECT(ADDRESS(1981,23))-INDIRECT(ADDRESS(1982,23))</f>
        <v>0</v>
      </c>
      <c r="X1983">
        <f>INDIRECT(ADDRESS(1983,23))+INDIRECT(ADDRESS(1981,24))-INDIRECT(ADDRESS(1982,24))</f>
        <v>0</v>
      </c>
      <c r="Y1983">
        <f>INDIRECT(ADDRESS(1983,24))+INDIRECT(ADDRESS(1981,25))-INDIRECT(ADDRESS(1982,25))</f>
        <v>0</v>
      </c>
      <c r="Z1983">
        <f>INDIRECT(ADDRESS(1983,25))+INDIRECT(ADDRESS(1981,26))-INDIRECT(ADDRESS(1982,26))</f>
        <v>0</v>
      </c>
      <c r="AA1983">
        <f>INDIRECT(ADDRESS(1983,26))+INDIRECT(ADDRESS(1981,27))-INDIRECT(ADDRESS(1982,27))</f>
        <v>0</v>
      </c>
      <c r="AB1983">
        <f>INDIRECT(ADDRESS(1983,27))+INDIRECT(ADDRESS(1981,28))-INDIRECT(ADDRESS(1982,28))</f>
        <v>0</v>
      </c>
      <c r="AC1983">
        <f>INDIRECT(ADDRESS(1983,28))+INDIRECT(ADDRESS(1981,29))-INDIRECT(ADDRESS(1982,29))</f>
        <v>0</v>
      </c>
      <c r="AD1983">
        <f>INDIRECT(ADDRESS(1983,29))+INDIRECT(ADDRESS(1981,30))-INDIRECT(ADDRESS(1982,30))</f>
        <v>0</v>
      </c>
      <c r="AE1983">
        <f>INDIRECT(ADDRESS(1983,30))+INDIRECT(ADDRESS(1981,31))-INDIRECT(ADDRESS(1982,31))</f>
        <v>0</v>
      </c>
      <c r="AF1983">
        <f>INDIRECT(ADDRESS(1983,31))+INDIRECT(ADDRESS(1981,32))-INDIRECT(ADDRESS(1982,32))</f>
        <v>0</v>
      </c>
      <c r="AG1983">
        <f>INDIRECT(ADDRESS(1983,32))+INDIRECT(ADDRESS(1981,33))-INDIRECT(ADDRESS(1982,33))</f>
        <v>0</v>
      </c>
      <c r="AH1983">
        <f>INDIRECT(ADDRESS(1983,33))+INDIRECT(ADDRESS(1981,34))-INDIRECT(ADDRESS(1982,34))</f>
        <v>0</v>
      </c>
      <c r="AI1983">
        <f>INDIRECT(ADDRESS(1983,34))+INDIRECT(ADDRESS(1981,35))-INDIRECT(ADDRESS(1982,35))</f>
        <v>0</v>
      </c>
      <c r="AJ1983">
        <f>INDIRECT(ADDRESS(1983,35))+INDIRECT(ADDRESS(1981,36))-INDIRECT(ADDRESS(1982,36))</f>
        <v>0</v>
      </c>
      <c r="AK1983">
        <f>INDIRECT(ADDRESS(1983,36))+INDIRECT(ADDRESS(1981,37))-INDIRECT(ADDRESS(1982,37))</f>
        <v>0</v>
      </c>
      <c r="AL1983">
        <f>INDIRECT(ADDRESS(1983,37))+INDIRECT(ADDRESS(1981,38))-INDIRECT(ADDRESS(1982,38))</f>
        <v>0</v>
      </c>
      <c r="AM1983">
        <f>INDIRECT(ADDRESS(1983,38))+INDIRECT(ADDRESS(1981,39))-INDIRECT(ADDRESS(1982,39))</f>
        <v>0</v>
      </c>
      <c r="AN1983">
        <f>INDIRECT(ADDRESS(1983,39))+INDIRECT(ADDRESS(1981,40))-INDIRECT(ADDRESS(1982,40))</f>
        <v>0</v>
      </c>
      <c r="AO1983">
        <f>SUM(INDIRECT(ADDRESS(1982,8)):INDIRECT(ADDRESS(1982,39)))</f>
        <v>0</v>
      </c>
    </row>
    <row r="1984" spans="1:41">
      <c r="A1984" t="s">
        <v>185</v>
      </c>
      <c r="B1984" t="s">
        <v>876</v>
      </c>
      <c r="C1984" t="s">
        <v>877</v>
      </c>
      <c r="E1984">
        <v>1</v>
      </c>
      <c r="I1984" t="s">
        <v>177</v>
      </c>
    </row>
    <row r="1985" spans="1:41">
      <c r="I1985" t="s">
        <v>178</v>
      </c>
      <c r="J1985">
        <f>IFERROR(VLOOKUP("623-000000-002",B:AB,1+8,0),0)</f>
        <v>0</v>
      </c>
      <c r="K1985">
        <f>IFERROR(VLOOKUP("623-000000-002",B:AB,2+8,0),0)</f>
        <v>0</v>
      </c>
      <c r="L1985">
        <f>IFERROR(VLOOKUP("623-000000-002",B:AB,3+8,0),0)</f>
        <v>0</v>
      </c>
      <c r="M1985">
        <f>IFERROR(VLOOKUP("623-000000-002",B:AB,4+8,0),0)</f>
        <v>0</v>
      </c>
      <c r="N1985">
        <f>IFERROR(VLOOKUP("623-000000-002",B:AB,5+8,0),0)</f>
        <v>0</v>
      </c>
      <c r="O1985">
        <f>IFERROR(VLOOKUP("623-000000-002",B:AB,6+8,0),0)</f>
        <v>0</v>
      </c>
      <c r="P1985">
        <f>IFERROR(VLOOKUP("623-000000-002",B:AB,7+8,0),0)</f>
        <v>0</v>
      </c>
      <c r="Q1985">
        <f>IFERROR(VLOOKUP("623-000000-002",B:AB,8+8,0),0)</f>
        <v>0</v>
      </c>
      <c r="R1985">
        <f>IFERROR(VLOOKUP("623-000000-002",B:AB,9+8,0),0)</f>
        <v>0</v>
      </c>
      <c r="S1985">
        <f>IFERROR(VLOOKUP("623-000000-002",B:AB,10+8,0),0)</f>
        <v>0</v>
      </c>
      <c r="T1985">
        <f>IFERROR(VLOOKUP("623-000000-002",B:AB,11+8,0),0)</f>
        <v>0</v>
      </c>
      <c r="U1985">
        <f>IFERROR(VLOOKUP("623-000000-002",B:AB,12+8,0),0)</f>
        <v>0</v>
      </c>
      <c r="V1985">
        <f>IFERROR(VLOOKUP("623-000000-002",B:AB,13+8,0),0)</f>
        <v>0</v>
      </c>
      <c r="W1985">
        <f>IFERROR(VLOOKUP("623-000000-002",B:AB,14+8,0),0)</f>
        <v>0</v>
      </c>
      <c r="X1985">
        <f>IFERROR(VLOOKUP("623-000000-002",B:AB,15+8,0),0)</f>
        <v>0</v>
      </c>
      <c r="Y1985">
        <f>IFERROR(VLOOKUP("623-000000-002",B:AB,16+8,0),0)</f>
        <v>0</v>
      </c>
      <c r="Z1985">
        <f>IFERROR(VLOOKUP("623-000000-002",B:AB,17+8,0),0)</f>
        <v>0</v>
      </c>
      <c r="AA1985">
        <f>IFERROR(VLOOKUP("623-000000-002",B:AB,18+8,0),0)</f>
        <v>0</v>
      </c>
      <c r="AB1985">
        <f>IFERROR(VLOOKUP("623-000000-002",B:AB,19+8,0),0)</f>
        <v>0</v>
      </c>
      <c r="AC1985">
        <f>IFERROR(VLOOKUP("623-000000-002",B:AB,20+8,0),0)</f>
        <v>0</v>
      </c>
      <c r="AD1985">
        <f>IFERROR(VLOOKUP("623-000000-002",B:AB,21+8,0),0)</f>
        <v>0</v>
      </c>
      <c r="AE1985">
        <f>IFERROR(VLOOKUP("623-000000-002",B:AB,22+8,0),0)</f>
        <v>0</v>
      </c>
      <c r="AF1985">
        <f>IFERROR(VLOOKUP("623-000000-002",B:AB,23+8,0),0)</f>
        <v>0</v>
      </c>
      <c r="AG1985">
        <f>IFERROR(VLOOKUP("623-000000-002",B:AB,24+8,0),0)</f>
        <v>0</v>
      </c>
      <c r="AH1985">
        <f>IFERROR(VLOOKUP("623-000000-002",B:AB,25+8,0),0)</f>
        <v>0</v>
      </c>
      <c r="AI1985">
        <f>IFERROR(VLOOKUP("623-000000-002",B:AB,26+8,0),0)</f>
        <v>0</v>
      </c>
      <c r="AJ1985">
        <f>IFERROR(VLOOKUP("623-000000-002",B:AB,27+8,0),0)</f>
        <v>0</v>
      </c>
      <c r="AK1985">
        <f>IFERROR(VLOOKUP("623-000000-002",B:AB,28+8,0),0)</f>
        <v>0</v>
      </c>
      <c r="AL1985">
        <f>IFERROR(VLOOKUP("623-000000-002",B:AB,29+8,0),0)</f>
        <v>0</v>
      </c>
      <c r="AM1985">
        <f>IFERROR(VLOOKUP("623-000000-002",B:AB,30+8,0),0)</f>
        <v>0</v>
      </c>
      <c r="AN1985">
        <f>IFERROR(VLOOKUP("623-000000-002",B:AB,31+8,0),0)</f>
        <v>0</v>
      </c>
      <c r="AO1985">
        <f>SUN(INDIRECT(ADDRESS(1984,8)):INDIRECT(ADDRESS(1984,39)))</f>
        <v>0</v>
      </c>
    </row>
    <row r="1986" spans="1:41">
      <c r="H1986" t="s">
        <v>179</v>
      </c>
      <c r="J1986">
        <f>INDIRECT(ADDRESS(1986,9))+INDIRECT(ADDRESS(1984,10))-INDIRECT(ADDRESS(1985,10))</f>
        <v>0</v>
      </c>
      <c r="K1986">
        <f>INDIRECT(ADDRESS(1986,10))+INDIRECT(ADDRESS(1984,11))-INDIRECT(ADDRESS(1985,11))</f>
        <v>0</v>
      </c>
      <c r="L1986">
        <f>INDIRECT(ADDRESS(1986,11))+INDIRECT(ADDRESS(1984,12))-INDIRECT(ADDRESS(1985,12))</f>
        <v>0</v>
      </c>
      <c r="M1986">
        <f>INDIRECT(ADDRESS(1986,12))+INDIRECT(ADDRESS(1984,13))-INDIRECT(ADDRESS(1985,13))</f>
        <v>0</v>
      </c>
      <c r="N1986">
        <f>INDIRECT(ADDRESS(1986,13))+INDIRECT(ADDRESS(1984,14))-INDIRECT(ADDRESS(1985,14))</f>
        <v>0</v>
      </c>
      <c r="O1986">
        <f>INDIRECT(ADDRESS(1986,14))+INDIRECT(ADDRESS(1984,15))-INDIRECT(ADDRESS(1985,15))</f>
        <v>0</v>
      </c>
      <c r="P1986">
        <f>INDIRECT(ADDRESS(1986,15))+INDIRECT(ADDRESS(1984,16))-INDIRECT(ADDRESS(1985,16))</f>
        <v>0</v>
      </c>
      <c r="Q1986">
        <f>INDIRECT(ADDRESS(1986,16))+INDIRECT(ADDRESS(1984,17))-INDIRECT(ADDRESS(1985,17))</f>
        <v>0</v>
      </c>
      <c r="R1986">
        <f>INDIRECT(ADDRESS(1986,17))+INDIRECT(ADDRESS(1984,18))-INDIRECT(ADDRESS(1985,18))</f>
        <v>0</v>
      </c>
      <c r="S1986">
        <f>INDIRECT(ADDRESS(1986,18))+INDIRECT(ADDRESS(1984,19))-INDIRECT(ADDRESS(1985,19))</f>
        <v>0</v>
      </c>
      <c r="T1986">
        <f>INDIRECT(ADDRESS(1986,19))+INDIRECT(ADDRESS(1984,20))-INDIRECT(ADDRESS(1985,20))</f>
        <v>0</v>
      </c>
      <c r="U1986">
        <f>INDIRECT(ADDRESS(1986,20))+INDIRECT(ADDRESS(1984,21))-INDIRECT(ADDRESS(1985,21))</f>
        <v>0</v>
      </c>
      <c r="V1986">
        <f>INDIRECT(ADDRESS(1986,21))+INDIRECT(ADDRESS(1984,22))-INDIRECT(ADDRESS(1985,22))</f>
        <v>0</v>
      </c>
      <c r="W1986">
        <f>INDIRECT(ADDRESS(1986,22))+INDIRECT(ADDRESS(1984,23))-INDIRECT(ADDRESS(1985,23))</f>
        <v>0</v>
      </c>
      <c r="X1986">
        <f>INDIRECT(ADDRESS(1986,23))+INDIRECT(ADDRESS(1984,24))-INDIRECT(ADDRESS(1985,24))</f>
        <v>0</v>
      </c>
      <c r="Y1986">
        <f>INDIRECT(ADDRESS(1986,24))+INDIRECT(ADDRESS(1984,25))-INDIRECT(ADDRESS(1985,25))</f>
        <v>0</v>
      </c>
      <c r="Z1986">
        <f>INDIRECT(ADDRESS(1986,25))+INDIRECT(ADDRESS(1984,26))-INDIRECT(ADDRESS(1985,26))</f>
        <v>0</v>
      </c>
      <c r="AA1986">
        <f>INDIRECT(ADDRESS(1986,26))+INDIRECT(ADDRESS(1984,27))-INDIRECT(ADDRESS(1985,27))</f>
        <v>0</v>
      </c>
      <c r="AB1986">
        <f>INDIRECT(ADDRESS(1986,27))+INDIRECT(ADDRESS(1984,28))-INDIRECT(ADDRESS(1985,28))</f>
        <v>0</v>
      </c>
      <c r="AC1986">
        <f>INDIRECT(ADDRESS(1986,28))+INDIRECT(ADDRESS(1984,29))-INDIRECT(ADDRESS(1985,29))</f>
        <v>0</v>
      </c>
      <c r="AD1986">
        <f>INDIRECT(ADDRESS(1986,29))+INDIRECT(ADDRESS(1984,30))-INDIRECT(ADDRESS(1985,30))</f>
        <v>0</v>
      </c>
      <c r="AE1986">
        <f>INDIRECT(ADDRESS(1986,30))+INDIRECT(ADDRESS(1984,31))-INDIRECT(ADDRESS(1985,31))</f>
        <v>0</v>
      </c>
      <c r="AF1986">
        <f>INDIRECT(ADDRESS(1986,31))+INDIRECT(ADDRESS(1984,32))-INDIRECT(ADDRESS(1985,32))</f>
        <v>0</v>
      </c>
      <c r="AG1986">
        <f>INDIRECT(ADDRESS(1986,32))+INDIRECT(ADDRESS(1984,33))-INDIRECT(ADDRESS(1985,33))</f>
        <v>0</v>
      </c>
      <c r="AH1986">
        <f>INDIRECT(ADDRESS(1986,33))+INDIRECT(ADDRESS(1984,34))-INDIRECT(ADDRESS(1985,34))</f>
        <v>0</v>
      </c>
      <c r="AI1986">
        <f>INDIRECT(ADDRESS(1986,34))+INDIRECT(ADDRESS(1984,35))-INDIRECT(ADDRESS(1985,35))</f>
        <v>0</v>
      </c>
      <c r="AJ1986">
        <f>INDIRECT(ADDRESS(1986,35))+INDIRECT(ADDRESS(1984,36))-INDIRECT(ADDRESS(1985,36))</f>
        <v>0</v>
      </c>
      <c r="AK1986">
        <f>INDIRECT(ADDRESS(1986,36))+INDIRECT(ADDRESS(1984,37))-INDIRECT(ADDRESS(1985,37))</f>
        <v>0</v>
      </c>
      <c r="AL1986">
        <f>INDIRECT(ADDRESS(1986,37))+INDIRECT(ADDRESS(1984,38))-INDIRECT(ADDRESS(1985,38))</f>
        <v>0</v>
      </c>
      <c r="AM1986">
        <f>INDIRECT(ADDRESS(1986,38))+INDIRECT(ADDRESS(1984,39))-INDIRECT(ADDRESS(1985,39))</f>
        <v>0</v>
      </c>
      <c r="AN1986">
        <f>INDIRECT(ADDRESS(1986,39))+INDIRECT(ADDRESS(1984,40))-INDIRECT(ADDRESS(1985,40))</f>
        <v>0</v>
      </c>
      <c r="AO1986">
        <f>SUM(INDIRECT(ADDRESS(1985,8)):INDIRECT(ADDRESS(1985,39)))</f>
        <v>0</v>
      </c>
    </row>
    <row r="1987" spans="1:41">
      <c r="A1987" t="s">
        <v>185</v>
      </c>
      <c r="B1987" t="s">
        <v>878</v>
      </c>
      <c r="C1987" t="s">
        <v>879</v>
      </c>
      <c r="E1987">
        <v>1</v>
      </c>
      <c r="I1987" t="s">
        <v>177</v>
      </c>
    </row>
    <row r="1988" spans="1:41">
      <c r="I1988" t="s">
        <v>178</v>
      </c>
      <c r="J1988">
        <f>IFERROR(VLOOKUP("623-000000-002",B:AB,1+8,0),0)</f>
        <v>0</v>
      </c>
      <c r="K1988">
        <f>IFERROR(VLOOKUP("623-000000-002",B:AB,2+8,0),0)</f>
        <v>0</v>
      </c>
      <c r="L1988">
        <f>IFERROR(VLOOKUP("623-000000-002",B:AB,3+8,0),0)</f>
        <v>0</v>
      </c>
      <c r="M1988">
        <f>IFERROR(VLOOKUP("623-000000-002",B:AB,4+8,0),0)</f>
        <v>0</v>
      </c>
      <c r="N1988">
        <f>IFERROR(VLOOKUP("623-000000-002",B:AB,5+8,0),0)</f>
        <v>0</v>
      </c>
      <c r="O1988">
        <f>IFERROR(VLOOKUP("623-000000-002",B:AB,6+8,0),0)</f>
        <v>0</v>
      </c>
      <c r="P1988">
        <f>IFERROR(VLOOKUP("623-000000-002",B:AB,7+8,0),0)</f>
        <v>0</v>
      </c>
      <c r="Q1988">
        <f>IFERROR(VLOOKUP("623-000000-002",B:AB,8+8,0),0)</f>
        <v>0</v>
      </c>
      <c r="R1988">
        <f>IFERROR(VLOOKUP("623-000000-002",B:AB,9+8,0),0)</f>
        <v>0</v>
      </c>
      <c r="S1988">
        <f>IFERROR(VLOOKUP("623-000000-002",B:AB,10+8,0),0)</f>
        <v>0</v>
      </c>
      <c r="T1988">
        <f>IFERROR(VLOOKUP("623-000000-002",B:AB,11+8,0),0)</f>
        <v>0</v>
      </c>
      <c r="U1988">
        <f>IFERROR(VLOOKUP("623-000000-002",B:AB,12+8,0),0)</f>
        <v>0</v>
      </c>
      <c r="V1988">
        <f>IFERROR(VLOOKUP("623-000000-002",B:AB,13+8,0),0)</f>
        <v>0</v>
      </c>
      <c r="W1988">
        <f>IFERROR(VLOOKUP("623-000000-002",B:AB,14+8,0),0)</f>
        <v>0</v>
      </c>
      <c r="X1988">
        <f>IFERROR(VLOOKUP("623-000000-002",B:AB,15+8,0),0)</f>
        <v>0</v>
      </c>
      <c r="Y1988">
        <f>IFERROR(VLOOKUP("623-000000-002",B:AB,16+8,0),0)</f>
        <v>0</v>
      </c>
      <c r="Z1988">
        <f>IFERROR(VLOOKUP("623-000000-002",B:AB,17+8,0),0)</f>
        <v>0</v>
      </c>
      <c r="AA1988">
        <f>IFERROR(VLOOKUP("623-000000-002",B:AB,18+8,0),0)</f>
        <v>0</v>
      </c>
      <c r="AB1988">
        <f>IFERROR(VLOOKUP("623-000000-002",B:AB,19+8,0),0)</f>
        <v>0</v>
      </c>
      <c r="AC1988">
        <f>IFERROR(VLOOKUP("623-000000-002",B:AB,20+8,0),0)</f>
        <v>0</v>
      </c>
      <c r="AD1988">
        <f>IFERROR(VLOOKUP("623-000000-002",B:AB,21+8,0),0)</f>
        <v>0</v>
      </c>
      <c r="AE1988">
        <f>IFERROR(VLOOKUP("623-000000-002",B:AB,22+8,0),0)</f>
        <v>0</v>
      </c>
      <c r="AF1988">
        <f>IFERROR(VLOOKUP("623-000000-002",B:AB,23+8,0),0)</f>
        <v>0</v>
      </c>
      <c r="AG1988">
        <f>IFERROR(VLOOKUP("623-000000-002",B:AB,24+8,0),0)</f>
        <v>0</v>
      </c>
      <c r="AH1988">
        <f>IFERROR(VLOOKUP("623-000000-002",B:AB,25+8,0),0)</f>
        <v>0</v>
      </c>
      <c r="AI1988">
        <f>IFERROR(VLOOKUP("623-000000-002",B:AB,26+8,0),0)</f>
        <v>0</v>
      </c>
      <c r="AJ1988">
        <f>IFERROR(VLOOKUP("623-000000-002",B:AB,27+8,0),0)</f>
        <v>0</v>
      </c>
      <c r="AK1988">
        <f>IFERROR(VLOOKUP("623-000000-002",B:AB,28+8,0),0)</f>
        <v>0</v>
      </c>
      <c r="AL1988">
        <f>IFERROR(VLOOKUP("623-000000-002",B:AB,29+8,0),0)</f>
        <v>0</v>
      </c>
      <c r="AM1988">
        <f>IFERROR(VLOOKUP("623-000000-002",B:AB,30+8,0),0)</f>
        <v>0</v>
      </c>
      <c r="AN1988">
        <f>IFERROR(VLOOKUP("623-000000-002",B:AB,31+8,0),0)</f>
        <v>0</v>
      </c>
      <c r="AO1988">
        <f>SUN(INDIRECT(ADDRESS(1987,8)):INDIRECT(ADDRESS(1987,39)))</f>
        <v>0</v>
      </c>
    </row>
    <row r="1989" spans="1:41">
      <c r="H1989" t="s">
        <v>179</v>
      </c>
      <c r="J1989">
        <f>INDIRECT(ADDRESS(1989,9))+INDIRECT(ADDRESS(1987,10))-INDIRECT(ADDRESS(1988,10))</f>
        <v>0</v>
      </c>
      <c r="K1989">
        <f>INDIRECT(ADDRESS(1989,10))+INDIRECT(ADDRESS(1987,11))-INDIRECT(ADDRESS(1988,11))</f>
        <v>0</v>
      </c>
      <c r="L1989">
        <f>INDIRECT(ADDRESS(1989,11))+INDIRECT(ADDRESS(1987,12))-INDIRECT(ADDRESS(1988,12))</f>
        <v>0</v>
      </c>
      <c r="M1989">
        <f>INDIRECT(ADDRESS(1989,12))+INDIRECT(ADDRESS(1987,13))-INDIRECT(ADDRESS(1988,13))</f>
        <v>0</v>
      </c>
      <c r="N1989">
        <f>INDIRECT(ADDRESS(1989,13))+INDIRECT(ADDRESS(1987,14))-INDIRECT(ADDRESS(1988,14))</f>
        <v>0</v>
      </c>
      <c r="O1989">
        <f>INDIRECT(ADDRESS(1989,14))+INDIRECT(ADDRESS(1987,15))-INDIRECT(ADDRESS(1988,15))</f>
        <v>0</v>
      </c>
      <c r="P1989">
        <f>INDIRECT(ADDRESS(1989,15))+INDIRECT(ADDRESS(1987,16))-INDIRECT(ADDRESS(1988,16))</f>
        <v>0</v>
      </c>
      <c r="Q1989">
        <f>INDIRECT(ADDRESS(1989,16))+INDIRECT(ADDRESS(1987,17))-INDIRECT(ADDRESS(1988,17))</f>
        <v>0</v>
      </c>
      <c r="R1989">
        <f>INDIRECT(ADDRESS(1989,17))+INDIRECT(ADDRESS(1987,18))-INDIRECT(ADDRESS(1988,18))</f>
        <v>0</v>
      </c>
      <c r="S1989">
        <f>INDIRECT(ADDRESS(1989,18))+INDIRECT(ADDRESS(1987,19))-INDIRECT(ADDRESS(1988,19))</f>
        <v>0</v>
      </c>
      <c r="T1989">
        <f>INDIRECT(ADDRESS(1989,19))+INDIRECT(ADDRESS(1987,20))-INDIRECT(ADDRESS(1988,20))</f>
        <v>0</v>
      </c>
      <c r="U1989">
        <f>INDIRECT(ADDRESS(1989,20))+INDIRECT(ADDRESS(1987,21))-INDIRECT(ADDRESS(1988,21))</f>
        <v>0</v>
      </c>
      <c r="V1989">
        <f>INDIRECT(ADDRESS(1989,21))+INDIRECT(ADDRESS(1987,22))-INDIRECT(ADDRESS(1988,22))</f>
        <v>0</v>
      </c>
      <c r="W1989">
        <f>INDIRECT(ADDRESS(1989,22))+INDIRECT(ADDRESS(1987,23))-INDIRECT(ADDRESS(1988,23))</f>
        <v>0</v>
      </c>
      <c r="X1989">
        <f>INDIRECT(ADDRESS(1989,23))+INDIRECT(ADDRESS(1987,24))-INDIRECT(ADDRESS(1988,24))</f>
        <v>0</v>
      </c>
      <c r="Y1989">
        <f>INDIRECT(ADDRESS(1989,24))+INDIRECT(ADDRESS(1987,25))-INDIRECT(ADDRESS(1988,25))</f>
        <v>0</v>
      </c>
      <c r="Z1989">
        <f>INDIRECT(ADDRESS(1989,25))+INDIRECT(ADDRESS(1987,26))-INDIRECT(ADDRESS(1988,26))</f>
        <v>0</v>
      </c>
      <c r="AA1989">
        <f>INDIRECT(ADDRESS(1989,26))+INDIRECT(ADDRESS(1987,27))-INDIRECT(ADDRESS(1988,27))</f>
        <v>0</v>
      </c>
      <c r="AB1989">
        <f>INDIRECT(ADDRESS(1989,27))+INDIRECT(ADDRESS(1987,28))-INDIRECT(ADDRESS(1988,28))</f>
        <v>0</v>
      </c>
      <c r="AC1989">
        <f>INDIRECT(ADDRESS(1989,28))+INDIRECT(ADDRESS(1987,29))-INDIRECT(ADDRESS(1988,29))</f>
        <v>0</v>
      </c>
      <c r="AD1989">
        <f>INDIRECT(ADDRESS(1989,29))+INDIRECT(ADDRESS(1987,30))-INDIRECT(ADDRESS(1988,30))</f>
        <v>0</v>
      </c>
      <c r="AE1989">
        <f>INDIRECT(ADDRESS(1989,30))+INDIRECT(ADDRESS(1987,31))-INDIRECT(ADDRESS(1988,31))</f>
        <v>0</v>
      </c>
      <c r="AF1989">
        <f>INDIRECT(ADDRESS(1989,31))+INDIRECT(ADDRESS(1987,32))-INDIRECT(ADDRESS(1988,32))</f>
        <v>0</v>
      </c>
      <c r="AG1989">
        <f>INDIRECT(ADDRESS(1989,32))+INDIRECT(ADDRESS(1987,33))-INDIRECT(ADDRESS(1988,33))</f>
        <v>0</v>
      </c>
      <c r="AH1989">
        <f>INDIRECT(ADDRESS(1989,33))+INDIRECT(ADDRESS(1987,34))-INDIRECT(ADDRESS(1988,34))</f>
        <v>0</v>
      </c>
      <c r="AI1989">
        <f>INDIRECT(ADDRESS(1989,34))+INDIRECT(ADDRESS(1987,35))-INDIRECT(ADDRESS(1988,35))</f>
        <v>0</v>
      </c>
      <c r="AJ1989">
        <f>INDIRECT(ADDRESS(1989,35))+INDIRECT(ADDRESS(1987,36))-INDIRECT(ADDRESS(1988,36))</f>
        <v>0</v>
      </c>
      <c r="AK1989">
        <f>INDIRECT(ADDRESS(1989,36))+INDIRECT(ADDRESS(1987,37))-INDIRECT(ADDRESS(1988,37))</f>
        <v>0</v>
      </c>
      <c r="AL1989">
        <f>INDIRECT(ADDRESS(1989,37))+INDIRECT(ADDRESS(1987,38))-INDIRECT(ADDRESS(1988,38))</f>
        <v>0</v>
      </c>
      <c r="AM1989">
        <f>INDIRECT(ADDRESS(1989,38))+INDIRECT(ADDRESS(1987,39))-INDIRECT(ADDRESS(1988,39))</f>
        <v>0</v>
      </c>
      <c r="AN1989">
        <f>INDIRECT(ADDRESS(1989,39))+INDIRECT(ADDRESS(1987,40))-INDIRECT(ADDRESS(1988,40))</f>
        <v>0</v>
      </c>
      <c r="AO1989">
        <f>SUM(INDIRECT(ADDRESS(1988,8)):INDIRECT(ADDRESS(1988,39)))</f>
        <v>0</v>
      </c>
    </row>
    <row r="1990" spans="1:41">
      <c r="A1990" t="s">
        <v>185</v>
      </c>
      <c r="B1990" t="s">
        <v>880</v>
      </c>
      <c r="C1990" t="s">
        <v>881</v>
      </c>
      <c r="E1990">
        <v>1</v>
      </c>
      <c r="I1990" t="s">
        <v>177</v>
      </c>
    </row>
    <row r="1991" spans="1:41">
      <c r="I1991" t="s">
        <v>178</v>
      </c>
      <c r="J1991">
        <f>IFERROR(VLOOKUP("623-000000-002",B:AB,1+8,0),0)</f>
        <v>0</v>
      </c>
      <c r="K1991">
        <f>IFERROR(VLOOKUP("623-000000-002",B:AB,2+8,0),0)</f>
        <v>0</v>
      </c>
      <c r="L1991">
        <f>IFERROR(VLOOKUP("623-000000-002",B:AB,3+8,0),0)</f>
        <v>0</v>
      </c>
      <c r="M1991">
        <f>IFERROR(VLOOKUP("623-000000-002",B:AB,4+8,0),0)</f>
        <v>0</v>
      </c>
      <c r="N1991">
        <f>IFERROR(VLOOKUP("623-000000-002",B:AB,5+8,0),0)</f>
        <v>0</v>
      </c>
      <c r="O1991">
        <f>IFERROR(VLOOKUP("623-000000-002",B:AB,6+8,0),0)</f>
        <v>0</v>
      </c>
      <c r="P1991">
        <f>IFERROR(VLOOKUP("623-000000-002",B:AB,7+8,0),0)</f>
        <v>0</v>
      </c>
      <c r="Q1991">
        <f>IFERROR(VLOOKUP("623-000000-002",B:AB,8+8,0),0)</f>
        <v>0</v>
      </c>
      <c r="R1991">
        <f>IFERROR(VLOOKUP("623-000000-002",B:AB,9+8,0),0)</f>
        <v>0</v>
      </c>
      <c r="S1991">
        <f>IFERROR(VLOOKUP("623-000000-002",B:AB,10+8,0),0)</f>
        <v>0</v>
      </c>
      <c r="T1991">
        <f>IFERROR(VLOOKUP("623-000000-002",B:AB,11+8,0),0)</f>
        <v>0</v>
      </c>
      <c r="U1991">
        <f>IFERROR(VLOOKUP("623-000000-002",B:AB,12+8,0),0)</f>
        <v>0</v>
      </c>
      <c r="V1991">
        <f>IFERROR(VLOOKUP("623-000000-002",B:AB,13+8,0),0)</f>
        <v>0</v>
      </c>
      <c r="W1991">
        <f>IFERROR(VLOOKUP("623-000000-002",B:AB,14+8,0),0)</f>
        <v>0</v>
      </c>
      <c r="X1991">
        <f>IFERROR(VLOOKUP("623-000000-002",B:AB,15+8,0),0)</f>
        <v>0</v>
      </c>
      <c r="Y1991">
        <f>IFERROR(VLOOKUP("623-000000-002",B:AB,16+8,0),0)</f>
        <v>0</v>
      </c>
      <c r="Z1991">
        <f>IFERROR(VLOOKUP("623-000000-002",B:AB,17+8,0),0)</f>
        <v>0</v>
      </c>
      <c r="AA1991">
        <f>IFERROR(VLOOKUP("623-000000-002",B:AB,18+8,0),0)</f>
        <v>0</v>
      </c>
      <c r="AB1991">
        <f>IFERROR(VLOOKUP("623-000000-002",B:AB,19+8,0),0)</f>
        <v>0</v>
      </c>
      <c r="AC1991">
        <f>IFERROR(VLOOKUP("623-000000-002",B:AB,20+8,0),0)</f>
        <v>0</v>
      </c>
      <c r="AD1991">
        <f>IFERROR(VLOOKUP("623-000000-002",B:AB,21+8,0),0)</f>
        <v>0</v>
      </c>
      <c r="AE1991">
        <f>IFERROR(VLOOKUP("623-000000-002",B:AB,22+8,0),0)</f>
        <v>0</v>
      </c>
      <c r="AF1991">
        <f>IFERROR(VLOOKUP("623-000000-002",B:AB,23+8,0),0)</f>
        <v>0</v>
      </c>
      <c r="AG1991">
        <f>IFERROR(VLOOKUP("623-000000-002",B:AB,24+8,0),0)</f>
        <v>0</v>
      </c>
      <c r="AH1991">
        <f>IFERROR(VLOOKUP("623-000000-002",B:AB,25+8,0),0)</f>
        <v>0</v>
      </c>
      <c r="AI1991">
        <f>IFERROR(VLOOKUP("623-000000-002",B:AB,26+8,0),0)</f>
        <v>0</v>
      </c>
      <c r="AJ1991">
        <f>IFERROR(VLOOKUP("623-000000-002",B:AB,27+8,0),0)</f>
        <v>0</v>
      </c>
      <c r="AK1991">
        <f>IFERROR(VLOOKUP("623-000000-002",B:AB,28+8,0),0)</f>
        <v>0</v>
      </c>
      <c r="AL1991">
        <f>IFERROR(VLOOKUP("623-000000-002",B:AB,29+8,0),0)</f>
        <v>0</v>
      </c>
      <c r="AM1991">
        <f>IFERROR(VLOOKUP("623-000000-002",B:AB,30+8,0),0)</f>
        <v>0</v>
      </c>
      <c r="AN1991">
        <f>IFERROR(VLOOKUP("623-000000-002",B:AB,31+8,0),0)</f>
        <v>0</v>
      </c>
      <c r="AO1991">
        <f>SUN(INDIRECT(ADDRESS(1990,8)):INDIRECT(ADDRESS(1990,39)))</f>
        <v>0</v>
      </c>
    </row>
    <row r="1992" spans="1:41">
      <c r="H1992" t="s">
        <v>179</v>
      </c>
      <c r="J1992">
        <f>INDIRECT(ADDRESS(1992,9))+INDIRECT(ADDRESS(1990,10))-INDIRECT(ADDRESS(1991,10))</f>
        <v>0</v>
      </c>
      <c r="K1992">
        <f>INDIRECT(ADDRESS(1992,10))+INDIRECT(ADDRESS(1990,11))-INDIRECT(ADDRESS(1991,11))</f>
        <v>0</v>
      </c>
      <c r="L1992">
        <f>INDIRECT(ADDRESS(1992,11))+INDIRECT(ADDRESS(1990,12))-INDIRECT(ADDRESS(1991,12))</f>
        <v>0</v>
      </c>
      <c r="M1992">
        <f>INDIRECT(ADDRESS(1992,12))+INDIRECT(ADDRESS(1990,13))-INDIRECT(ADDRESS(1991,13))</f>
        <v>0</v>
      </c>
      <c r="N1992">
        <f>INDIRECT(ADDRESS(1992,13))+INDIRECT(ADDRESS(1990,14))-INDIRECT(ADDRESS(1991,14))</f>
        <v>0</v>
      </c>
      <c r="O1992">
        <f>INDIRECT(ADDRESS(1992,14))+INDIRECT(ADDRESS(1990,15))-INDIRECT(ADDRESS(1991,15))</f>
        <v>0</v>
      </c>
      <c r="P1992">
        <f>INDIRECT(ADDRESS(1992,15))+INDIRECT(ADDRESS(1990,16))-INDIRECT(ADDRESS(1991,16))</f>
        <v>0</v>
      </c>
      <c r="Q1992">
        <f>INDIRECT(ADDRESS(1992,16))+INDIRECT(ADDRESS(1990,17))-INDIRECT(ADDRESS(1991,17))</f>
        <v>0</v>
      </c>
      <c r="R1992">
        <f>INDIRECT(ADDRESS(1992,17))+INDIRECT(ADDRESS(1990,18))-INDIRECT(ADDRESS(1991,18))</f>
        <v>0</v>
      </c>
      <c r="S1992">
        <f>INDIRECT(ADDRESS(1992,18))+INDIRECT(ADDRESS(1990,19))-INDIRECT(ADDRESS(1991,19))</f>
        <v>0</v>
      </c>
      <c r="T1992">
        <f>INDIRECT(ADDRESS(1992,19))+INDIRECT(ADDRESS(1990,20))-INDIRECT(ADDRESS(1991,20))</f>
        <v>0</v>
      </c>
      <c r="U1992">
        <f>INDIRECT(ADDRESS(1992,20))+INDIRECT(ADDRESS(1990,21))-INDIRECT(ADDRESS(1991,21))</f>
        <v>0</v>
      </c>
      <c r="V1992">
        <f>INDIRECT(ADDRESS(1992,21))+INDIRECT(ADDRESS(1990,22))-INDIRECT(ADDRESS(1991,22))</f>
        <v>0</v>
      </c>
      <c r="W1992">
        <f>INDIRECT(ADDRESS(1992,22))+INDIRECT(ADDRESS(1990,23))-INDIRECT(ADDRESS(1991,23))</f>
        <v>0</v>
      </c>
      <c r="X1992">
        <f>INDIRECT(ADDRESS(1992,23))+INDIRECT(ADDRESS(1990,24))-INDIRECT(ADDRESS(1991,24))</f>
        <v>0</v>
      </c>
      <c r="Y1992">
        <f>INDIRECT(ADDRESS(1992,24))+INDIRECT(ADDRESS(1990,25))-INDIRECT(ADDRESS(1991,25))</f>
        <v>0</v>
      </c>
      <c r="Z1992">
        <f>INDIRECT(ADDRESS(1992,25))+INDIRECT(ADDRESS(1990,26))-INDIRECT(ADDRESS(1991,26))</f>
        <v>0</v>
      </c>
      <c r="AA1992">
        <f>INDIRECT(ADDRESS(1992,26))+INDIRECT(ADDRESS(1990,27))-INDIRECT(ADDRESS(1991,27))</f>
        <v>0</v>
      </c>
      <c r="AB1992">
        <f>INDIRECT(ADDRESS(1992,27))+INDIRECT(ADDRESS(1990,28))-INDIRECT(ADDRESS(1991,28))</f>
        <v>0</v>
      </c>
      <c r="AC1992">
        <f>INDIRECT(ADDRESS(1992,28))+INDIRECT(ADDRESS(1990,29))-INDIRECT(ADDRESS(1991,29))</f>
        <v>0</v>
      </c>
      <c r="AD1992">
        <f>INDIRECT(ADDRESS(1992,29))+INDIRECT(ADDRESS(1990,30))-INDIRECT(ADDRESS(1991,30))</f>
        <v>0</v>
      </c>
      <c r="AE1992">
        <f>INDIRECT(ADDRESS(1992,30))+INDIRECT(ADDRESS(1990,31))-INDIRECT(ADDRESS(1991,31))</f>
        <v>0</v>
      </c>
      <c r="AF1992">
        <f>INDIRECT(ADDRESS(1992,31))+INDIRECT(ADDRESS(1990,32))-INDIRECT(ADDRESS(1991,32))</f>
        <v>0</v>
      </c>
      <c r="AG1992">
        <f>INDIRECT(ADDRESS(1992,32))+INDIRECT(ADDRESS(1990,33))-INDIRECT(ADDRESS(1991,33))</f>
        <v>0</v>
      </c>
      <c r="AH1992">
        <f>INDIRECT(ADDRESS(1992,33))+INDIRECT(ADDRESS(1990,34))-INDIRECT(ADDRESS(1991,34))</f>
        <v>0</v>
      </c>
      <c r="AI1992">
        <f>INDIRECT(ADDRESS(1992,34))+INDIRECT(ADDRESS(1990,35))-INDIRECT(ADDRESS(1991,35))</f>
        <v>0</v>
      </c>
      <c r="AJ1992">
        <f>INDIRECT(ADDRESS(1992,35))+INDIRECT(ADDRESS(1990,36))-INDIRECT(ADDRESS(1991,36))</f>
        <v>0</v>
      </c>
      <c r="AK1992">
        <f>INDIRECT(ADDRESS(1992,36))+INDIRECT(ADDRESS(1990,37))-INDIRECT(ADDRESS(1991,37))</f>
        <v>0</v>
      </c>
      <c r="AL1992">
        <f>INDIRECT(ADDRESS(1992,37))+INDIRECT(ADDRESS(1990,38))-INDIRECT(ADDRESS(1991,38))</f>
        <v>0</v>
      </c>
      <c r="AM1992">
        <f>INDIRECT(ADDRESS(1992,38))+INDIRECT(ADDRESS(1990,39))-INDIRECT(ADDRESS(1991,39))</f>
        <v>0</v>
      </c>
      <c r="AN1992">
        <f>INDIRECT(ADDRESS(1992,39))+INDIRECT(ADDRESS(1990,40))-INDIRECT(ADDRESS(1991,40))</f>
        <v>0</v>
      </c>
      <c r="AO1992">
        <f>SUM(INDIRECT(ADDRESS(1991,8)):INDIRECT(ADDRESS(1991,39)))</f>
        <v>0</v>
      </c>
    </row>
    <row r="1993" spans="1:41">
      <c r="A1993" t="s">
        <v>185</v>
      </c>
      <c r="B1993" t="s">
        <v>171</v>
      </c>
      <c r="C1993" t="s">
        <v>882</v>
      </c>
      <c r="E1993">
        <v>1</v>
      </c>
      <c r="I1993" t="s">
        <v>177</v>
      </c>
    </row>
    <row r="1994" spans="1:41">
      <c r="I1994" t="s">
        <v>178</v>
      </c>
      <c r="J1994">
        <f>IFERROR(VLOOKUP("623-000000-002",B:AB,1+8,0),0)</f>
        <v>0</v>
      </c>
      <c r="K1994">
        <f>IFERROR(VLOOKUP("623-000000-002",B:AB,2+8,0),0)</f>
        <v>0</v>
      </c>
      <c r="L1994">
        <f>IFERROR(VLOOKUP("623-000000-002",B:AB,3+8,0),0)</f>
        <v>0</v>
      </c>
      <c r="M1994">
        <f>IFERROR(VLOOKUP("623-000000-002",B:AB,4+8,0),0)</f>
        <v>0</v>
      </c>
      <c r="N1994">
        <f>IFERROR(VLOOKUP("623-000000-002",B:AB,5+8,0),0)</f>
        <v>0</v>
      </c>
      <c r="O1994">
        <f>IFERROR(VLOOKUP("623-000000-002",B:AB,6+8,0),0)</f>
        <v>0</v>
      </c>
      <c r="P1994">
        <f>IFERROR(VLOOKUP("623-000000-002",B:AB,7+8,0),0)</f>
        <v>0</v>
      </c>
      <c r="Q1994">
        <f>IFERROR(VLOOKUP("623-000000-002",B:AB,8+8,0),0)</f>
        <v>0</v>
      </c>
      <c r="R1994">
        <f>IFERROR(VLOOKUP("623-000000-002",B:AB,9+8,0),0)</f>
        <v>0</v>
      </c>
      <c r="S1994">
        <f>IFERROR(VLOOKUP("623-000000-002",B:AB,10+8,0),0)</f>
        <v>0</v>
      </c>
      <c r="T1994">
        <f>IFERROR(VLOOKUP("623-000000-002",B:AB,11+8,0),0)</f>
        <v>0</v>
      </c>
      <c r="U1994">
        <f>IFERROR(VLOOKUP("623-000000-002",B:AB,12+8,0),0)</f>
        <v>0</v>
      </c>
      <c r="V1994">
        <f>IFERROR(VLOOKUP("623-000000-002",B:AB,13+8,0),0)</f>
        <v>0</v>
      </c>
      <c r="W1994">
        <f>IFERROR(VLOOKUP("623-000000-002",B:AB,14+8,0),0)</f>
        <v>0</v>
      </c>
      <c r="X1994">
        <f>IFERROR(VLOOKUP("623-000000-002",B:AB,15+8,0),0)</f>
        <v>0</v>
      </c>
      <c r="Y1994">
        <f>IFERROR(VLOOKUP("623-000000-002",B:AB,16+8,0),0)</f>
        <v>0</v>
      </c>
      <c r="Z1994">
        <f>IFERROR(VLOOKUP("623-000000-002",B:AB,17+8,0),0)</f>
        <v>0</v>
      </c>
      <c r="AA1994">
        <f>IFERROR(VLOOKUP("623-000000-002",B:AB,18+8,0),0)</f>
        <v>0</v>
      </c>
      <c r="AB1994">
        <f>IFERROR(VLOOKUP("623-000000-002",B:AB,19+8,0),0)</f>
        <v>0</v>
      </c>
      <c r="AC1994">
        <f>IFERROR(VLOOKUP("623-000000-002",B:AB,20+8,0),0)</f>
        <v>0</v>
      </c>
      <c r="AD1994">
        <f>IFERROR(VLOOKUP("623-000000-002",B:AB,21+8,0),0)</f>
        <v>0</v>
      </c>
      <c r="AE1994">
        <f>IFERROR(VLOOKUP("623-000000-002",B:AB,22+8,0),0)</f>
        <v>0</v>
      </c>
      <c r="AF1994">
        <f>IFERROR(VLOOKUP("623-000000-002",B:AB,23+8,0),0)</f>
        <v>0</v>
      </c>
      <c r="AG1994">
        <f>IFERROR(VLOOKUP("623-000000-002",B:AB,24+8,0),0)</f>
        <v>0</v>
      </c>
      <c r="AH1994">
        <f>IFERROR(VLOOKUP("623-000000-002",B:AB,25+8,0),0)</f>
        <v>0</v>
      </c>
      <c r="AI1994">
        <f>IFERROR(VLOOKUP("623-000000-002",B:AB,26+8,0),0)</f>
        <v>0</v>
      </c>
      <c r="AJ1994">
        <f>IFERROR(VLOOKUP("623-000000-002",B:AB,27+8,0),0)</f>
        <v>0</v>
      </c>
      <c r="AK1994">
        <f>IFERROR(VLOOKUP("623-000000-002",B:AB,28+8,0),0)</f>
        <v>0</v>
      </c>
      <c r="AL1994">
        <f>IFERROR(VLOOKUP("623-000000-002",B:AB,29+8,0),0)</f>
        <v>0</v>
      </c>
      <c r="AM1994">
        <f>IFERROR(VLOOKUP("623-000000-002",B:AB,30+8,0),0)</f>
        <v>0</v>
      </c>
      <c r="AN1994">
        <f>IFERROR(VLOOKUP("623-000000-002",B:AB,31+8,0),0)</f>
        <v>0</v>
      </c>
      <c r="AO1994">
        <f>SUN(INDIRECT(ADDRESS(1993,8)):INDIRECT(ADDRESS(1993,39)))</f>
        <v>0</v>
      </c>
    </row>
    <row r="1995" spans="1:41">
      <c r="H1995" t="s">
        <v>179</v>
      </c>
      <c r="J1995">
        <f>INDIRECT(ADDRESS(1995,9))+INDIRECT(ADDRESS(1993,10))-INDIRECT(ADDRESS(1994,10))</f>
        <v>0</v>
      </c>
      <c r="K1995">
        <f>INDIRECT(ADDRESS(1995,10))+INDIRECT(ADDRESS(1993,11))-INDIRECT(ADDRESS(1994,11))</f>
        <v>0</v>
      </c>
      <c r="L1995">
        <f>INDIRECT(ADDRESS(1995,11))+INDIRECT(ADDRESS(1993,12))-INDIRECT(ADDRESS(1994,12))</f>
        <v>0</v>
      </c>
      <c r="M1995">
        <f>INDIRECT(ADDRESS(1995,12))+INDIRECT(ADDRESS(1993,13))-INDIRECT(ADDRESS(1994,13))</f>
        <v>0</v>
      </c>
      <c r="N1995">
        <f>INDIRECT(ADDRESS(1995,13))+INDIRECT(ADDRESS(1993,14))-INDIRECT(ADDRESS(1994,14))</f>
        <v>0</v>
      </c>
      <c r="O1995">
        <f>INDIRECT(ADDRESS(1995,14))+INDIRECT(ADDRESS(1993,15))-INDIRECT(ADDRESS(1994,15))</f>
        <v>0</v>
      </c>
      <c r="P1995">
        <f>INDIRECT(ADDRESS(1995,15))+INDIRECT(ADDRESS(1993,16))-INDIRECT(ADDRESS(1994,16))</f>
        <v>0</v>
      </c>
      <c r="Q1995">
        <f>INDIRECT(ADDRESS(1995,16))+INDIRECT(ADDRESS(1993,17))-INDIRECT(ADDRESS(1994,17))</f>
        <v>0</v>
      </c>
      <c r="R1995">
        <f>INDIRECT(ADDRESS(1995,17))+INDIRECT(ADDRESS(1993,18))-INDIRECT(ADDRESS(1994,18))</f>
        <v>0</v>
      </c>
      <c r="S1995">
        <f>INDIRECT(ADDRESS(1995,18))+INDIRECT(ADDRESS(1993,19))-INDIRECT(ADDRESS(1994,19))</f>
        <v>0</v>
      </c>
      <c r="T1995">
        <f>INDIRECT(ADDRESS(1995,19))+INDIRECT(ADDRESS(1993,20))-INDIRECT(ADDRESS(1994,20))</f>
        <v>0</v>
      </c>
      <c r="U1995">
        <f>INDIRECT(ADDRESS(1995,20))+INDIRECT(ADDRESS(1993,21))-INDIRECT(ADDRESS(1994,21))</f>
        <v>0</v>
      </c>
      <c r="V1995">
        <f>INDIRECT(ADDRESS(1995,21))+INDIRECT(ADDRESS(1993,22))-INDIRECT(ADDRESS(1994,22))</f>
        <v>0</v>
      </c>
      <c r="W1995">
        <f>INDIRECT(ADDRESS(1995,22))+INDIRECT(ADDRESS(1993,23))-INDIRECT(ADDRESS(1994,23))</f>
        <v>0</v>
      </c>
      <c r="X1995">
        <f>INDIRECT(ADDRESS(1995,23))+INDIRECT(ADDRESS(1993,24))-INDIRECT(ADDRESS(1994,24))</f>
        <v>0</v>
      </c>
      <c r="Y1995">
        <f>INDIRECT(ADDRESS(1995,24))+INDIRECT(ADDRESS(1993,25))-INDIRECT(ADDRESS(1994,25))</f>
        <v>0</v>
      </c>
      <c r="Z1995">
        <f>INDIRECT(ADDRESS(1995,25))+INDIRECT(ADDRESS(1993,26))-INDIRECT(ADDRESS(1994,26))</f>
        <v>0</v>
      </c>
      <c r="AA1995">
        <f>INDIRECT(ADDRESS(1995,26))+INDIRECT(ADDRESS(1993,27))-INDIRECT(ADDRESS(1994,27))</f>
        <v>0</v>
      </c>
      <c r="AB1995">
        <f>INDIRECT(ADDRESS(1995,27))+INDIRECT(ADDRESS(1993,28))-INDIRECT(ADDRESS(1994,28))</f>
        <v>0</v>
      </c>
      <c r="AC1995">
        <f>INDIRECT(ADDRESS(1995,28))+INDIRECT(ADDRESS(1993,29))-INDIRECT(ADDRESS(1994,29))</f>
        <v>0</v>
      </c>
      <c r="AD1995">
        <f>INDIRECT(ADDRESS(1995,29))+INDIRECT(ADDRESS(1993,30))-INDIRECT(ADDRESS(1994,30))</f>
        <v>0</v>
      </c>
      <c r="AE1995">
        <f>INDIRECT(ADDRESS(1995,30))+INDIRECT(ADDRESS(1993,31))-INDIRECT(ADDRESS(1994,31))</f>
        <v>0</v>
      </c>
      <c r="AF1995">
        <f>INDIRECT(ADDRESS(1995,31))+INDIRECT(ADDRESS(1993,32))-INDIRECT(ADDRESS(1994,32))</f>
        <v>0</v>
      </c>
      <c r="AG1995">
        <f>INDIRECT(ADDRESS(1995,32))+INDIRECT(ADDRESS(1993,33))-INDIRECT(ADDRESS(1994,33))</f>
        <v>0</v>
      </c>
      <c r="AH1995">
        <f>INDIRECT(ADDRESS(1995,33))+INDIRECT(ADDRESS(1993,34))-INDIRECT(ADDRESS(1994,34))</f>
        <v>0</v>
      </c>
      <c r="AI1995">
        <f>INDIRECT(ADDRESS(1995,34))+INDIRECT(ADDRESS(1993,35))-INDIRECT(ADDRESS(1994,35))</f>
        <v>0</v>
      </c>
      <c r="AJ1995">
        <f>INDIRECT(ADDRESS(1995,35))+INDIRECT(ADDRESS(1993,36))-INDIRECT(ADDRESS(1994,36))</f>
        <v>0</v>
      </c>
      <c r="AK1995">
        <f>INDIRECT(ADDRESS(1995,36))+INDIRECT(ADDRESS(1993,37))-INDIRECT(ADDRESS(1994,37))</f>
        <v>0</v>
      </c>
      <c r="AL1995">
        <f>INDIRECT(ADDRESS(1995,37))+INDIRECT(ADDRESS(1993,38))-INDIRECT(ADDRESS(1994,38))</f>
        <v>0</v>
      </c>
      <c r="AM1995">
        <f>INDIRECT(ADDRESS(1995,38))+INDIRECT(ADDRESS(1993,39))-INDIRECT(ADDRESS(1994,39))</f>
        <v>0</v>
      </c>
      <c r="AN1995">
        <f>INDIRECT(ADDRESS(1995,39))+INDIRECT(ADDRESS(1993,40))-INDIRECT(ADDRESS(1994,40))</f>
        <v>0</v>
      </c>
      <c r="AO1995">
        <f>SUM(INDIRECT(ADDRESS(1994,8)):INDIRECT(ADDRESS(1994,39)))</f>
        <v>0</v>
      </c>
    </row>
    <row r="1996" spans="1:41">
      <c r="A1996" t="s">
        <v>8</v>
      </c>
      <c r="B1996" t="s">
        <v>171</v>
      </c>
      <c r="C1996" t="s">
        <v>170</v>
      </c>
      <c r="E1996" t="s">
        <v>166</v>
      </c>
      <c r="I1996" t="s">
        <v>177</v>
      </c>
    </row>
    <row r="1997" spans="1:41">
      <c r="I1997" t="s">
        <v>178</v>
      </c>
      <c r="J1997">
        <f>IFERROR(VLOOKUP("232-002300-000",Out!B:AB,1+8,0),0)</f>
        <v>0</v>
      </c>
      <c r="K1997">
        <f>IFERROR(VLOOKUP("232-002300-000",Out!B:AB,2+8,0),0)</f>
        <v>0</v>
      </c>
      <c r="L1997">
        <f>IFERROR(VLOOKUP("232-002300-000",Out!B:AB,3+8,0),0)</f>
        <v>0</v>
      </c>
      <c r="M1997">
        <f>IFERROR(VLOOKUP("232-002300-000",Out!B:AB,4+8,0),0)</f>
        <v>0</v>
      </c>
      <c r="N1997">
        <f>IFERROR(VLOOKUP("232-002300-000",Out!B:AB,5+8,0),0)</f>
        <v>0</v>
      </c>
      <c r="O1997">
        <f>IFERROR(VLOOKUP("232-002300-000",Out!B:AB,6+8,0),0)</f>
        <v>0</v>
      </c>
      <c r="P1997">
        <f>IFERROR(VLOOKUP("232-002300-000",Out!B:AB,7+8,0),0)</f>
        <v>0</v>
      </c>
      <c r="Q1997">
        <f>IFERROR(VLOOKUP("232-002300-000",Out!B:AB,8+8,0),0)</f>
        <v>0</v>
      </c>
      <c r="R1997">
        <f>IFERROR(VLOOKUP("232-002300-000",Out!B:AB,9+8,0),0)</f>
        <v>0</v>
      </c>
      <c r="S1997">
        <f>IFERROR(VLOOKUP("232-002300-000",Out!B:AB,10+8,0),0)</f>
        <v>0</v>
      </c>
      <c r="T1997">
        <f>IFERROR(VLOOKUP("232-002300-000",Out!B:AB,11+8,0),0)</f>
        <v>0</v>
      </c>
      <c r="U1997">
        <f>IFERROR(VLOOKUP("232-002300-000",Out!B:AB,12+8,0),0)</f>
        <v>0</v>
      </c>
      <c r="V1997">
        <f>IFERROR(VLOOKUP("232-002300-000",Out!B:AB,13+8,0),0)</f>
        <v>0</v>
      </c>
      <c r="W1997">
        <f>IFERROR(VLOOKUP("232-002300-000",Out!B:AB,14+8,0),0)</f>
        <v>0</v>
      </c>
      <c r="X1997">
        <f>IFERROR(VLOOKUP("232-002300-000",Out!B:AB,15+8,0),0)</f>
        <v>0</v>
      </c>
      <c r="Y1997">
        <f>IFERROR(VLOOKUP("232-002300-000",Out!B:AB,16+8,0),0)</f>
        <v>0</v>
      </c>
      <c r="Z1997">
        <f>IFERROR(VLOOKUP("232-002300-000",Out!B:AB,17+8,0),0)</f>
        <v>0</v>
      </c>
      <c r="AA1997">
        <f>IFERROR(VLOOKUP("232-002300-000",Out!B:AB,18+8,0),0)</f>
        <v>0</v>
      </c>
      <c r="AB1997">
        <f>IFERROR(VLOOKUP("232-002300-000",Out!B:AB,19+8,0),0)</f>
        <v>0</v>
      </c>
      <c r="AC1997">
        <f>IFERROR(VLOOKUP("232-002300-000",Out!B:AB,20+8,0),0)</f>
        <v>0</v>
      </c>
      <c r="AD1997">
        <f>IFERROR(VLOOKUP("232-002300-000",Out!B:AB,21+8,0),0)</f>
        <v>0</v>
      </c>
      <c r="AE1997">
        <f>IFERROR(VLOOKUP("232-002300-000",Out!B:AB,22+8,0),0)</f>
        <v>0</v>
      </c>
      <c r="AF1997">
        <f>IFERROR(VLOOKUP("232-002300-000",Out!B:AB,23+8,0),0)</f>
        <v>0</v>
      </c>
      <c r="AG1997">
        <f>IFERROR(VLOOKUP("232-002300-000",Out!B:AB,24+8,0),0)</f>
        <v>0</v>
      </c>
      <c r="AH1997">
        <f>IFERROR(VLOOKUP("232-002300-000",Out!B:AB,25+8,0),0)</f>
        <v>0</v>
      </c>
      <c r="AI1997">
        <f>IFERROR(VLOOKUP("232-002300-000",Out!B:AB,26+8,0),0)</f>
        <v>0</v>
      </c>
      <c r="AJ1997">
        <f>IFERROR(VLOOKUP("232-002300-000",Out!B:AB,27+8,0),0)</f>
        <v>0</v>
      </c>
      <c r="AK1997">
        <f>IFERROR(VLOOKUP("232-002300-000",Out!B:AB,28+8,0),0)</f>
        <v>0</v>
      </c>
      <c r="AL1997">
        <f>IFERROR(VLOOKUP("232-002300-000",Out!B:AB,29+8,0),0)</f>
        <v>0</v>
      </c>
      <c r="AM1997">
        <f>IFERROR(VLOOKUP("232-002300-000",Out!B:AB,30+8,0),0)</f>
        <v>0</v>
      </c>
      <c r="AN1997">
        <f>IFERROR(VLOOKUP("232-002300-000",Out!B:AB,31+8,0),0)</f>
        <v>0</v>
      </c>
      <c r="AO1997">
        <f>SUN(INDIRECT(ADDRESS(1996,8)):INDIRECT(ADDRESS(1996,39)))</f>
        <v>0</v>
      </c>
    </row>
    <row r="1998" spans="1:41">
      <c r="H1998" t="s">
        <v>179</v>
      </c>
      <c r="J1998">
        <f>INDIRECT(ADDRESS(1998,9))+INDIRECT(ADDRESS(1996,10))-INDIRECT(ADDRESS(1997,10))</f>
        <v>0</v>
      </c>
      <c r="K1998">
        <f>INDIRECT(ADDRESS(1998,10))+INDIRECT(ADDRESS(1996,11))-INDIRECT(ADDRESS(1997,11))</f>
        <v>0</v>
      </c>
      <c r="L1998">
        <f>INDIRECT(ADDRESS(1998,11))+INDIRECT(ADDRESS(1996,12))-INDIRECT(ADDRESS(1997,12))</f>
        <v>0</v>
      </c>
      <c r="M1998">
        <f>INDIRECT(ADDRESS(1998,12))+INDIRECT(ADDRESS(1996,13))-INDIRECT(ADDRESS(1997,13))</f>
        <v>0</v>
      </c>
      <c r="N1998">
        <f>INDIRECT(ADDRESS(1998,13))+INDIRECT(ADDRESS(1996,14))-INDIRECT(ADDRESS(1997,14))</f>
        <v>0</v>
      </c>
      <c r="O1998">
        <f>INDIRECT(ADDRESS(1998,14))+INDIRECT(ADDRESS(1996,15))-INDIRECT(ADDRESS(1997,15))</f>
        <v>0</v>
      </c>
      <c r="P1998">
        <f>INDIRECT(ADDRESS(1998,15))+INDIRECT(ADDRESS(1996,16))-INDIRECT(ADDRESS(1997,16))</f>
        <v>0</v>
      </c>
      <c r="Q1998">
        <f>INDIRECT(ADDRESS(1998,16))+INDIRECT(ADDRESS(1996,17))-INDIRECT(ADDRESS(1997,17))</f>
        <v>0</v>
      </c>
      <c r="R1998">
        <f>INDIRECT(ADDRESS(1998,17))+INDIRECT(ADDRESS(1996,18))-INDIRECT(ADDRESS(1997,18))</f>
        <v>0</v>
      </c>
      <c r="S1998">
        <f>INDIRECT(ADDRESS(1998,18))+INDIRECT(ADDRESS(1996,19))-INDIRECT(ADDRESS(1997,19))</f>
        <v>0</v>
      </c>
      <c r="T1998">
        <f>INDIRECT(ADDRESS(1998,19))+INDIRECT(ADDRESS(1996,20))-INDIRECT(ADDRESS(1997,20))</f>
        <v>0</v>
      </c>
      <c r="U1998">
        <f>INDIRECT(ADDRESS(1998,20))+INDIRECT(ADDRESS(1996,21))-INDIRECT(ADDRESS(1997,21))</f>
        <v>0</v>
      </c>
      <c r="V1998">
        <f>INDIRECT(ADDRESS(1998,21))+INDIRECT(ADDRESS(1996,22))-INDIRECT(ADDRESS(1997,22))</f>
        <v>0</v>
      </c>
      <c r="W1998">
        <f>INDIRECT(ADDRESS(1998,22))+INDIRECT(ADDRESS(1996,23))-INDIRECT(ADDRESS(1997,23))</f>
        <v>0</v>
      </c>
      <c r="X1998">
        <f>INDIRECT(ADDRESS(1998,23))+INDIRECT(ADDRESS(1996,24))-INDIRECT(ADDRESS(1997,24))</f>
        <v>0</v>
      </c>
      <c r="Y1998">
        <f>INDIRECT(ADDRESS(1998,24))+INDIRECT(ADDRESS(1996,25))-INDIRECT(ADDRESS(1997,25))</f>
        <v>0</v>
      </c>
      <c r="Z1998">
        <f>INDIRECT(ADDRESS(1998,25))+INDIRECT(ADDRESS(1996,26))-INDIRECT(ADDRESS(1997,26))</f>
        <v>0</v>
      </c>
      <c r="AA1998">
        <f>INDIRECT(ADDRESS(1998,26))+INDIRECT(ADDRESS(1996,27))-INDIRECT(ADDRESS(1997,27))</f>
        <v>0</v>
      </c>
      <c r="AB1998">
        <f>INDIRECT(ADDRESS(1998,27))+INDIRECT(ADDRESS(1996,28))-INDIRECT(ADDRESS(1997,28))</f>
        <v>0</v>
      </c>
      <c r="AC1998">
        <f>INDIRECT(ADDRESS(1998,28))+INDIRECT(ADDRESS(1996,29))-INDIRECT(ADDRESS(1997,29))</f>
        <v>0</v>
      </c>
      <c r="AD1998">
        <f>INDIRECT(ADDRESS(1998,29))+INDIRECT(ADDRESS(1996,30))-INDIRECT(ADDRESS(1997,30))</f>
        <v>0</v>
      </c>
      <c r="AE1998">
        <f>INDIRECT(ADDRESS(1998,30))+INDIRECT(ADDRESS(1996,31))-INDIRECT(ADDRESS(1997,31))</f>
        <v>0</v>
      </c>
      <c r="AF1998">
        <f>INDIRECT(ADDRESS(1998,31))+INDIRECT(ADDRESS(1996,32))-INDIRECT(ADDRESS(1997,32))</f>
        <v>0</v>
      </c>
      <c r="AG1998">
        <f>INDIRECT(ADDRESS(1998,32))+INDIRECT(ADDRESS(1996,33))-INDIRECT(ADDRESS(1997,33))</f>
        <v>0</v>
      </c>
      <c r="AH1998">
        <f>INDIRECT(ADDRESS(1998,33))+INDIRECT(ADDRESS(1996,34))-INDIRECT(ADDRESS(1997,34))</f>
        <v>0</v>
      </c>
      <c r="AI1998">
        <f>INDIRECT(ADDRESS(1998,34))+INDIRECT(ADDRESS(1996,35))-INDIRECT(ADDRESS(1997,35))</f>
        <v>0</v>
      </c>
      <c r="AJ1998">
        <f>INDIRECT(ADDRESS(1998,35))+INDIRECT(ADDRESS(1996,36))-INDIRECT(ADDRESS(1997,36))</f>
        <v>0</v>
      </c>
      <c r="AK1998">
        <f>INDIRECT(ADDRESS(1998,36))+INDIRECT(ADDRESS(1996,37))-INDIRECT(ADDRESS(1997,37))</f>
        <v>0</v>
      </c>
      <c r="AL1998">
        <f>INDIRECT(ADDRESS(1998,37))+INDIRECT(ADDRESS(1996,38))-INDIRECT(ADDRESS(1997,38))</f>
        <v>0</v>
      </c>
      <c r="AM1998">
        <f>INDIRECT(ADDRESS(1998,38))+INDIRECT(ADDRESS(1996,39))-INDIRECT(ADDRESS(1997,39))</f>
        <v>0</v>
      </c>
      <c r="AN1998">
        <f>INDIRECT(ADDRESS(1998,39))+INDIRECT(ADDRESS(1996,40))-INDIRECT(ADDRESS(1997,40))</f>
        <v>0</v>
      </c>
      <c r="AO1998">
        <f>SUM(INDIRECT(ADDRESS(1997,8)):INDIRECT(ADDRESS(1997,39)))</f>
        <v>0</v>
      </c>
    </row>
    <row r="1999" spans="1:41">
      <c r="A1999" t="s">
        <v>180</v>
      </c>
      <c r="B1999" t="s">
        <v>870</v>
      </c>
      <c r="C1999" t="s">
        <v>871</v>
      </c>
      <c r="E1999">
        <v>1</v>
      </c>
      <c r="I1999" t="s">
        <v>177</v>
      </c>
    </row>
    <row r="2000" spans="1:41">
      <c r="I2000" t="s">
        <v>178</v>
      </c>
      <c r="J2000">
        <f>IFERROR(VLOOKUP("232-002300-000",B:AB,1+8,0),0)</f>
        <v>0</v>
      </c>
      <c r="K2000">
        <f>IFERROR(VLOOKUP("232-002300-000",B:AB,2+8,0),0)</f>
        <v>0</v>
      </c>
      <c r="L2000">
        <f>IFERROR(VLOOKUP("232-002300-000",B:AB,3+8,0),0)</f>
        <v>0</v>
      </c>
      <c r="M2000">
        <f>IFERROR(VLOOKUP("232-002300-000",B:AB,4+8,0),0)</f>
        <v>0</v>
      </c>
      <c r="N2000">
        <f>IFERROR(VLOOKUP("232-002300-000",B:AB,5+8,0),0)</f>
        <v>0</v>
      </c>
      <c r="O2000">
        <f>IFERROR(VLOOKUP("232-002300-000",B:AB,6+8,0),0)</f>
        <v>0</v>
      </c>
      <c r="P2000">
        <f>IFERROR(VLOOKUP("232-002300-000",B:AB,7+8,0),0)</f>
        <v>0</v>
      </c>
      <c r="Q2000">
        <f>IFERROR(VLOOKUP("232-002300-000",B:AB,8+8,0),0)</f>
        <v>0</v>
      </c>
      <c r="R2000">
        <f>IFERROR(VLOOKUP("232-002300-000",B:AB,9+8,0),0)</f>
        <v>0</v>
      </c>
      <c r="S2000">
        <f>IFERROR(VLOOKUP("232-002300-000",B:AB,10+8,0),0)</f>
        <v>0</v>
      </c>
      <c r="T2000">
        <f>IFERROR(VLOOKUP("232-002300-000",B:AB,11+8,0),0)</f>
        <v>0</v>
      </c>
      <c r="U2000">
        <f>IFERROR(VLOOKUP("232-002300-000",B:AB,12+8,0),0)</f>
        <v>0</v>
      </c>
      <c r="V2000">
        <f>IFERROR(VLOOKUP("232-002300-000",B:AB,13+8,0),0)</f>
        <v>0</v>
      </c>
      <c r="W2000">
        <f>IFERROR(VLOOKUP("232-002300-000",B:AB,14+8,0),0)</f>
        <v>0</v>
      </c>
      <c r="X2000">
        <f>IFERROR(VLOOKUP("232-002300-000",B:AB,15+8,0),0)</f>
        <v>0</v>
      </c>
      <c r="Y2000">
        <f>IFERROR(VLOOKUP("232-002300-000",B:AB,16+8,0),0)</f>
        <v>0</v>
      </c>
      <c r="Z2000">
        <f>IFERROR(VLOOKUP("232-002300-000",B:AB,17+8,0),0)</f>
        <v>0</v>
      </c>
      <c r="AA2000">
        <f>IFERROR(VLOOKUP("232-002300-000",B:AB,18+8,0),0)</f>
        <v>0</v>
      </c>
      <c r="AB2000">
        <f>IFERROR(VLOOKUP("232-002300-000",B:AB,19+8,0),0)</f>
        <v>0</v>
      </c>
      <c r="AC2000">
        <f>IFERROR(VLOOKUP("232-002300-000",B:AB,20+8,0),0)</f>
        <v>0</v>
      </c>
      <c r="AD2000">
        <f>IFERROR(VLOOKUP("232-002300-000",B:AB,21+8,0),0)</f>
        <v>0</v>
      </c>
      <c r="AE2000">
        <f>IFERROR(VLOOKUP("232-002300-000",B:AB,22+8,0),0)</f>
        <v>0</v>
      </c>
      <c r="AF2000">
        <f>IFERROR(VLOOKUP("232-002300-000",B:AB,23+8,0),0)</f>
        <v>0</v>
      </c>
      <c r="AG2000">
        <f>IFERROR(VLOOKUP("232-002300-000",B:AB,24+8,0),0)</f>
        <v>0</v>
      </c>
      <c r="AH2000">
        <f>IFERROR(VLOOKUP("232-002300-000",B:AB,25+8,0),0)</f>
        <v>0</v>
      </c>
      <c r="AI2000">
        <f>IFERROR(VLOOKUP("232-002300-000",B:AB,26+8,0),0)</f>
        <v>0</v>
      </c>
      <c r="AJ2000">
        <f>IFERROR(VLOOKUP("232-002300-000",B:AB,27+8,0),0)</f>
        <v>0</v>
      </c>
      <c r="AK2000">
        <f>IFERROR(VLOOKUP("232-002300-000",B:AB,28+8,0),0)</f>
        <v>0</v>
      </c>
      <c r="AL2000">
        <f>IFERROR(VLOOKUP("232-002300-000",B:AB,29+8,0),0)</f>
        <v>0</v>
      </c>
      <c r="AM2000">
        <f>IFERROR(VLOOKUP("232-002300-000",B:AB,30+8,0),0)</f>
        <v>0</v>
      </c>
      <c r="AN2000">
        <f>IFERROR(VLOOKUP("232-002300-000",B:AB,31+8,0),0)</f>
        <v>0</v>
      </c>
      <c r="AO2000">
        <f>SUN(INDIRECT(ADDRESS(1999,8)):INDIRECT(ADDRESS(1999,39)))</f>
        <v>0</v>
      </c>
    </row>
    <row r="2001" spans="1:41">
      <c r="H2001" t="s">
        <v>179</v>
      </c>
      <c r="J2001">
        <f>INDIRECT(ADDRESS(2001,9))+INDIRECT(ADDRESS(1999,10))-INDIRECT(ADDRESS(2000,10))</f>
        <v>0</v>
      </c>
      <c r="K2001">
        <f>INDIRECT(ADDRESS(2001,10))+INDIRECT(ADDRESS(1999,11))-INDIRECT(ADDRESS(2000,11))</f>
        <v>0</v>
      </c>
      <c r="L2001">
        <f>INDIRECT(ADDRESS(2001,11))+INDIRECT(ADDRESS(1999,12))-INDIRECT(ADDRESS(2000,12))</f>
        <v>0</v>
      </c>
      <c r="M2001">
        <f>INDIRECT(ADDRESS(2001,12))+INDIRECT(ADDRESS(1999,13))-INDIRECT(ADDRESS(2000,13))</f>
        <v>0</v>
      </c>
      <c r="N2001">
        <f>INDIRECT(ADDRESS(2001,13))+INDIRECT(ADDRESS(1999,14))-INDIRECT(ADDRESS(2000,14))</f>
        <v>0</v>
      </c>
      <c r="O2001">
        <f>INDIRECT(ADDRESS(2001,14))+INDIRECT(ADDRESS(1999,15))-INDIRECT(ADDRESS(2000,15))</f>
        <v>0</v>
      </c>
      <c r="P2001">
        <f>INDIRECT(ADDRESS(2001,15))+INDIRECT(ADDRESS(1999,16))-INDIRECT(ADDRESS(2000,16))</f>
        <v>0</v>
      </c>
      <c r="Q2001">
        <f>INDIRECT(ADDRESS(2001,16))+INDIRECT(ADDRESS(1999,17))-INDIRECT(ADDRESS(2000,17))</f>
        <v>0</v>
      </c>
      <c r="R2001">
        <f>INDIRECT(ADDRESS(2001,17))+INDIRECT(ADDRESS(1999,18))-INDIRECT(ADDRESS(2000,18))</f>
        <v>0</v>
      </c>
      <c r="S2001">
        <f>INDIRECT(ADDRESS(2001,18))+INDIRECT(ADDRESS(1999,19))-INDIRECT(ADDRESS(2000,19))</f>
        <v>0</v>
      </c>
      <c r="T2001">
        <f>INDIRECT(ADDRESS(2001,19))+INDIRECT(ADDRESS(1999,20))-INDIRECT(ADDRESS(2000,20))</f>
        <v>0</v>
      </c>
      <c r="U2001">
        <f>INDIRECT(ADDRESS(2001,20))+INDIRECT(ADDRESS(1999,21))-INDIRECT(ADDRESS(2000,21))</f>
        <v>0</v>
      </c>
      <c r="V2001">
        <f>INDIRECT(ADDRESS(2001,21))+INDIRECT(ADDRESS(1999,22))-INDIRECT(ADDRESS(2000,22))</f>
        <v>0</v>
      </c>
      <c r="W2001">
        <f>INDIRECT(ADDRESS(2001,22))+INDIRECT(ADDRESS(1999,23))-INDIRECT(ADDRESS(2000,23))</f>
        <v>0</v>
      </c>
      <c r="X2001">
        <f>INDIRECT(ADDRESS(2001,23))+INDIRECT(ADDRESS(1999,24))-INDIRECT(ADDRESS(2000,24))</f>
        <v>0</v>
      </c>
      <c r="Y2001">
        <f>INDIRECT(ADDRESS(2001,24))+INDIRECT(ADDRESS(1999,25))-INDIRECT(ADDRESS(2000,25))</f>
        <v>0</v>
      </c>
      <c r="Z2001">
        <f>INDIRECT(ADDRESS(2001,25))+INDIRECT(ADDRESS(1999,26))-INDIRECT(ADDRESS(2000,26))</f>
        <v>0</v>
      </c>
      <c r="AA2001">
        <f>INDIRECT(ADDRESS(2001,26))+INDIRECT(ADDRESS(1999,27))-INDIRECT(ADDRESS(2000,27))</f>
        <v>0</v>
      </c>
      <c r="AB2001">
        <f>INDIRECT(ADDRESS(2001,27))+INDIRECT(ADDRESS(1999,28))-INDIRECT(ADDRESS(2000,28))</f>
        <v>0</v>
      </c>
      <c r="AC2001">
        <f>INDIRECT(ADDRESS(2001,28))+INDIRECT(ADDRESS(1999,29))-INDIRECT(ADDRESS(2000,29))</f>
        <v>0</v>
      </c>
      <c r="AD2001">
        <f>INDIRECT(ADDRESS(2001,29))+INDIRECT(ADDRESS(1999,30))-INDIRECT(ADDRESS(2000,30))</f>
        <v>0</v>
      </c>
      <c r="AE2001">
        <f>INDIRECT(ADDRESS(2001,30))+INDIRECT(ADDRESS(1999,31))-INDIRECT(ADDRESS(2000,31))</f>
        <v>0</v>
      </c>
      <c r="AF2001">
        <f>INDIRECT(ADDRESS(2001,31))+INDIRECT(ADDRESS(1999,32))-INDIRECT(ADDRESS(2000,32))</f>
        <v>0</v>
      </c>
      <c r="AG2001">
        <f>INDIRECT(ADDRESS(2001,32))+INDIRECT(ADDRESS(1999,33))-INDIRECT(ADDRESS(2000,33))</f>
        <v>0</v>
      </c>
      <c r="AH2001">
        <f>INDIRECT(ADDRESS(2001,33))+INDIRECT(ADDRESS(1999,34))-INDIRECT(ADDRESS(2000,34))</f>
        <v>0</v>
      </c>
      <c r="AI2001">
        <f>INDIRECT(ADDRESS(2001,34))+INDIRECT(ADDRESS(1999,35))-INDIRECT(ADDRESS(2000,35))</f>
        <v>0</v>
      </c>
      <c r="AJ2001">
        <f>INDIRECT(ADDRESS(2001,35))+INDIRECT(ADDRESS(1999,36))-INDIRECT(ADDRESS(2000,36))</f>
        <v>0</v>
      </c>
      <c r="AK2001">
        <f>INDIRECT(ADDRESS(2001,36))+INDIRECT(ADDRESS(1999,37))-INDIRECT(ADDRESS(2000,37))</f>
        <v>0</v>
      </c>
      <c r="AL2001">
        <f>INDIRECT(ADDRESS(2001,37))+INDIRECT(ADDRESS(1999,38))-INDIRECT(ADDRESS(2000,38))</f>
        <v>0</v>
      </c>
      <c r="AM2001">
        <f>INDIRECT(ADDRESS(2001,38))+INDIRECT(ADDRESS(1999,39))-INDIRECT(ADDRESS(2000,39))</f>
        <v>0</v>
      </c>
      <c r="AN2001">
        <f>INDIRECT(ADDRESS(2001,39))+INDIRECT(ADDRESS(1999,40))-INDIRECT(ADDRESS(2000,40))</f>
        <v>0</v>
      </c>
      <c r="AO2001">
        <f>SUM(INDIRECT(ADDRESS(2000,8)):INDIRECT(ADDRESS(2000,39)))</f>
        <v>0</v>
      </c>
    </row>
    <row r="2002" spans="1:41">
      <c r="A2002" t="s">
        <v>185</v>
      </c>
      <c r="B2002" t="s">
        <v>872</v>
      </c>
      <c r="C2002" t="s">
        <v>873</v>
      </c>
      <c r="E2002">
        <v>1</v>
      </c>
      <c r="I2002" t="s">
        <v>177</v>
      </c>
    </row>
    <row r="2003" spans="1:41">
      <c r="I2003" t="s">
        <v>178</v>
      </c>
      <c r="J2003">
        <f>IFERROR(VLOOKUP("232-002300-000",B:AB,1+8,0),0)</f>
        <v>0</v>
      </c>
      <c r="K2003">
        <f>IFERROR(VLOOKUP("232-002300-000",B:AB,2+8,0),0)</f>
        <v>0</v>
      </c>
      <c r="L2003">
        <f>IFERROR(VLOOKUP("232-002300-000",B:AB,3+8,0),0)</f>
        <v>0</v>
      </c>
      <c r="M2003">
        <f>IFERROR(VLOOKUP("232-002300-000",B:AB,4+8,0),0)</f>
        <v>0</v>
      </c>
      <c r="N2003">
        <f>IFERROR(VLOOKUP("232-002300-000",B:AB,5+8,0),0)</f>
        <v>0</v>
      </c>
      <c r="O2003">
        <f>IFERROR(VLOOKUP("232-002300-000",B:AB,6+8,0),0)</f>
        <v>0</v>
      </c>
      <c r="P2003">
        <f>IFERROR(VLOOKUP("232-002300-000",B:AB,7+8,0),0)</f>
        <v>0</v>
      </c>
      <c r="Q2003">
        <f>IFERROR(VLOOKUP("232-002300-000",B:AB,8+8,0),0)</f>
        <v>0</v>
      </c>
      <c r="R2003">
        <f>IFERROR(VLOOKUP("232-002300-000",B:AB,9+8,0),0)</f>
        <v>0</v>
      </c>
      <c r="S2003">
        <f>IFERROR(VLOOKUP("232-002300-000",B:AB,10+8,0),0)</f>
        <v>0</v>
      </c>
      <c r="T2003">
        <f>IFERROR(VLOOKUP("232-002300-000",B:AB,11+8,0),0)</f>
        <v>0</v>
      </c>
      <c r="U2003">
        <f>IFERROR(VLOOKUP("232-002300-000",B:AB,12+8,0),0)</f>
        <v>0</v>
      </c>
      <c r="V2003">
        <f>IFERROR(VLOOKUP("232-002300-000",B:AB,13+8,0),0)</f>
        <v>0</v>
      </c>
      <c r="W2003">
        <f>IFERROR(VLOOKUP("232-002300-000",B:AB,14+8,0),0)</f>
        <v>0</v>
      </c>
      <c r="X2003">
        <f>IFERROR(VLOOKUP("232-002300-000",B:AB,15+8,0),0)</f>
        <v>0</v>
      </c>
      <c r="Y2003">
        <f>IFERROR(VLOOKUP("232-002300-000",B:AB,16+8,0),0)</f>
        <v>0</v>
      </c>
      <c r="Z2003">
        <f>IFERROR(VLOOKUP("232-002300-000",B:AB,17+8,0),0)</f>
        <v>0</v>
      </c>
      <c r="AA2003">
        <f>IFERROR(VLOOKUP("232-002300-000",B:AB,18+8,0),0)</f>
        <v>0</v>
      </c>
      <c r="AB2003">
        <f>IFERROR(VLOOKUP("232-002300-000",B:AB,19+8,0),0)</f>
        <v>0</v>
      </c>
      <c r="AC2003">
        <f>IFERROR(VLOOKUP("232-002300-000",B:AB,20+8,0),0)</f>
        <v>0</v>
      </c>
      <c r="AD2003">
        <f>IFERROR(VLOOKUP("232-002300-000",B:AB,21+8,0),0)</f>
        <v>0</v>
      </c>
      <c r="AE2003">
        <f>IFERROR(VLOOKUP("232-002300-000",B:AB,22+8,0),0)</f>
        <v>0</v>
      </c>
      <c r="AF2003">
        <f>IFERROR(VLOOKUP("232-002300-000",B:AB,23+8,0),0)</f>
        <v>0</v>
      </c>
      <c r="AG2003">
        <f>IFERROR(VLOOKUP("232-002300-000",B:AB,24+8,0),0)</f>
        <v>0</v>
      </c>
      <c r="AH2003">
        <f>IFERROR(VLOOKUP("232-002300-000",B:AB,25+8,0),0)</f>
        <v>0</v>
      </c>
      <c r="AI2003">
        <f>IFERROR(VLOOKUP("232-002300-000",B:AB,26+8,0),0)</f>
        <v>0</v>
      </c>
      <c r="AJ2003">
        <f>IFERROR(VLOOKUP("232-002300-000",B:AB,27+8,0),0)</f>
        <v>0</v>
      </c>
      <c r="AK2003">
        <f>IFERROR(VLOOKUP("232-002300-000",B:AB,28+8,0),0)</f>
        <v>0</v>
      </c>
      <c r="AL2003">
        <f>IFERROR(VLOOKUP("232-002300-000",B:AB,29+8,0),0)</f>
        <v>0</v>
      </c>
      <c r="AM2003">
        <f>IFERROR(VLOOKUP("232-002300-000",B:AB,30+8,0),0)</f>
        <v>0</v>
      </c>
      <c r="AN2003">
        <f>IFERROR(VLOOKUP("232-002300-000",B:AB,31+8,0),0)</f>
        <v>0</v>
      </c>
      <c r="AO2003">
        <f>SUN(INDIRECT(ADDRESS(2002,8)):INDIRECT(ADDRESS(2002,39)))</f>
        <v>0</v>
      </c>
    </row>
    <row r="2004" spans="1:41">
      <c r="H2004" t="s">
        <v>179</v>
      </c>
      <c r="J2004">
        <f>INDIRECT(ADDRESS(2004,9))+INDIRECT(ADDRESS(2002,10))-INDIRECT(ADDRESS(2003,10))</f>
        <v>0</v>
      </c>
      <c r="K2004">
        <f>INDIRECT(ADDRESS(2004,10))+INDIRECT(ADDRESS(2002,11))-INDIRECT(ADDRESS(2003,11))</f>
        <v>0</v>
      </c>
      <c r="L2004">
        <f>INDIRECT(ADDRESS(2004,11))+INDIRECT(ADDRESS(2002,12))-INDIRECT(ADDRESS(2003,12))</f>
        <v>0</v>
      </c>
      <c r="M2004">
        <f>INDIRECT(ADDRESS(2004,12))+INDIRECT(ADDRESS(2002,13))-INDIRECT(ADDRESS(2003,13))</f>
        <v>0</v>
      </c>
      <c r="N2004">
        <f>INDIRECT(ADDRESS(2004,13))+INDIRECT(ADDRESS(2002,14))-INDIRECT(ADDRESS(2003,14))</f>
        <v>0</v>
      </c>
      <c r="O2004">
        <f>INDIRECT(ADDRESS(2004,14))+INDIRECT(ADDRESS(2002,15))-INDIRECT(ADDRESS(2003,15))</f>
        <v>0</v>
      </c>
      <c r="P2004">
        <f>INDIRECT(ADDRESS(2004,15))+INDIRECT(ADDRESS(2002,16))-INDIRECT(ADDRESS(2003,16))</f>
        <v>0</v>
      </c>
      <c r="Q2004">
        <f>INDIRECT(ADDRESS(2004,16))+INDIRECT(ADDRESS(2002,17))-INDIRECT(ADDRESS(2003,17))</f>
        <v>0</v>
      </c>
      <c r="R2004">
        <f>INDIRECT(ADDRESS(2004,17))+INDIRECT(ADDRESS(2002,18))-INDIRECT(ADDRESS(2003,18))</f>
        <v>0</v>
      </c>
      <c r="S2004">
        <f>INDIRECT(ADDRESS(2004,18))+INDIRECT(ADDRESS(2002,19))-INDIRECT(ADDRESS(2003,19))</f>
        <v>0</v>
      </c>
      <c r="T2004">
        <f>INDIRECT(ADDRESS(2004,19))+INDIRECT(ADDRESS(2002,20))-INDIRECT(ADDRESS(2003,20))</f>
        <v>0</v>
      </c>
      <c r="U2004">
        <f>INDIRECT(ADDRESS(2004,20))+INDIRECT(ADDRESS(2002,21))-INDIRECT(ADDRESS(2003,21))</f>
        <v>0</v>
      </c>
      <c r="V2004">
        <f>INDIRECT(ADDRESS(2004,21))+INDIRECT(ADDRESS(2002,22))-INDIRECT(ADDRESS(2003,22))</f>
        <v>0</v>
      </c>
      <c r="W2004">
        <f>INDIRECT(ADDRESS(2004,22))+INDIRECT(ADDRESS(2002,23))-INDIRECT(ADDRESS(2003,23))</f>
        <v>0</v>
      </c>
      <c r="X2004">
        <f>INDIRECT(ADDRESS(2004,23))+INDIRECT(ADDRESS(2002,24))-INDIRECT(ADDRESS(2003,24))</f>
        <v>0</v>
      </c>
      <c r="Y2004">
        <f>INDIRECT(ADDRESS(2004,24))+INDIRECT(ADDRESS(2002,25))-INDIRECT(ADDRESS(2003,25))</f>
        <v>0</v>
      </c>
      <c r="Z2004">
        <f>INDIRECT(ADDRESS(2004,25))+INDIRECT(ADDRESS(2002,26))-INDIRECT(ADDRESS(2003,26))</f>
        <v>0</v>
      </c>
      <c r="AA2004">
        <f>INDIRECT(ADDRESS(2004,26))+INDIRECT(ADDRESS(2002,27))-INDIRECT(ADDRESS(2003,27))</f>
        <v>0</v>
      </c>
      <c r="AB2004">
        <f>INDIRECT(ADDRESS(2004,27))+INDIRECT(ADDRESS(2002,28))-INDIRECT(ADDRESS(2003,28))</f>
        <v>0</v>
      </c>
      <c r="AC2004">
        <f>INDIRECT(ADDRESS(2004,28))+INDIRECT(ADDRESS(2002,29))-INDIRECT(ADDRESS(2003,29))</f>
        <v>0</v>
      </c>
      <c r="AD2004">
        <f>INDIRECT(ADDRESS(2004,29))+INDIRECT(ADDRESS(2002,30))-INDIRECT(ADDRESS(2003,30))</f>
        <v>0</v>
      </c>
      <c r="AE2004">
        <f>INDIRECT(ADDRESS(2004,30))+INDIRECT(ADDRESS(2002,31))-INDIRECT(ADDRESS(2003,31))</f>
        <v>0</v>
      </c>
      <c r="AF2004">
        <f>INDIRECT(ADDRESS(2004,31))+INDIRECT(ADDRESS(2002,32))-INDIRECT(ADDRESS(2003,32))</f>
        <v>0</v>
      </c>
      <c r="AG2004">
        <f>INDIRECT(ADDRESS(2004,32))+INDIRECT(ADDRESS(2002,33))-INDIRECT(ADDRESS(2003,33))</f>
        <v>0</v>
      </c>
      <c r="AH2004">
        <f>INDIRECT(ADDRESS(2004,33))+INDIRECT(ADDRESS(2002,34))-INDIRECT(ADDRESS(2003,34))</f>
        <v>0</v>
      </c>
      <c r="AI2004">
        <f>INDIRECT(ADDRESS(2004,34))+INDIRECT(ADDRESS(2002,35))-INDIRECT(ADDRESS(2003,35))</f>
        <v>0</v>
      </c>
      <c r="AJ2004">
        <f>INDIRECT(ADDRESS(2004,35))+INDIRECT(ADDRESS(2002,36))-INDIRECT(ADDRESS(2003,36))</f>
        <v>0</v>
      </c>
      <c r="AK2004">
        <f>INDIRECT(ADDRESS(2004,36))+INDIRECT(ADDRESS(2002,37))-INDIRECT(ADDRESS(2003,37))</f>
        <v>0</v>
      </c>
      <c r="AL2004">
        <f>INDIRECT(ADDRESS(2004,37))+INDIRECT(ADDRESS(2002,38))-INDIRECT(ADDRESS(2003,38))</f>
        <v>0</v>
      </c>
      <c r="AM2004">
        <f>INDIRECT(ADDRESS(2004,38))+INDIRECT(ADDRESS(2002,39))-INDIRECT(ADDRESS(2003,39))</f>
        <v>0</v>
      </c>
      <c r="AN2004">
        <f>INDIRECT(ADDRESS(2004,39))+INDIRECT(ADDRESS(2002,40))-INDIRECT(ADDRESS(2003,40))</f>
        <v>0</v>
      </c>
      <c r="AO2004">
        <f>SUM(INDIRECT(ADDRESS(2003,8)):INDIRECT(ADDRESS(2003,39)))</f>
        <v>0</v>
      </c>
    </row>
    <row r="2005" spans="1:41">
      <c r="A2005" t="s">
        <v>185</v>
      </c>
      <c r="B2005" t="s">
        <v>874</v>
      </c>
      <c r="C2005" t="s">
        <v>875</v>
      </c>
      <c r="E2005">
        <v>2</v>
      </c>
      <c r="I2005" t="s">
        <v>177</v>
      </c>
    </row>
    <row r="2006" spans="1:41">
      <c r="I2006" t="s">
        <v>178</v>
      </c>
      <c r="J2006">
        <f>IFERROR(VLOOKUP("232-002300-000",B:AB,1+8,0),0)</f>
        <v>0</v>
      </c>
      <c r="K2006">
        <f>IFERROR(VLOOKUP("232-002300-000",B:AB,2+8,0),0)</f>
        <v>0</v>
      </c>
      <c r="L2006">
        <f>IFERROR(VLOOKUP("232-002300-000",B:AB,3+8,0),0)</f>
        <v>0</v>
      </c>
      <c r="M2006">
        <f>IFERROR(VLOOKUP("232-002300-000",B:AB,4+8,0),0)</f>
        <v>0</v>
      </c>
      <c r="N2006">
        <f>IFERROR(VLOOKUP("232-002300-000",B:AB,5+8,0),0)</f>
        <v>0</v>
      </c>
      <c r="O2006">
        <f>IFERROR(VLOOKUP("232-002300-000",B:AB,6+8,0),0)</f>
        <v>0</v>
      </c>
      <c r="P2006">
        <f>IFERROR(VLOOKUP("232-002300-000",B:AB,7+8,0),0)</f>
        <v>0</v>
      </c>
      <c r="Q2006">
        <f>IFERROR(VLOOKUP("232-002300-000",B:AB,8+8,0),0)</f>
        <v>0</v>
      </c>
      <c r="R2006">
        <f>IFERROR(VLOOKUP("232-002300-000",B:AB,9+8,0),0)</f>
        <v>0</v>
      </c>
      <c r="S2006">
        <f>IFERROR(VLOOKUP("232-002300-000",B:AB,10+8,0),0)</f>
        <v>0</v>
      </c>
      <c r="T2006">
        <f>IFERROR(VLOOKUP("232-002300-000",B:AB,11+8,0),0)</f>
        <v>0</v>
      </c>
      <c r="U2006">
        <f>IFERROR(VLOOKUP("232-002300-000",B:AB,12+8,0),0)</f>
        <v>0</v>
      </c>
      <c r="V2006">
        <f>IFERROR(VLOOKUP("232-002300-000",B:AB,13+8,0),0)</f>
        <v>0</v>
      </c>
      <c r="W2006">
        <f>IFERROR(VLOOKUP("232-002300-000",B:AB,14+8,0),0)</f>
        <v>0</v>
      </c>
      <c r="X2006">
        <f>IFERROR(VLOOKUP("232-002300-000",B:AB,15+8,0),0)</f>
        <v>0</v>
      </c>
      <c r="Y2006">
        <f>IFERROR(VLOOKUP("232-002300-000",B:AB,16+8,0),0)</f>
        <v>0</v>
      </c>
      <c r="Z2006">
        <f>IFERROR(VLOOKUP("232-002300-000",B:AB,17+8,0),0)</f>
        <v>0</v>
      </c>
      <c r="AA2006">
        <f>IFERROR(VLOOKUP("232-002300-000",B:AB,18+8,0),0)</f>
        <v>0</v>
      </c>
      <c r="AB2006">
        <f>IFERROR(VLOOKUP("232-002300-000",B:AB,19+8,0),0)</f>
        <v>0</v>
      </c>
      <c r="AC2006">
        <f>IFERROR(VLOOKUP("232-002300-000",B:AB,20+8,0),0)</f>
        <v>0</v>
      </c>
      <c r="AD2006">
        <f>IFERROR(VLOOKUP("232-002300-000",B:AB,21+8,0),0)</f>
        <v>0</v>
      </c>
      <c r="AE2006">
        <f>IFERROR(VLOOKUP("232-002300-000",B:AB,22+8,0),0)</f>
        <v>0</v>
      </c>
      <c r="AF2006">
        <f>IFERROR(VLOOKUP("232-002300-000",B:AB,23+8,0),0)</f>
        <v>0</v>
      </c>
      <c r="AG2006">
        <f>IFERROR(VLOOKUP("232-002300-000",B:AB,24+8,0),0)</f>
        <v>0</v>
      </c>
      <c r="AH2006">
        <f>IFERROR(VLOOKUP("232-002300-000",B:AB,25+8,0),0)</f>
        <v>0</v>
      </c>
      <c r="AI2006">
        <f>IFERROR(VLOOKUP("232-002300-000",B:AB,26+8,0),0)</f>
        <v>0</v>
      </c>
      <c r="AJ2006">
        <f>IFERROR(VLOOKUP("232-002300-000",B:AB,27+8,0),0)</f>
        <v>0</v>
      </c>
      <c r="AK2006">
        <f>IFERROR(VLOOKUP("232-002300-000",B:AB,28+8,0),0)</f>
        <v>0</v>
      </c>
      <c r="AL2006">
        <f>IFERROR(VLOOKUP("232-002300-000",B:AB,29+8,0),0)</f>
        <v>0</v>
      </c>
      <c r="AM2006">
        <f>IFERROR(VLOOKUP("232-002300-000",B:AB,30+8,0),0)</f>
        <v>0</v>
      </c>
      <c r="AN2006">
        <f>IFERROR(VLOOKUP("232-002300-000",B:AB,31+8,0),0)</f>
        <v>0</v>
      </c>
      <c r="AO2006">
        <f>SUN(INDIRECT(ADDRESS(2005,8)):INDIRECT(ADDRESS(2005,39)))</f>
        <v>0</v>
      </c>
    </row>
    <row r="2007" spans="1:41">
      <c r="H2007" t="s">
        <v>179</v>
      </c>
      <c r="J2007">
        <f>INDIRECT(ADDRESS(2007,9))+INDIRECT(ADDRESS(2005,10))-INDIRECT(ADDRESS(2006,10))</f>
        <v>0</v>
      </c>
      <c r="K2007">
        <f>INDIRECT(ADDRESS(2007,10))+INDIRECT(ADDRESS(2005,11))-INDIRECT(ADDRESS(2006,11))</f>
        <v>0</v>
      </c>
      <c r="L2007">
        <f>INDIRECT(ADDRESS(2007,11))+INDIRECT(ADDRESS(2005,12))-INDIRECT(ADDRESS(2006,12))</f>
        <v>0</v>
      </c>
      <c r="M2007">
        <f>INDIRECT(ADDRESS(2007,12))+INDIRECT(ADDRESS(2005,13))-INDIRECT(ADDRESS(2006,13))</f>
        <v>0</v>
      </c>
      <c r="N2007">
        <f>INDIRECT(ADDRESS(2007,13))+INDIRECT(ADDRESS(2005,14))-INDIRECT(ADDRESS(2006,14))</f>
        <v>0</v>
      </c>
      <c r="O2007">
        <f>INDIRECT(ADDRESS(2007,14))+INDIRECT(ADDRESS(2005,15))-INDIRECT(ADDRESS(2006,15))</f>
        <v>0</v>
      </c>
      <c r="P2007">
        <f>INDIRECT(ADDRESS(2007,15))+INDIRECT(ADDRESS(2005,16))-INDIRECT(ADDRESS(2006,16))</f>
        <v>0</v>
      </c>
      <c r="Q2007">
        <f>INDIRECT(ADDRESS(2007,16))+INDIRECT(ADDRESS(2005,17))-INDIRECT(ADDRESS(2006,17))</f>
        <v>0</v>
      </c>
      <c r="R2007">
        <f>INDIRECT(ADDRESS(2007,17))+INDIRECT(ADDRESS(2005,18))-INDIRECT(ADDRESS(2006,18))</f>
        <v>0</v>
      </c>
      <c r="S2007">
        <f>INDIRECT(ADDRESS(2007,18))+INDIRECT(ADDRESS(2005,19))-INDIRECT(ADDRESS(2006,19))</f>
        <v>0</v>
      </c>
      <c r="T2007">
        <f>INDIRECT(ADDRESS(2007,19))+INDIRECT(ADDRESS(2005,20))-INDIRECT(ADDRESS(2006,20))</f>
        <v>0</v>
      </c>
      <c r="U2007">
        <f>INDIRECT(ADDRESS(2007,20))+INDIRECT(ADDRESS(2005,21))-INDIRECT(ADDRESS(2006,21))</f>
        <v>0</v>
      </c>
      <c r="V2007">
        <f>INDIRECT(ADDRESS(2007,21))+INDIRECT(ADDRESS(2005,22))-INDIRECT(ADDRESS(2006,22))</f>
        <v>0</v>
      </c>
      <c r="W2007">
        <f>INDIRECT(ADDRESS(2007,22))+INDIRECT(ADDRESS(2005,23))-INDIRECT(ADDRESS(2006,23))</f>
        <v>0</v>
      </c>
      <c r="X2007">
        <f>INDIRECT(ADDRESS(2007,23))+INDIRECT(ADDRESS(2005,24))-INDIRECT(ADDRESS(2006,24))</f>
        <v>0</v>
      </c>
      <c r="Y2007">
        <f>INDIRECT(ADDRESS(2007,24))+INDIRECT(ADDRESS(2005,25))-INDIRECT(ADDRESS(2006,25))</f>
        <v>0</v>
      </c>
      <c r="Z2007">
        <f>INDIRECT(ADDRESS(2007,25))+INDIRECT(ADDRESS(2005,26))-INDIRECT(ADDRESS(2006,26))</f>
        <v>0</v>
      </c>
      <c r="AA2007">
        <f>INDIRECT(ADDRESS(2007,26))+INDIRECT(ADDRESS(2005,27))-INDIRECT(ADDRESS(2006,27))</f>
        <v>0</v>
      </c>
      <c r="AB2007">
        <f>INDIRECT(ADDRESS(2007,27))+INDIRECT(ADDRESS(2005,28))-INDIRECT(ADDRESS(2006,28))</f>
        <v>0</v>
      </c>
      <c r="AC2007">
        <f>INDIRECT(ADDRESS(2007,28))+INDIRECT(ADDRESS(2005,29))-INDIRECT(ADDRESS(2006,29))</f>
        <v>0</v>
      </c>
      <c r="AD2007">
        <f>INDIRECT(ADDRESS(2007,29))+INDIRECT(ADDRESS(2005,30))-INDIRECT(ADDRESS(2006,30))</f>
        <v>0</v>
      </c>
      <c r="AE2007">
        <f>INDIRECT(ADDRESS(2007,30))+INDIRECT(ADDRESS(2005,31))-INDIRECT(ADDRESS(2006,31))</f>
        <v>0</v>
      </c>
      <c r="AF2007">
        <f>INDIRECT(ADDRESS(2007,31))+INDIRECT(ADDRESS(2005,32))-INDIRECT(ADDRESS(2006,32))</f>
        <v>0</v>
      </c>
      <c r="AG2007">
        <f>INDIRECT(ADDRESS(2007,32))+INDIRECT(ADDRESS(2005,33))-INDIRECT(ADDRESS(2006,33))</f>
        <v>0</v>
      </c>
      <c r="AH2007">
        <f>INDIRECT(ADDRESS(2007,33))+INDIRECT(ADDRESS(2005,34))-INDIRECT(ADDRESS(2006,34))</f>
        <v>0</v>
      </c>
      <c r="AI2007">
        <f>INDIRECT(ADDRESS(2007,34))+INDIRECT(ADDRESS(2005,35))-INDIRECT(ADDRESS(2006,35))</f>
        <v>0</v>
      </c>
      <c r="AJ2007">
        <f>INDIRECT(ADDRESS(2007,35))+INDIRECT(ADDRESS(2005,36))-INDIRECT(ADDRESS(2006,36))</f>
        <v>0</v>
      </c>
      <c r="AK2007">
        <f>INDIRECT(ADDRESS(2007,36))+INDIRECT(ADDRESS(2005,37))-INDIRECT(ADDRESS(2006,37))</f>
        <v>0</v>
      </c>
      <c r="AL2007">
        <f>INDIRECT(ADDRESS(2007,37))+INDIRECT(ADDRESS(2005,38))-INDIRECT(ADDRESS(2006,38))</f>
        <v>0</v>
      </c>
      <c r="AM2007">
        <f>INDIRECT(ADDRESS(2007,38))+INDIRECT(ADDRESS(2005,39))-INDIRECT(ADDRESS(2006,39))</f>
        <v>0</v>
      </c>
      <c r="AN2007">
        <f>INDIRECT(ADDRESS(2007,39))+INDIRECT(ADDRESS(2005,40))-INDIRECT(ADDRESS(2006,40))</f>
        <v>0</v>
      </c>
      <c r="AO2007">
        <f>SUM(INDIRECT(ADDRESS(2006,8)):INDIRECT(ADDRESS(2006,39)))</f>
        <v>0</v>
      </c>
    </row>
    <row r="2008" spans="1:41">
      <c r="A2008" t="s">
        <v>185</v>
      </c>
      <c r="B2008" t="s">
        <v>883</v>
      </c>
      <c r="C2008" t="s">
        <v>884</v>
      </c>
      <c r="E2008">
        <v>1</v>
      </c>
      <c r="I2008" t="s">
        <v>177</v>
      </c>
    </row>
    <row r="2009" spans="1:41">
      <c r="I2009" t="s">
        <v>178</v>
      </c>
      <c r="J2009">
        <f>IFERROR(VLOOKUP("232-002300-000",B:AB,1+8,0),0)</f>
        <v>0</v>
      </c>
      <c r="K2009">
        <f>IFERROR(VLOOKUP("232-002300-000",B:AB,2+8,0),0)</f>
        <v>0</v>
      </c>
      <c r="L2009">
        <f>IFERROR(VLOOKUP("232-002300-000",B:AB,3+8,0),0)</f>
        <v>0</v>
      </c>
      <c r="M2009">
        <f>IFERROR(VLOOKUP("232-002300-000",B:AB,4+8,0),0)</f>
        <v>0</v>
      </c>
      <c r="N2009">
        <f>IFERROR(VLOOKUP("232-002300-000",B:AB,5+8,0),0)</f>
        <v>0</v>
      </c>
      <c r="O2009">
        <f>IFERROR(VLOOKUP("232-002300-000",B:AB,6+8,0),0)</f>
        <v>0</v>
      </c>
      <c r="P2009">
        <f>IFERROR(VLOOKUP("232-002300-000",B:AB,7+8,0),0)</f>
        <v>0</v>
      </c>
      <c r="Q2009">
        <f>IFERROR(VLOOKUP("232-002300-000",B:AB,8+8,0),0)</f>
        <v>0</v>
      </c>
      <c r="R2009">
        <f>IFERROR(VLOOKUP("232-002300-000",B:AB,9+8,0),0)</f>
        <v>0</v>
      </c>
      <c r="S2009">
        <f>IFERROR(VLOOKUP("232-002300-000",B:AB,10+8,0),0)</f>
        <v>0</v>
      </c>
      <c r="T2009">
        <f>IFERROR(VLOOKUP("232-002300-000",B:AB,11+8,0),0)</f>
        <v>0</v>
      </c>
      <c r="U2009">
        <f>IFERROR(VLOOKUP("232-002300-000",B:AB,12+8,0),0)</f>
        <v>0</v>
      </c>
      <c r="V2009">
        <f>IFERROR(VLOOKUP("232-002300-000",B:AB,13+8,0),0)</f>
        <v>0</v>
      </c>
      <c r="W2009">
        <f>IFERROR(VLOOKUP("232-002300-000",B:AB,14+8,0),0)</f>
        <v>0</v>
      </c>
      <c r="X2009">
        <f>IFERROR(VLOOKUP("232-002300-000",B:AB,15+8,0),0)</f>
        <v>0</v>
      </c>
      <c r="Y2009">
        <f>IFERROR(VLOOKUP("232-002300-000",B:AB,16+8,0),0)</f>
        <v>0</v>
      </c>
      <c r="Z2009">
        <f>IFERROR(VLOOKUP("232-002300-000",B:AB,17+8,0),0)</f>
        <v>0</v>
      </c>
      <c r="AA2009">
        <f>IFERROR(VLOOKUP("232-002300-000",B:AB,18+8,0),0)</f>
        <v>0</v>
      </c>
      <c r="AB2009">
        <f>IFERROR(VLOOKUP("232-002300-000",B:AB,19+8,0),0)</f>
        <v>0</v>
      </c>
      <c r="AC2009">
        <f>IFERROR(VLOOKUP("232-002300-000",B:AB,20+8,0),0)</f>
        <v>0</v>
      </c>
      <c r="AD2009">
        <f>IFERROR(VLOOKUP("232-002300-000",B:AB,21+8,0),0)</f>
        <v>0</v>
      </c>
      <c r="AE2009">
        <f>IFERROR(VLOOKUP("232-002300-000",B:AB,22+8,0),0)</f>
        <v>0</v>
      </c>
      <c r="AF2009">
        <f>IFERROR(VLOOKUP("232-002300-000",B:AB,23+8,0),0)</f>
        <v>0</v>
      </c>
      <c r="AG2009">
        <f>IFERROR(VLOOKUP("232-002300-000",B:AB,24+8,0),0)</f>
        <v>0</v>
      </c>
      <c r="AH2009">
        <f>IFERROR(VLOOKUP("232-002300-000",B:AB,25+8,0),0)</f>
        <v>0</v>
      </c>
      <c r="AI2009">
        <f>IFERROR(VLOOKUP("232-002300-000",B:AB,26+8,0),0)</f>
        <v>0</v>
      </c>
      <c r="AJ2009">
        <f>IFERROR(VLOOKUP("232-002300-000",B:AB,27+8,0),0)</f>
        <v>0</v>
      </c>
      <c r="AK2009">
        <f>IFERROR(VLOOKUP("232-002300-000",B:AB,28+8,0),0)</f>
        <v>0</v>
      </c>
      <c r="AL2009">
        <f>IFERROR(VLOOKUP("232-002300-000",B:AB,29+8,0),0)</f>
        <v>0</v>
      </c>
      <c r="AM2009">
        <f>IFERROR(VLOOKUP("232-002300-000",B:AB,30+8,0),0)</f>
        <v>0</v>
      </c>
      <c r="AN2009">
        <f>IFERROR(VLOOKUP("232-002300-000",B:AB,31+8,0),0)</f>
        <v>0</v>
      </c>
      <c r="AO2009">
        <f>SUN(INDIRECT(ADDRESS(2008,8)):INDIRECT(ADDRESS(2008,39)))</f>
        <v>0</v>
      </c>
    </row>
    <row r="2010" spans="1:41">
      <c r="H2010" t="s">
        <v>179</v>
      </c>
      <c r="J2010">
        <f>INDIRECT(ADDRESS(2010,9))+INDIRECT(ADDRESS(2008,10))-INDIRECT(ADDRESS(2009,10))</f>
        <v>0</v>
      </c>
      <c r="K2010">
        <f>INDIRECT(ADDRESS(2010,10))+INDIRECT(ADDRESS(2008,11))-INDIRECT(ADDRESS(2009,11))</f>
        <v>0</v>
      </c>
      <c r="L2010">
        <f>INDIRECT(ADDRESS(2010,11))+INDIRECT(ADDRESS(2008,12))-INDIRECT(ADDRESS(2009,12))</f>
        <v>0</v>
      </c>
      <c r="M2010">
        <f>INDIRECT(ADDRESS(2010,12))+INDIRECT(ADDRESS(2008,13))-INDIRECT(ADDRESS(2009,13))</f>
        <v>0</v>
      </c>
      <c r="N2010">
        <f>INDIRECT(ADDRESS(2010,13))+INDIRECT(ADDRESS(2008,14))-INDIRECT(ADDRESS(2009,14))</f>
        <v>0</v>
      </c>
      <c r="O2010">
        <f>INDIRECT(ADDRESS(2010,14))+INDIRECT(ADDRESS(2008,15))-INDIRECT(ADDRESS(2009,15))</f>
        <v>0</v>
      </c>
      <c r="P2010">
        <f>INDIRECT(ADDRESS(2010,15))+INDIRECT(ADDRESS(2008,16))-INDIRECT(ADDRESS(2009,16))</f>
        <v>0</v>
      </c>
      <c r="Q2010">
        <f>INDIRECT(ADDRESS(2010,16))+INDIRECT(ADDRESS(2008,17))-INDIRECT(ADDRESS(2009,17))</f>
        <v>0</v>
      </c>
      <c r="R2010">
        <f>INDIRECT(ADDRESS(2010,17))+INDIRECT(ADDRESS(2008,18))-INDIRECT(ADDRESS(2009,18))</f>
        <v>0</v>
      </c>
      <c r="S2010">
        <f>INDIRECT(ADDRESS(2010,18))+INDIRECT(ADDRESS(2008,19))-INDIRECT(ADDRESS(2009,19))</f>
        <v>0</v>
      </c>
      <c r="T2010">
        <f>INDIRECT(ADDRESS(2010,19))+INDIRECT(ADDRESS(2008,20))-INDIRECT(ADDRESS(2009,20))</f>
        <v>0</v>
      </c>
      <c r="U2010">
        <f>INDIRECT(ADDRESS(2010,20))+INDIRECT(ADDRESS(2008,21))-INDIRECT(ADDRESS(2009,21))</f>
        <v>0</v>
      </c>
      <c r="V2010">
        <f>INDIRECT(ADDRESS(2010,21))+INDIRECT(ADDRESS(2008,22))-INDIRECT(ADDRESS(2009,22))</f>
        <v>0</v>
      </c>
      <c r="W2010">
        <f>INDIRECT(ADDRESS(2010,22))+INDIRECT(ADDRESS(2008,23))-INDIRECT(ADDRESS(2009,23))</f>
        <v>0</v>
      </c>
      <c r="X2010">
        <f>INDIRECT(ADDRESS(2010,23))+INDIRECT(ADDRESS(2008,24))-INDIRECT(ADDRESS(2009,24))</f>
        <v>0</v>
      </c>
      <c r="Y2010">
        <f>INDIRECT(ADDRESS(2010,24))+INDIRECT(ADDRESS(2008,25))-INDIRECT(ADDRESS(2009,25))</f>
        <v>0</v>
      </c>
      <c r="Z2010">
        <f>INDIRECT(ADDRESS(2010,25))+INDIRECT(ADDRESS(2008,26))-INDIRECT(ADDRESS(2009,26))</f>
        <v>0</v>
      </c>
      <c r="AA2010">
        <f>INDIRECT(ADDRESS(2010,26))+INDIRECT(ADDRESS(2008,27))-INDIRECT(ADDRESS(2009,27))</f>
        <v>0</v>
      </c>
      <c r="AB2010">
        <f>INDIRECT(ADDRESS(2010,27))+INDIRECT(ADDRESS(2008,28))-INDIRECT(ADDRESS(2009,28))</f>
        <v>0</v>
      </c>
      <c r="AC2010">
        <f>INDIRECT(ADDRESS(2010,28))+INDIRECT(ADDRESS(2008,29))-INDIRECT(ADDRESS(2009,29))</f>
        <v>0</v>
      </c>
      <c r="AD2010">
        <f>INDIRECT(ADDRESS(2010,29))+INDIRECT(ADDRESS(2008,30))-INDIRECT(ADDRESS(2009,30))</f>
        <v>0</v>
      </c>
      <c r="AE2010">
        <f>INDIRECT(ADDRESS(2010,30))+INDIRECT(ADDRESS(2008,31))-INDIRECT(ADDRESS(2009,31))</f>
        <v>0</v>
      </c>
      <c r="AF2010">
        <f>INDIRECT(ADDRESS(2010,31))+INDIRECT(ADDRESS(2008,32))-INDIRECT(ADDRESS(2009,32))</f>
        <v>0</v>
      </c>
      <c r="AG2010">
        <f>INDIRECT(ADDRESS(2010,32))+INDIRECT(ADDRESS(2008,33))-INDIRECT(ADDRESS(2009,33))</f>
        <v>0</v>
      </c>
      <c r="AH2010">
        <f>INDIRECT(ADDRESS(2010,33))+INDIRECT(ADDRESS(2008,34))-INDIRECT(ADDRESS(2009,34))</f>
        <v>0</v>
      </c>
      <c r="AI2010">
        <f>INDIRECT(ADDRESS(2010,34))+INDIRECT(ADDRESS(2008,35))-INDIRECT(ADDRESS(2009,35))</f>
        <v>0</v>
      </c>
      <c r="AJ2010">
        <f>INDIRECT(ADDRESS(2010,35))+INDIRECT(ADDRESS(2008,36))-INDIRECT(ADDRESS(2009,36))</f>
        <v>0</v>
      </c>
      <c r="AK2010">
        <f>INDIRECT(ADDRESS(2010,36))+INDIRECT(ADDRESS(2008,37))-INDIRECT(ADDRESS(2009,37))</f>
        <v>0</v>
      </c>
      <c r="AL2010">
        <f>INDIRECT(ADDRESS(2010,37))+INDIRECT(ADDRESS(2008,38))-INDIRECT(ADDRESS(2009,38))</f>
        <v>0</v>
      </c>
      <c r="AM2010">
        <f>INDIRECT(ADDRESS(2010,38))+INDIRECT(ADDRESS(2008,39))-INDIRECT(ADDRESS(2009,39))</f>
        <v>0</v>
      </c>
      <c r="AN2010">
        <f>INDIRECT(ADDRESS(2010,39))+INDIRECT(ADDRESS(2008,40))-INDIRECT(ADDRESS(2009,40))</f>
        <v>0</v>
      </c>
      <c r="AO2010">
        <f>SUM(INDIRECT(ADDRESS(2009,8)):INDIRECT(ADDRESS(2009,39)))</f>
        <v>0</v>
      </c>
    </row>
    <row r="2011" spans="1:41">
      <c r="A2011" t="s">
        <v>185</v>
      </c>
      <c r="B2011" t="s">
        <v>880</v>
      </c>
      <c r="C2011" t="s">
        <v>881</v>
      </c>
      <c r="E2011">
        <v>1</v>
      </c>
      <c r="I2011" t="s">
        <v>177</v>
      </c>
    </row>
    <row r="2012" spans="1:41">
      <c r="I2012" t="s">
        <v>178</v>
      </c>
      <c r="J2012">
        <f>IFERROR(VLOOKUP("232-002300-000",B:AB,1+8,0),0)</f>
        <v>0</v>
      </c>
      <c r="K2012">
        <f>IFERROR(VLOOKUP("232-002300-000",B:AB,2+8,0),0)</f>
        <v>0</v>
      </c>
      <c r="L2012">
        <f>IFERROR(VLOOKUP("232-002300-000",B:AB,3+8,0),0)</f>
        <v>0</v>
      </c>
      <c r="M2012">
        <f>IFERROR(VLOOKUP("232-002300-000",B:AB,4+8,0),0)</f>
        <v>0</v>
      </c>
      <c r="N2012">
        <f>IFERROR(VLOOKUP("232-002300-000",B:AB,5+8,0),0)</f>
        <v>0</v>
      </c>
      <c r="O2012">
        <f>IFERROR(VLOOKUP("232-002300-000",B:AB,6+8,0),0)</f>
        <v>0</v>
      </c>
      <c r="P2012">
        <f>IFERROR(VLOOKUP("232-002300-000",B:AB,7+8,0),0)</f>
        <v>0</v>
      </c>
      <c r="Q2012">
        <f>IFERROR(VLOOKUP("232-002300-000",B:AB,8+8,0),0)</f>
        <v>0</v>
      </c>
      <c r="R2012">
        <f>IFERROR(VLOOKUP("232-002300-000",B:AB,9+8,0),0)</f>
        <v>0</v>
      </c>
      <c r="S2012">
        <f>IFERROR(VLOOKUP("232-002300-000",B:AB,10+8,0),0)</f>
        <v>0</v>
      </c>
      <c r="T2012">
        <f>IFERROR(VLOOKUP("232-002300-000",B:AB,11+8,0),0)</f>
        <v>0</v>
      </c>
      <c r="U2012">
        <f>IFERROR(VLOOKUP("232-002300-000",B:AB,12+8,0),0)</f>
        <v>0</v>
      </c>
      <c r="V2012">
        <f>IFERROR(VLOOKUP("232-002300-000",B:AB,13+8,0),0)</f>
        <v>0</v>
      </c>
      <c r="W2012">
        <f>IFERROR(VLOOKUP("232-002300-000",B:AB,14+8,0),0)</f>
        <v>0</v>
      </c>
      <c r="X2012">
        <f>IFERROR(VLOOKUP("232-002300-000",B:AB,15+8,0),0)</f>
        <v>0</v>
      </c>
      <c r="Y2012">
        <f>IFERROR(VLOOKUP("232-002300-000",B:AB,16+8,0),0)</f>
        <v>0</v>
      </c>
      <c r="Z2012">
        <f>IFERROR(VLOOKUP("232-002300-000",B:AB,17+8,0),0)</f>
        <v>0</v>
      </c>
      <c r="AA2012">
        <f>IFERROR(VLOOKUP("232-002300-000",B:AB,18+8,0),0)</f>
        <v>0</v>
      </c>
      <c r="AB2012">
        <f>IFERROR(VLOOKUP("232-002300-000",B:AB,19+8,0),0)</f>
        <v>0</v>
      </c>
      <c r="AC2012">
        <f>IFERROR(VLOOKUP("232-002300-000",B:AB,20+8,0),0)</f>
        <v>0</v>
      </c>
      <c r="AD2012">
        <f>IFERROR(VLOOKUP("232-002300-000",B:AB,21+8,0),0)</f>
        <v>0</v>
      </c>
      <c r="AE2012">
        <f>IFERROR(VLOOKUP("232-002300-000",B:AB,22+8,0),0)</f>
        <v>0</v>
      </c>
      <c r="AF2012">
        <f>IFERROR(VLOOKUP("232-002300-000",B:AB,23+8,0),0)</f>
        <v>0</v>
      </c>
      <c r="AG2012">
        <f>IFERROR(VLOOKUP("232-002300-000",B:AB,24+8,0),0)</f>
        <v>0</v>
      </c>
      <c r="AH2012">
        <f>IFERROR(VLOOKUP("232-002300-000",B:AB,25+8,0),0)</f>
        <v>0</v>
      </c>
      <c r="AI2012">
        <f>IFERROR(VLOOKUP("232-002300-000",B:AB,26+8,0),0)</f>
        <v>0</v>
      </c>
      <c r="AJ2012">
        <f>IFERROR(VLOOKUP("232-002300-000",B:AB,27+8,0),0)</f>
        <v>0</v>
      </c>
      <c r="AK2012">
        <f>IFERROR(VLOOKUP("232-002300-000",B:AB,28+8,0),0)</f>
        <v>0</v>
      </c>
      <c r="AL2012">
        <f>IFERROR(VLOOKUP("232-002300-000",B:AB,29+8,0),0)</f>
        <v>0</v>
      </c>
      <c r="AM2012">
        <f>IFERROR(VLOOKUP("232-002300-000",B:AB,30+8,0),0)</f>
        <v>0</v>
      </c>
      <c r="AN2012">
        <f>IFERROR(VLOOKUP("232-002300-000",B:AB,31+8,0),0)</f>
        <v>0</v>
      </c>
      <c r="AO2012">
        <f>SUN(INDIRECT(ADDRESS(2011,8)):INDIRECT(ADDRESS(2011,39)))</f>
        <v>0</v>
      </c>
    </row>
    <row r="2013" spans="1:41">
      <c r="H2013" t="s">
        <v>179</v>
      </c>
      <c r="J2013">
        <f>INDIRECT(ADDRESS(2013,9))+INDIRECT(ADDRESS(2011,10))-INDIRECT(ADDRESS(2012,10))</f>
        <v>0</v>
      </c>
      <c r="K2013">
        <f>INDIRECT(ADDRESS(2013,10))+INDIRECT(ADDRESS(2011,11))-INDIRECT(ADDRESS(2012,11))</f>
        <v>0</v>
      </c>
      <c r="L2013">
        <f>INDIRECT(ADDRESS(2013,11))+INDIRECT(ADDRESS(2011,12))-INDIRECT(ADDRESS(2012,12))</f>
        <v>0</v>
      </c>
      <c r="M2013">
        <f>INDIRECT(ADDRESS(2013,12))+INDIRECT(ADDRESS(2011,13))-INDIRECT(ADDRESS(2012,13))</f>
        <v>0</v>
      </c>
      <c r="N2013">
        <f>INDIRECT(ADDRESS(2013,13))+INDIRECT(ADDRESS(2011,14))-INDIRECT(ADDRESS(2012,14))</f>
        <v>0</v>
      </c>
      <c r="O2013">
        <f>INDIRECT(ADDRESS(2013,14))+INDIRECT(ADDRESS(2011,15))-INDIRECT(ADDRESS(2012,15))</f>
        <v>0</v>
      </c>
      <c r="P2013">
        <f>INDIRECT(ADDRESS(2013,15))+INDIRECT(ADDRESS(2011,16))-INDIRECT(ADDRESS(2012,16))</f>
        <v>0</v>
      </c>
      <c r="Q2013">
        <f>INDIRECT(ADDRESS(2013,16))+INDIRECT(ADDRESS(2011,17))-INDIRECT(ADDRESS(2012,17))</f>
        <v>0</v>
      </c>
      <c r="R2013">
        <f>INDIRECT(ADDRESS(2013,17))+INDIRECT(ADDRESS(2011,18))-INDIRECT(ADDRESS(2012,18))</f>
        <v>0</v>
      </c>
      <c r="S2013">
        <f>INDIRECT(ADDRESS(2013,18))+INDIRECT(ADDRESS(2011,19))-INDIRECT(ADDRESS(2012,19))</f>
        <v>0</v>
      </c>
      <c r="T2013">
        <f>INDIRECT(ADDRESS(2013,19))+INDIRECT(ADDRESS(2011,20))-INDIRECT(ADDRESS(2012,20))</f>
        <v>0</v>
      </c>
      <c r="U2013">
        <f>INDIRECT(ADDRESS(2013,20))+INDIRECT(ADDRESS(2011,21))-INDIRECT(ADDRESS(2012,21))</f>
        <v>0</v>
      </c>
      <c r="V2013">
        <f>INDIRECT(ADDRESS(2013,21))+INDIRECT(ADDRESS(2011,22))-INDIRECT(ADDRESS(2012,22))</f>
        <v>0</v>
      </c>
      <c r="W2013">
        <f>INDIRECT(ADDRESS(2013,22))+INDIRECT(ADDRESS(2011,23))-INDIRECT(ADDRESS(2012,23))</f>
        <v>0</v>
      </c>
      <c r="X2013">
        <f>INDIRECT(ADDRESS(2013,23))+INDIRECT(ADDRESS(2011,24))-INDIRECT(ADDRESS(2012,24))</f>
        <v>0</v>
      </c>
      <c r="Y2013">
        <f>INDIRECT(ADDRESS(2013,24))+INDIRECT(ADDRESS(2011,25))-INDIRECT(ADDRESS(2012,25))</f>
        <v>0</v>
      </c>
      <c r="Z2013">
        <f>INDIRECT(ADDRESS(2013,25))+INDIRECT(ADDRESS(2011,26))-INDIRECT(ADDRESS(2012,26))</f>
        <v>0</v>
      </c>
      <c r="AA2013">
        <f>INDIRECT(ADDRESS(2013,26))+INDIRECT(ADDRESS(2011,27))-INDIRECT(ADDRESS(2012,27))</f>
        <v>0</v>
      </c>
      <c r="AB2013">
        <f>INDIRECT(ADDRESS(2013,27))+INDIRECT(ADDRESS(2011,28))-INDIRECT(ADDRESS(2012,28))</f>
        <v>0</v>
      </c>
      <c r="AC2013">
        <f>INDIRECT(ADDRESS(2013,28))+INDIRECT(ADDRESS(2011,29))-INDIRECT(ADDRESS(2012,29))</f>
        <v>0</v>
      </c>
      <c r="AD2013">
        <f>INDIRECT(ADDRESS(2013,29))+INDIRECT(ADDRESS(2011,30))-INDIRECT(ADDRESS(2012,30))</f>
        <v>0</v>
      </c>
      <c r="AE2013">
        <f>INDIRECT(ADDRESS(2013,30))+INDIRECT(ADDRESS(2011,31))-INDIRECT(ADDRESS(2012,31))</f>
        <v>0</v>
      </c>
      <c r="AF2013">
        <f>INDIRECT(ADDRESS(2013,31))+INDIRECT(ADDRESS(2011,32))-INDIRECT(ADDRESS(2012,32))</f>
        <v>0</v>
      </c>
      <c r="AG2013">
        <f>INDIRECT(ADDRESS(2013,32))+INDIRECT(ADDRESS(2011,33))-INDIRECT(ADDRESS(2012,33))</f>
        <v>0</v>
      </c>
      <c r="AH2013">
        <f>INDIRECT(ADDRESS(2013,33))+INDIRECT(ADDRESS(2011,34))-INDIRECT(ADDRESS(2012,34))</f>
        <v>0</v>
      </c>
      <c r="AI2013">
        <f>INDIRECT(ADDRESS(2013,34))+INDIRECT(ADDRESS(2011,35))-INDIRECT(ADDRESS(2012,35))</f>
        <v>0</v>
      </c>
      <c r="AJ2013">
        <f>INDIRECT(ADDRESS(2013,35))+INDIRECT(ADDRESS(2011,36))-INDIRECT(ADDRESS(2012,36))</f>
        <v>0</v>
      </c>
      <c r="AK2013">
        <f>INDIRECT(ADDRESS(2013,36))+INDIRECT(ADDRESS(2011,37))-INDIRECT(ADDRESS(2012,37))</f>
        <v>0</v>
      </c>
      <c r="AL2013">
        <f>INDIRECT(ADDRESS(2013,37))+INDIRECT(ADDRESS(2011,38))-INDIRECT(ADDRESS(2012,38))</f>
        <v>0</v>
      </c>
      <c r="AM2013">
        <f>INDIRECT(ADDRESS(2013,38))+INDIRECT(ADDRESS(2011,39))-INDIRECT(ADDRESS(2012,39))</f>
        <v>0</v>
      </c>
      <c r="AN2013">
        <f>INDIRECT(ADDRESS(2013,39))+INDIRECT(ADDRESS(2011,40))-INDIRECT(ADDRESS(2012,40))</f>
        <v>0</v>
      </c>
      <c r="AO2013">
        <f>SUM(INDIRECT(ADDRESS(2012,8)):INDIRECT(ADDRESS(2012,39)))</f>
        <v>0</v>
      </c>
    </row>
    <row r="2014" spans="1:41">
      <c r="A2014" t="s">
        <v>185</v>
      </c>
      <c r="B2014" t="s">
        <v>171</v>
      </c>
      <c r="C2014" t="s">
        <v>882</v>
      </c>
      <c r="E2014">
        <v>1</v>
      </c>
      <c r="I2014" t="s">
        <v>177</v>
      </c>
    </row>
    <row r="2015" spans="1:41">
      <c r="I2015" t="s">
        <v>178</v>
      </c>
      <c r="J2015">
        <f>IFERROR(VLOOKUP("232-002300-000",B:AB,1+8,0),0)</f>
        <v>0</v>
      </c>
      <c r="K2015">
        <f>IFERROR(VLOOKUP("232-002300-000",B:AB,2+8,0),0)</f>
        <v>0</v>
      </c>
      <c r="L2015">
        <f>IFERROR(VLOOKUP("232-002300-000",B:AB,3+8,0),0)</f>
        <v>0</v>
      </c>
      <c r="M2015">
        <f>IFERROR(VLOOKUP("232-002300-000",B:AB,4+8,0),0)</f>
        <v>0</v>
      </c>
      <c r="N2015">
        <f>IFERROR(VLOOKUP("232-002300-000",B:AB,5+8,0),0)</f>
        <v>0</v>
      </c>
      <c r="O2015">
        <f>IFERROR(VLOOKUP("232-002300-000",B:AB,6+8,0),0)</f>
        <v>0</v>
      </c>
      <c r="P2015">
        <f>IFERROR(VLOOKUP("232-002300-000",B:AB,7+8,0),0)</f>
        <v>0</v>
      </c>
      <c r="Q2015">
        <f>IFERROR(VLOOKUP("232-002300-000",B:AB,8+8,0),0)</f>
        <v>0</v>
      </c>
      <c r="R2015">
        <f>IFERROR(VLOOKUP("232-002300-000",B:AB,9+8,0),0)</f>
        <v>0</v>
      </c>
      <c r="S2015">
        <f>IFERROR(VLOOKUP("232-002300-000",B:AB,10+8,0),0)</f>
        <v>0</v>
      </c>
      <c r="T2015">
        <f>IFERROR(VLOOKUP("232-002300-000",B:AB,11+8,0),0)</f>
        <v>0</v>
      </c>
      <c r="U2015">
        <f>IFERROR(VLOOKUP("232-002300-000",B:AB,12+8,0),0)</f>
        <v>0</v>
      </c>
      <c r="V2015">
        <f>IFERROR(VLOOKUP("232-002300-000",B:AB,13+8,0),0)</f>
        <v>0</v>
      </c>
      <c r="W2015">
        <f>IFERROR(VLOOKUP("232-002300-000",B:AB,14+8,0),0)</f>
        <v>0</v>
      </c>
      <c r="X2015">
        <f>IFERROR(VLOOKUP("232-002300-000",B:AB,15+8,0),0)</f>
        <v>0</v>
      </c>
      <c r="Y2015">
        <f>IFERROR(VLOOKUP("232-002300-000",B:AB,16+8,0),0)</f>
        <v>0</v>
      </c>
      <c r="Z2015">
        <f>IFERROR(VLOOKUP("232-002300-000",B:AB,17+8,0),0)</f>
        <v>0</v>
      </c>
      <c r="AA2015">
        <f>IFERROR(VLOOKUP("232-002300-000",B:AB,18+8,0),0)</f>
        <v>0</v>
      </c>
      <c r="AB2015">
        <f>IFERROR(VLOOKUP("232-002300-000",B:AB,19+8,0),0)</f>
        <v>0</v>
      </c>
      <c r="AC2015">
        <f>IFERROR(VLOOKUP("232-002300-000",B:AB,20+8,0),0)</f>
        <v>0</v>
      </c>
      <c r="AD2015">
        <f>IFERROR(VLOOKUP("232-002300-000",B:AB,21+8,0),0)</f>
        <v>0</v>
      </c>
      <c r="AE2015">
        <f>IFERROR(VLOOKUP("232-002300-000",B:AB,22+8,0),0)</f>
        <v>0</v>
      </c>
      <c r="AF2015">
        <f>IFERROR(VLOOKUP("232-002300-000",B:AB,23+8,0),0)</f>
        <v>0</v>
      </c>
      <c r="AG2015">
        <f>IFERROR(VLOOKUP("232-002300-000",B:AB,24+8,0),0)</f>
        <v>0</v>
      </c>
      <c r="AH2015">
        <f>IFERROR(VLOOKUP("232-002300-000",B:AB,25+8,0),0)</f>
        <v>0</v>
      </c>
      <c r="AI2015">
        <f>IFERROR(VLOOKUP("232-002300-000",B:AB,26+8,0),0)</f>
        <v>0</v>
      </c>
      <c r="AJ2015">
        <f>IFERROR(VLOOKUP("232-002300-000",B:AB,27+8,0),0)</f>
        <v>0</v>
      </c>
      <c r="AK2015">
        <f>IFERROR(VLOOKUP("232-002300-000",B:AB,28+8,0),0)</f>
        <v>0</v>
      </c>
      <c r="AL2015">
        <f>IFERROR(VLOOKUP("232-002300-000",B:AB,29+8,0),0)</f>
        <v>0</v>
      </c>
      <c r="AM2015">
        <f>IFERROR(VLOOKUP("232-002300-000",B:AB,30+8,0),0)</f>
        <v>0</v>
      </c>
      <c r="AN2015">
        <f>IFERROR(VLOOKUP("232-002300-000",B:AB,31+8,0),0)</f>
        <v>0</v>
      </c>
      <c r="AO2015">
        <f>SUN(INDIRECT(ADDRESS(2014,8)):INDIRECT(ADDRESS(2014,39)))</f>
        <v>0</v>
      </c>
    </row>
    <row r="2016" spans="1:41">
      <c r="H2016" t="s">
        <v>179</v>
      </c>
      <c r="J2016">
        <f>INDIRECT(ADDRESS(2016,9))+INDIRECT(ADDRESS(2014,10))-INDIRECT(ADDRESS(2015,10))</f>
        <v>0</v>
      </c>
      <c r="K2016">
        <f>INDIRECT(ADDRESS(2016,10))+INDIRECT(ADDRESS(2014,11))-INDIRECT(ADDRESS(2015,11))</f>
        <v>0</v>
      </c>
      <c r="L2016">
        <f>INDIRECT(ADDRESS(2016,11))+INDIRECT(ADDRESS(2014,12))-INDIRECT(ADDRESS(2015,12))</f>
        <v>0</v>
      </c>
      <c r="M2016">
        <f>INDIRECT(ADDRESS(2016,12))+INDIRECT(ADDRESS(2014,13))-INDIRECT(ADDRESS(2015,13))</f>
        <v>0</v>
      </c>
      <c r="N2016">
        <f>INDIRECT(ADDRESS(2016,13))+INDIRECT(ADDRESS(2014,14))-INDIRECT(ADDRESS(2015,14))</f>
        <v>0</v>
      </c>
      <c r="O2016">
        <f>INDIRECT(ADDRESS(2016,14))+INDIRECT(ADDRESS(2014,15))-INDIRECT(ADDRESS(2015,15))</f>
        <v>0</v>
      </c>
      <c r="P2016">
        <f>INDIRECT(ADDRESS(2016,15))+INDIRECT(ADDRESS(2014,16))-INDIRECT(ADDRESS(2015,16))</f>
        <v>0</v>
      </c>
      <c r="Q2016">
        <f>INDIRECT(ADDRESS(2016,16))+INDIRECT(ADDRESS(2014,17))-INDIRECT(ADDRESS(2015,17))</f>
        <v>0</v>
      </c>
      <c r="R2016">
        <f>INDIRECT(ADDRESS(2016,17))+INDIRECT(ADDRESS(2014,18))-INDIRECT(ADDRESS(2015,18))</f>
        <v>0</v>
      </c>
      <c r="S2016">
        <f>INDIRECT(ADDRESS(2016,18))+INDIRECT(ADDRESS(2014,19))-INDIRECT(ADDRESS(2015,19))</f>
        <v>0</v>
      </c>
      <c r="T2016">
        <f>INDIRECT(ADDRESS(2016,19))+INDIRECT(ADDRESS(2014,20))-INDIRECT(ADDRESS(2015,20))</f>
        <v>0</v>
      </c>
      <c r="U2016">
        <f>INDIRECT(ADDRESS(2016,20))+INDIRECT(ADDRESS(2014,21))-INDIRECT(ADDRESS(2015,21))</f>
        <v>0</v>
      </c>
      <c r="V2016">
        <f>INDIRECT(ADDRESS(2016,21))+INDIRECT(ADDRESS(2014,22))-INDIRECT(ADDRESS(2015,22))</f>
        <v>0</v>
      </c>
      <c r="W2016">
        <f>INDIRECT(ADDRESS(2016,22))+INDIRECT(ADDRESS(2014,23))-INDIRECT(ADDRESS(2015,23))</f>
        <v>0</v>
      </c>
      <c r="X2016">
        <f>INDIRECT(ADDRESS(2016,23))+INDIRECT(ADDRESS(2014,24))-INDIRECT(ADDRESS(2015,24))</f>
        <v>0</v>
      </c>
      <c r="Y2016">
        <f>INDIRECT(ADDRESS(2016,24))+INDIRECT(ADDRESS(2014,25))-INDIRECT(ADDRESS(2015,25))</f>
        <v>0</v>
      </c>
      <c r="Z2016">
        <f>INDIRECT(ADDRESS(2016,25))+INDIRECT(ADDRESS(2014,26))-INDIRECT(ADDRESS(2015,26))</f>
        <v>0</v>
      </c>
      <c r="AA2016">
        <f>INDIRECT(ADDRESS(2016,26))+INDIRECT(ADDRESS(2014,27))-INDIRECT(ADDRESS(2015,27))</f>
        <v>0</v>
      </c>
      <c r="AB2016">
        <f>INDIRECT(ADDRESS(2016,27))+INDIRECT(ADDRESS(2014,28))-INDIRECT(ADDRESS(2015,28))</f>
        <v>0</v>
      </c>
      <c r="AC2016">
        <f>INDIRECT(ADDRESS(2016,28))+INDIRECT(ADDRESS(2014,29))-INDIRECT(ADDRESS(2015,29))</f>
        <v>0</v>
      </c>
      <c r="AD2016">
        <f>INDIRECT(ADDRESS(2016,29))+INDIRECT(ADDRESS(2014,30))-INDIRECT(ADDRESS(2015,30))</f>
        <v>0</v>
      </c>
      <c r="AE2016">
        <f>INDIRECT(ADDRESS(2016,30))+INDIRECT(ADDRESS(2014,31))-INDIRECT(ADDRESS(2015,31))</f>
        <v>0</v>
      </c>
      <c r="AF2016">
        <f>INDIRECT(ADDRESS(2016,31))+INDIRECT(ADDRESS(2014,32))-INDIRECT(ADDRESS(2015,32))</f>
        <v>0</v>
      </c>
      <c r="AG2016">
        <f>INDIRECT(ADDRESS(2016,32))+INDIRECT(ADDRESS(2014,33))-INDIRECT(ADDRESS(2015,33))</f>
        <v>0</v>
      </c>
      <c r="AH2016">
        <f>INDIRECT(ADDRESS(2016,33))+INDIRECT(ADDRESS(2014,34))-INDIRECT(ADDRESS(2015,34))</f>
        <v>0</v>
      </c>
      <c r="AI2016">
        <f>INDIRECT(ADDRESS(2016,34))+INDIRECT(ADDRESS(2014,35))-INDIRECT(ADDRESS(2015,35))</f>
        <v>0</v>
      </c>
      <c r="AJ2016">
        <f>INDIRECT(ADDRESS(2016,35))+INDIRECT(ADDRESS(2014,36))-INDIRECT(ADDRESS(2015,36))</f>
        <v>0</v>
      </c>
      <c r="AK2016">
        <f>INDIRECT(ADDRESS(2016,36))+INDIRECT(ADDRESS(2014,37))-INDIRECT(ADDRESS(2015,37))</f>
        <v>0</v>
      </c>
      <c r="AL2016">
        <f>INDIRECT(ADDRESS(2016,37))+INDIRECT(ADDRESS(2014,38))-INDIRECT(ADDRESS(2015,38))</f>
        <v>0</v>
      </c>
      <c r="AM2016">
        <f>INDIRECT(ADDRESS(2016,38))+INDIRECT(ADDRESS(2014,39))-INDIRECT(ADDRESS(2015,39))</f>
        <v>0</v>
      </c>
      <c r="AN2016">
        <f>INDIRECT(ADDRESS(2016,39))+INDIRECT(ADDRESS(2014,40))-INDIRECT(ADDRESS(2015,40))</f>
        <v>0</v>
      </c>
      <c r="AO2016">
        <f>SUM(INDIRECT(ADDRESS(2015,8)):INDIRECT(ADDRESS(2015,39)))</f>
        <v>0</v>
      </c>
    </row>
    <row r="2017" spans="1:41">
      <c r="A2017" t="s">
        <v>8</v>
      </c>
      <c r="B2017" t="s">
        <v>171</v>
      </c>
      <c r="C2017" t="s">
        <v>172</v>
      </c>
      <c r="E2017" t="s">
        <v>166</v>
      </c>
      <c r="I2017" t="s">
        <v>177</v>
      </c>
    </row>
    <row r="2018" spans="1:41">
      <c r="I2018" t="s">
        <v>178</v>
      </c>
      <c r="J2018">
        <f>IFERROR(VLOOKUP("232-002300-000",Out!B:AB,1+8,0),0)</f>
        <v>0</v>
      </c>
      <c r="K2018">
        <f>IFERROR(VLOOKUP("232-002300-000",Out!B:AB,2+8,0),0)</f>
        <v>0</v>
      </c>
      <c r="L2018">
        <f>IFERROR(VLOOKUP("232-002300-000",Out!B:AB,3+8,0),0)</f>
        <v>0</v>
      </c>
      <c r="M2018">
        <f>IFERROR(VLOOKUP("232-002300-000",Out!B:AB,4+8,0),0)</f>
        <v>0</v>
      </c>
      <c r="N2018">
        <f>IFERROR(VLOOKUP("232-002300-000",Out!B:AB,5+8,0),0)</f>
        <v>0</v>
      </c>
      <c r="O2018">
        <f>IFERROR(VLOOKUP("232-002300-000",Out!B:AB,6+8,0),0)</f>
        <v>0</v>
      </c>
      <c r="P2018">
        <f>IFERROR(VLOOKUP("232-002300-000",Out!B:AB,7+8,0),0)</f>
        <v>0</v>
      </c>
      <c r="Q2018">
        <f>IFERROR(VLOOKUP("232-002300-000",Out!B:AB,8+8,0),0)</f>
        <v>0</v>
      </c>
      <c r="R2018">
        <f>IFERROR(VLOOKUP("232-002300-000",Out!B:AB,9+8,0),0)</f>
        <v>0</v>
      </c>
      <c r="S2018">
        <f>IFERROR(VLOOKUP("232-002300-000",Out!B:AB,10+8,0),0)</f>
        <v>0</v>
      </c>
      <c r="T2018">
        <f>IFERROR(VLOOKUP("232-002300-000",Out!B:AB,11+8,0),0)</f>
        <v>0</v>
      </c>
      <c r="U2018">
        <f>IFERROR(VLOOKUP("232-002300-000",Out!B:AB,12+8,0),0)</f>
        <v>0</v>
      </c>
      <c r="V2018">
        <f>IFERROR(VLOOKUP("232-002300-000",Out!B:AB,13+8,0),0)</f>
        <v>0</v>
      </c>
      <c r="W2018">
        <f>IFERROR(VLOOKUP("232-002300-000",Out!B:AB,14+8,0),0)</f>
        <v>0</v>
      </c>
      <c r="X2018">
        <f>IFERROR(VLOOKUP("232-002300-000",Out!B:AB,15+8,0),0)</f>
        <v>0</v>
      </c>
      <c r="Y2018">
        <f>IFERROR(VLOOKUP("232-002300-000",Out!B:AB,16+8,0),0)</f>
        <v>0</v>
      </c>
      <c r="Z2018">
        <f>IFERROR(VLOOKUP("232-002300-000",Out!B:AB,17+8,0),0)</f>
        <v>0</v>
      </c>
      <c r="AA2018">
        <f>IFERROR(VLOOKUP("232-002300-000",Out!B:AB,18+8,0),0)</f>
        <v>0</v>
      </c>
      <c r="AB2018">
        <f>IFERROR(VLOOKUP("232-002300-000",Out!B:AB,19+8,0),0)</f>
        <v>0</v>
      </c>
      <c r="AC2018">
        <f>IFERROR(VLOOKUP("232-002300-000",Out!B:AB,20+8,0),0)</f>
        <v>0</v>
      </c>
      <c r="AD2018">
        <f>IFERROR(VLOOKUP("232-002300-000",Out!B:AB,21+8,0),0)</f>
        <v>0</v>
      </c>
      <c r="AE2018">
        <f>IFERROR(VLOOKUP("232-002300-000",Out!B:AB,22+8,0),0)</f>
        <v>0</v>
      </c>
      <c r="AF2018">
        <f>IFERROR(VLOOKUP("232-002300-000",Out!B:AB,23+8,0),0)</f>
        <v>0</v>
      </c>
      <c r="AG2018">
        <f>IFERROR(VLOOKUP("232-002300-000",Out!B:AB,24+8,0),0)</f>
        <v>0</v>
      </c>
      <c r="AH2018">
        <f>IFERROR(VLOOKUP("232-002300-000",Out!B:AB,25+8,0),0)</f>
        <v>0</v>
      </c>
      <c r="AI2018">
        <f>IFERROR(VLOOKUP("232-002300-000",Out!B:AB,26+8,0),0)</f>
        <v>0</v>
      </c>
      <c r="AJ2018">
        <f>IFERROR(VLOOKUP("232-002300-000",Out!B:AB,27+8,0),0)</f>
        <v>0</v>
      </c>
      <c r="AK2018">
        <f>IFERROR(VLOOKUP("232-002300-000",Out!B:AB,28+8,0),0)</f>
        <v>0</v>
      </c>
      <c r="AL2018">
        <f>IFERROR(VLOOKUP("232-002300-000",Out!B:AB,29+8,0),0)</f>
        <v>0</v>
      </c>
      <c r="AM2018">
        <f>IFERROR(VLOOKUP("232-002300-000",Out!B:AB,30+8,0),0)</f>
        <v>0</v>
      </c>
      <c r="AN2018">
        <f>IFERROR(VLOOKUP("232-002300-000",Out!B:AB,31+8,0),0)</f>
        <v>0</v>
      </c>
      <c r="AO2018">
        <f>SUN(INDIRECT(ADDRESS(2017,8)):INDIRECT(ADDRESS(2017,39)))</f>
        <v>0</v>
      </c>
    </row>
    <row r="2019" spans="1:41">
      <c r="H2019" t="s">
        <v>179</v>
      </c>
      <c r="J2019">
        <f>INDIRECT(ADDRESS(2019,9))+INDIRECT(ADDRESS(2017,10))-INDIRECT(ADDRESS(2018,10))</f>
        <v>0</v>
      </c>
      <c r="K2019">
        <f>INDIRECT(ADDRESS(2019,10))+INDIRECT(ADDRESS(2017,11))-INDIRECT(ADDRESS(2018,11))</f>
        <v>0</v>
      </c>
      <c r="L2019">
        <f>INDIRECT(ADDRESS(2019,11))+INDIRECT(ADDRESS(2017,12))-INDIRECT(ADDRESS(2018,12))</f>
        <v>0</v>
      </c>
      <c r="M2019">
        <f>INDIRECT(ADDRESS(2019,12))+INDIRECT(ADDRESS(2017,13))-INDIRECT(ADDRESS(2018,13))</f>
        <v>0</v>
      </c>
      <c r="N2019">
        <f>INDIRECT(ADDRESS(2019,13))+INDIRECT(ADDRESS(2017,14))-INDIRECT(ADDRESS(2018,14))</f>
        <v>0</v>
      </c>
      <c r="O2019">
        <f>INDIRECT(ADDRESS(2019,14))+INDIRECT(ADDRESS(2017,15))-INDIRECT(ADDRESS(2018,15))</f>
        <v>0</v>
      </c>
      <c r="P2019">
        <f>INDIRECT(ADDRESS(2019,15))+INDIRECT(ADDRESS(2017,16))-INDIRECT(ADDRESS(2018,16))</f>
        <v>0</v>
      </c>
      <c r="Q2019">
        <f>INDIRECT(ADDRESS(2019,16))+INDIRECT(ADDRESS(2017,17))-INDIRECT(ADDRESS(2018,17))</f>
        <v>0</v>
      </c>
      <c r="R2019">
        <f>INDIRECT(ADDRESS(2019,17))+INDIRECT(ADDRESS(2017,18))-INDIRECT(ADDRESS(2018,18))</f>
        <v>0</v>
      </c>
      <c r="S2019">
        <f>INDIRECT(ADDRESS(2019,18))+INDIRECT(ADDRESS(2017,19))-INDIRECT(ADDRESS(2018,19))</f>
        <v>0</v>
      </c>
      <c r="T2019">
        <f>INDIRECT(ADDRESS(2019,19))+INDIRECT(ADDRESS(2017,20))-INDIRECT(ADDRESS(2018,20))</f>
        <v>0</v>
      </c>
      <c r="U2019">
        <f>INDIRECT(ADDRESS(2019,20))+INDIRECT(ADDRESS(2017,21))-INDIRECT(ADDRESS(2018,21))</f>
        <v>0</v>
      </c>
      <c r="V2019">
        <f>INDIRECT(ADDRESS(2019,21))+INDIRECT(ADDRESS(2017,22))-INDIRECT(ADDRESS(2018,22))</f>
        <v>0</v>
      </c>
      <c r="W2019">
        <f>INDIRECT(ADDRESS(2019,22))+INDIRECT(ADDRESS(2017,23))-INDIRECT(ADDRESS(2018,23))</f>
        <v>0</v>
      </c>
      <c r="X2019">
        <f>INDIRECT(ADDRESS(2019,23))+INDIRECT(ADDRESS(2017,24))-INDIRECT(ADDRESS(2018,24))</f>
        <v>0</v>
      </c>
      <c r="Y2019">
        <f>INDIRECT(ADDRESS(2019,24))+INDIRECT(ADDRESS(2017,25))-INDIRECT(ADDRESS(2018,25))</f>
        <v>0</v>
      </c>
      <c r="Z2019">
        <f>INDIRECT(ADDRESS(2019,25))+INDIRECT(ADDRESS(2017,26))-INDIRECT(ADDRESS(2018,26))</f>
        <v>0</v>
      </c>
      <c r="AA2019">
        <f>INDIRECT(ADDRESS(2019,26))+INDIRECT(ADDRESS(2017,27))-INDIRECT(ADDRESS(2018,27))</f>
        <v>0</v>
      </c>
      <c r="AB2019">
        <f>INDIRECT(ADDRESS(2019,27))+INDIRECT(ADDRESS(2017,28))-INDIRECT(ADDRESS(2018,28))</f>
        <v>0</v>
      </c>
      <c r="AC2019">
        <f>INDIRECT(ADDRESS(2019,28))+INDIRECT(ADDRESS(2017,29))-INDIRECT(ADDRESS(2018,29))</f>
        <v>0</v>
      </c>
      <c r="AD2019">
        <f>INDIRECT(ADDRESS(2019,29))+INDIRECT(ADDRESS(2017,30))-INDIRECT(ADDRESS(2018,30))</f>
        <v>0</v>
      </c>
      <c r="AE2019">
        <f>INDIRECT(ADDRESS(2019,30))+INDIRECT(ADDRESS(2017,31))-INDIRECT(ADDRESS(2018,31))</f>
        <v>0</v>
      </c>
      <c r="AF2019">
        <f>INDIRECT(ADDRESS(2019,31))+INDIRECT(ADDRESS(2017,32))-INDIRECT(ADDRESS(2018,32))</f>
        <v>0</v>
      </c>
      <c r="AG2019">
        <f>INDIRECT(ADDRESS(2019,32))+INDIRECT(ADDRESS(2017,33))-INDIRECT(ADDRESS(2018,33))</f>
        <v>0</v>
      </c>
      <c r="AH2019">
        <f>INDIRECT(ADDRESS(2019,33))+INDIRECT(ADDRESS(2017,34))-INDIRECT(ADDRESS(2018,34))</f>
        <v>0</v>
      </c>
      <c r="AI2019">
        <f>INDIRECT(ADDRESS(2019,34))+INDIRECT(ADDRESS(2017,35))-INDIRECT(ADDRESS(2018,35))</f>
        <v>0</v>
      </c>
      <c r="AJ2019">
        <f>INDIRECT(ADDRESS(2019,35))+INDIRECT(ADDRESS(2017,36))-INDIRECT(ADDRESS(2018,36))</f>
        <v>0</v>
      </c>
      <c r="AK2019">
        <f>INDIRECT(ADDRESS(2019,36))+INDIRECT(ADDRESS(2017,37))-INDIRECT(ADDRESS(2018,37))</f>
        <v>0</v>
      </c>
      <c r="AL2019">
        <f>INDIRECT(ADDRESS(2019,37))+INDIRECT(ADDRESS(2017,38))-INDIRECT(ADDRESS(2018,38))</f>
        <v>0</v>
      </c>
      <c r="AM2019">
        <f>INDIRECT(ADDRESS(2019,38))+INDIRECT(ADDRESS(2017,39))-INDIRECT(ADDRESS(2018,39))</f>
        <v>0</v>
      </c>
      <c r="AN2019">
        <f>INDIRECT(ADDRESS(2019,39))+INDIRECT(ADDRESS(2017,40))-INDIRECT(ADDRESS(2018,40))</f>
        <v>0</v>
      </c>
      <c r="AO2019">
        <f>SUM(INDIRECT(ADDRESS(2018,8)):INDIRECT(ADDRESS(2018,39)))</f>
        <v>0</v>
      </c>
    </row>
    <row r="2020" spans="1:41">
      <c r="A2020" t="s">
        <v>180</v>
      </c>
      <c r="B2020" t="s">
        <v>885</v>
      </c>
      <c r="C2020" t="s">
        <v>886</v>
      </c>
      <c r="E2020">
        <v>1</v>
      </c>
      <c r="I2020" t="s">
        <v>177</v>
      </c>
    </row>
    <row r="2021" spans="1:41">
      <c r="I2021" t="s">
        <v>178</v>
      </c>
      <c r="J2021">
        <f>IFERROR(VLOOKUP("232-002300-000",B:AB,1+8,0),0)</f>
        <v>0</v>
      </c>
      <c r="K2021">
        <f>IFERROR(VLOOKUP("232-002300-000",B:AB,2+8,0),0)</f>
        <v>0</v>
      </c>
      <c r="L2021">
        <f>IFERROR(VLOOKUP("232-002300-000",B:AB,3+8,0),0)</f>
        <v>0</v>
      </c>
      <c r="M2021">
        <f>IFERROR(VLOOKUP("232-002300-000",B:AB,4+8,0),0)</f>
        <v>0</v>
      </c>
      <c r="N2021">
        <f>IFERROR(VLOOKUP("232-002300-000",B:AB,5+8,0),0)</f>
        <v>0</v>
      </c>
      <c r="O2021">
        <f>IFERROR(VLOOKUP("232-002300-000",B:AB,6+8,0),0)</f>
        <v>0</v>
      </c>
      <c r="P2021">
        <f>IFERROR(VLOOKUP("232-002300-000",B:AB,7+8,0),0)</f>
        <v>0</v>
      </c>
      <c r="Q2021">
        <f>IFERROR(VLOOKUP("232-002300-000",B:AB,8+8,0),0)</f>
        <v>0</v>
      </c>
      <c r="R2021">
        <f>IFERROR(VLOOKUP("232-002300-000",B:AB,9+8,0),0)</f>
        <v>0</v>
      </c>
      <c r="S2021">
        <f>IFERROR(VLOOKUP("232-002300-000",B:AB,10+8,0),0)</f>
        <v>0</v>
      </c>
      <c r="T2021">
        <f>IFERROR(VLOOKUP("232-002300-000",B:AB,11+8,0),0)</f>
        <v>0</v>
      </c>
      <c r="U2021">
        <f>IFERROR(VLOOKUP("232-002300-000",B:AB,12+8,0),0)</f>
        <v>0</v>
      </c>
      <c r="V2021">
        <f>IFERROR(VLOOKUP("232-002300-000",B:AB,13+8,0),0)</f>
        <v>0</v>
      </c>
      <c r="W2021">
        <f>IFERROR(VLOOKUP("232-002300-000",B:AB,14+8,0),0)</f>
        <v>0</v>
      </c>
      <c r="X2021">
        <f>IFERROR(VLOOKUP("232-002300-000",B:AB,15+8,0),0)</f>
        <v>0</v>
      </c>
      <c r="Y2021">
        <f>IFERROR(VLOOKUP("232-002300-000",B:AB,16+8,0),0)</f>
        <v>0</v>
      </c>
      <c r="Z2021">
        <f>IFERROR(VLOOKUP("232-002300-000",B:AB,17+8,0),0)</f>
        <v>0</v>
      </c>
      <c r="AA2021">
        <f>IFERROR(VLOOKUP("232-002300-000",B:AB,18+8,0),0)</f>
        <v>0</v>
      </c>
      <c r="AB2021">
        <f>IFERROR(VLOOKUP("232-002300-000",B:AB,19+8,0),0)</f>
        <v>0</v>
      </c>
      <c r="AC2021">
        <f>IFERROR(VLOOKUP("232-002300-000",B:AB,20+8,0),0)</f>
        <v>0</v>
      </c>
      <c r="AD2021">
        <f>IFERROR(VLOOKUP("232-002300-000",B:AB,21+8,0),0)</f>
        <v>0</v>
      </c>
      <c r="AE2021">
        <f>IFERROR(VLOOKUP("232-002300-000",B:AB,22+8,0),0)</f>
        <v>0</v>
      </c>
      <c r="AF2021">
        <f>IFERROR(VLOOKUP("232-002300-000",B:AB,23+8,0),0)</f>
        <v>0</v>
      </c>
      <c r="AG2021">
        <f>IFERROR(VLOOKUP("232-002300-000",B:AB,24+8,0),0)</f>
        <v>0</v>
      </c>
      <c r="AH2021">
        <f>IFERROR(VLOOKUP("232-002300-000",B:AB,25+8,0),0)</f>
        <v>0</v>
      </c>
      <c r="AI2021">
        <f>IFERROR(VLOOKUP("232-002300-000",B:AB,26+8,0),0)</f>
        <v>0</v>
      </c>
      <c r="AJ2021">
        <f>IFERROR(VLOOKUP("232-002300-000",B:AB,27+8,0),0)</f>
        <v>0</v>
      </c>
      <c r="AK2021">
        <f>IFERROR(VLOOKUP("232-002300-000",B:AB,28+8,0),0)</f>
        <v>0</v>
      </c>
      <c r="AL2021">
        <f>IFERROR(VLOOKUP("232-002300-000",B:AB,29+8,0),0)</f>
        <v>0</v>
      </c>
      <c r="AM2021">
        <f>IFERROR(VLOOKUP("232-002300-000",B:AB,30+8,0),0)</f>
        <v>0</v>
      </c>
      <c r="AN2021">
        <f>IFERROR(VLOOKUP("232-002300-000",B:AB,31+8,0),0)</f>
        <v>0</v>
      </c>
      <c r="AO2021">
        <f>SUN(INDIRECT(ADDRESS(2020,8)):INDIRECT(ADDRESS(2020,39)))</f>
        <v>0</v>
      </c>
    </row>
    <row r="2022" spans="1:41">
      <c r="H2022" t="s">
        <v>179</v>
      </c>
      <c r="J2022">
        <f>INDIRECT(ADDRESS(2022,9))+INDIRECT(ADDRESS(2020,10))-INDIRECT(ADDRESS(2021,10))</f>
        <v>0</v>
      </c>
      <c r="K2022">
        <f>INDIRECT(ADDRESS(2022,10))+INDIRECT(ADDRESS(2020,11))-INDIRECT(ADDRESS(2021,11))</f>
        <v>0</v>
      </c>
      <c r="L2022">
        <f>INDIRECT(ADDRESS(2022,11))+INDIRECT(ADDRESS(2020,12))-INDIRECT(ADDRESS(2021,12))</f>
        <v>0</v>
      </c>
      <c r="M2022">
        <f>INDIRECT(ADDRESS(2022,12))+INDIRECT(ADDRESS(2020,13))-INDIRECT(ADDRESS(2021,13))</f>
        <v>0</v>
      </c>
      <c r="N2022">
        <f>INDIRECT(ADDRESS(2022,13))+INDIRECT(ADDRESS(2020,14))-INDIRECT(ADDRESS(2021,14))</f>
        <v>0</v>
      </c>
      <c r="O2022">
        <f>INDIRECT(ADDRESS(2022,14))+INDIRECT(ADDRESS(2020,15))-INDIRECT(ADDRESS(2021,15))</f>
        <v>0</v>
      </c>
      <c r="P2022">
        <f>INDIRECT(ADDRESS(2022,15))+INDIRECT(ADDRESS(2020,16))-INDIRECT(ADDRESS(2021,16))</f>
        <v>0</v>
      </c>
      <c r="Q2022">
        <f>INDIRECT(ADDRESS(2022,16))+INDIRECT(ADDRESS(2020,17))-INDIRECT(ADDRESS(2021,17))</f>
        <v>0</v>
      </c>
      <c r="R2022">
        <f>INDIRECT(ADDRESS(2022,17))+INDIRECT(ADDRESS(2020,18))-INDIRECT(ADDRESS(2021,18))</f>
        <v>0</v>
      </c>
      <c r="S2022">
        <f>INDIRECT(ADDRESS(2022,18))+INDIRECT(ADDRESS(2020,19))-INDIRECT(ADDRESS(2021,19))</f>
        <v>0</v>
      </c>
      <c r="T2022">
        <f>INDIRECT(ADDRESS(2022,19))+INDIRECT(ADDRESS(2020,20))-INDIRECT(ADDRESS(2021,20))</f>
        <v>0</v>
      </c>
      <c r="U2022">
        <f>INDIRECT(ADDRESS(2022,20))+INDIRECT(ADDRESS(2020,21))-INDIRECT(ADDRESS(2021,21))</f>
        <v>0</v>
      </c>
      <c r="V2022">
        <f>INDIRECT(ADDRESS(2022,21))+INDIRECT(ADDRESS(2020,22))-INDIRECT(ADDRESS(2021,22))</f>
        <v>0</v>
      </c>
      <c r="W2022">
        <f>INDIRECT(ADDRESS(2022,22))+INDIRECT(ADDRESS(2020,23))-INDIRECT(ADDRESS(2021,23))</f>
        <v>0</v>
      </c>
      <c r="X2022">
        <f>INDIRECT(ADDRESS(2022,23))+INDIRECT(ADDRESS(2020,24))-INDIRECT(ADDRESS(2021,24))</f>
        <v>0</v>
      </c>
      <c r="Y2022">
        <f>INDIRECT(ADDRESS(2022,24))+INDIRECT(ADDRESS(2020,25))-INDIRECT(ADDRESS(2021,25))</f>
        <v>0</v>
      </c>
      <c r="Z2022">
        <f>INDIRECT(ADDRESS(2022,25))+INDIRECT(ADDRESS(2020,26))-INDIRECT(ADDRESS(2021,26))</f>
        <v>0</v>
      </c>
      <c r="AA2022">
        <f>INDIRECT(ADDRESS(2022,26))+INDIRECT(ADDRESS(2020,27))-INDIRECT(ADDRESS(2021,27))</f>
        <v>0</v>
      </c>
      <c r="AB2022">
        <f>INDIRECT(ADDRESS(2022,27))+INDIRECT(ADDRESS(2020,28))-INDIRECT(ADDRESS(2021,28))</f>
        <v>0</v>
      </c>
      <c r="AC2022">
        <f>INDIRECT(ADDRESS(2022,28))+INDIRECT(ADDRESS(2020,29))-INDIRECT(ADDRESS(2021,29))</f>
        <v>0</v>
      </c>
      <c r="AD2022">
        <f>INDIRECT(ADDRESS(2022,29))+INDIRECT(ADDRESS(2020,30))-INDIRECT(ADDRESS(2021,30))</f>
        <v>0</v>
      </c>
      <c r="AE2022">
        <f>INDIRECT(ADDRESS(2022,30))+INDIRECT(ADDRESS(2020,31))-INDIRECT(ADDRESS(2021,31))</f>
        <v>0</v>
      </c>
      <c r="AF2022">
        <f>INDIRECT(ADDRESS(2022,31))+INDIRECT(ADDRESS(2020,32))-INDIRECT(ADDRESS(2021,32))</f>
        <v>0</v>
      </c>
      <c r="AG2022">
        <f>INDIRECT(ADDRESS(2022,32))+INDIRECT(ADDRESS(2020,33))-INDIRECT(ADDRESS(2021,33))</f>
        <v>0</v>
      </c>
      <c r="AH2022">
        <f>INDIRECT(ADDRESS(2022,33))+INDIRECT(ADDRESS(2020,34))-INDIRECT(ADDRESS(2021,34))</f>
        <v>0</v>
      </c>
      <c r="AI2022">
        <f>INDIRECT(ADDRESS(2022,34))+INDIRECT(ADDRESS(2020,35))-INDIRECT(ADDRESS(2021,35))</f>
        <v>0</v>
      </c>
      <c r="AJ2022">
        <f>INDIRECT(ADDRESS(2022,35))+INDIRECT(ADDRESS(2020,36))-INDIRECT(ADDRESS(2021,36))</f>
        <v>0</v>
      </c>
      <c r="AK2022">
        <f>INDIRECT(ADDRESS(2022,36))+INDIRECT(ADDRESS(2020,37))-INDIRECT(ADDRESS(2021,37))</f>
        <v>0</v>
      </c>
      <c r="AL2022">
        <f>INDIRECT(ADDRESS(2022,37))+INDIRECT(ADDRESS(2020,38))-INDIRECT(ADDRESS(2021,38))</f>
        <v>0</v>
      </c>
      <c r="AM2022">
        <f>INDIRECT(ADDRESS(2022,38))+INDIRECT(ADDRESS(2020,39))-INDIRECT(ADDRESS(2021,39))</f>
        <v>0</v>
      </c>
      <c r="AN2022">
        <f>INDIRECT(ADDRESS(2022,39))+INDIRECT(ADDRESS(2020,40))-INDIRECT(ADDRESS(2021,40))</f>
        <v>0</v>
      </c>
      <c r="AO2022">
        <f>SUM(INDIRECT(ADDRESS(2021,8)):INDIRECT(ADDRESS(2021,39)))</f>
        <v>0</v>
      </c>
    </row>
    <row r="2023" spans="1:41">
      <c r="A2023" t="s">
        <v>185</v>
      </c>
      <c r="B2023" t="s">
        <v>171</v>
      </c>
      <c r="C2023" t="s">
        <v>887</v>
      </c>
      <c r="E2023">
        <v>6</v>
      </c>
      <c r="I2023" t="s">
        <v>177</v>
      </c>
    </row>
    <row r="2024" spans="1:41">
      <c r="I2024" t="s">
        <v>178</v>
      </c>
      <c r="J2024">
        <f>IFERROR(VLOOKUP("232-002300-000",B:AB,1+8,0),0)</f>
        <v>0</v>
      </c>
      <c r="K2024">
        <f>IFERROR(VLOOKUP("232-002300-000",B:AB,2+8,0),0)</f>
        <v>0</v>
      </c>
      <c r="L2024">
        <f>IFERROR(VLOOKUP("232-002300-000",B:AB,3+8,0),0)</f>
        <v>0</v>
      </c>
      <c r="M2024">
        <f>IFERROR(VLOOKUP("232-002300-000",B:AB,4+8,0),0)</f>
        <v>0</v>
      </c>
      <c r="N2024">
        <f>IFERROR(VLOOKUP("232-002300-000",B:AB,5+8,0),0)</f>
        <v>0</v>
      </c>
      <c r="O2024">
        <f>IFERROR(VLOOKUP("232-002300-000",B:AB,6+8,0),0)</f>
        <v>0</v>
      </c>
      <c r="P2024">
        <f>IFERROR(VLOOKUP("232-002300-000",B:AB,7+8,0),0)</f>
        <v>0</v>
      </c>
      <c r="Q2024">
        <f>IFERROR(VLOOKUP("232-002300-000",B:AB,8+8,0),0)</f>
        <v>0</v>
      </c>
      <c r="R2024">
        <f>IFERROR(VLOOKUP("232-002300-000",B:AB,9+8,0),0)</f>
        <v>0</v>
      </c>
      <c r="S2024">
        <f>IFERROR(VLOOKUP("232-002300-000",B:AB,10+8,0),0)</f>
        <v>0</v>
      </c>
      <c r="T2024">
        <f>IFERROR(VLOOKUP("232-002300-000",B:AB,11+8,0),0)</f>
        <v>0</v>
      </c>
      <c r="U2024">
        <f>IFERROR(VLOOKUP("232-002300-000",B:AB,12+8,0),0)</f>
        <v>0</v>
      </c>
      <c r="V2024">
        <f>IFERROR(VLOOKUP("232-002300-000",B:AB,13+8,0),0)</f>
        <v>0</v>
      </c>
      <c r="W2024">
        <f>IFERROR(VLOOKUP("232-002300-000",B:AB,14+8,0),0)</f>
        <v>0</v>
      </c>
      <c r="X2024">
        <f>IFERROR(VLOOKUP("232-002300-000",B:AB,15+8,0),0)</f>
        <v>0</v>
      </c>
      <c r="Y2024">
        <f>IFERROR(VLOOKUP("232-002300-000",B:AB,16+8,0),0)</f>
        <v>0</v>
      </c>
      <c r="Z2024">
        <f>IFERROR(VLOOKUP("232-002300-000",B:AB,17+8,0),0)</f>
        <v>0</v>
      </c>
      <c r="AA2024">
        <f>IFERROR(VLOOKUP("232-002300-000",B:AB,18+8,0),0)</f>
        <v>0</v>
      </c>
      <c r="AB2024">
        <f>IFERROR(VLOOKUP("232-002300-000",B:AB,19+8,0),0)</f>
        <v>0</v>
      </c>
      <c r="AC2024">
        <f>IFERROR(VLOOKUP("232-002300-000",B:AB,20+8,0),0)</f>
        <v>0</v>
      </c>
      <c r="AD2024">
        <f>IFERROR(VLOOKUP("232-002300-000",B:AB,21+8,0),0)</f>
        <v>0</v>
      </c>
      <c r="AE2024">
        <f>IFERROR(VLOOKUP("232-002300-000",B:AB,22+8,0),0)</f>
        <v>0</v>
      </c>
      <c r="AF2024">
        <f>IFERROR(VLOOKUP("232-002300-000",B:AB,23+8,0),0)</f>
        <v>0</v>
      </c>
      <c r="AG2024">
        <f>IFERROR(VLOOKUP("232-002300-000",B:AB,24+8,0),0)</f>
        <v>0</v>
      </c>
      <c r="AH2024">
        <f>IFERROR(VLOOKUP("232-002300-000",B:AB,25+8,0),0)</f>
        <v>0</v>
      </c>
      <c r="AI2024">
        <f>IFERROR(VLOOKUP("232-002300-000",B:AB,26+8,0),0)</f>
        <v>0</v>
      </c>
      <c r="AJ2024">
        <f>IFERROR(VLOOKUP("232-002300-000",B:AB,27+8,0),0)</f>
        <v>0</v>
      </c>
      <c r="AK2024">
        <f>IFERROR(VLOOKUP("232-002300-000",B:AB,28+8,0),0)</f>
        <v>0</v>
      </c>
      <c r="AL2024">
        <f>IFERROR(VLOOKUP("232-002300-000",B:AB,29+8,0),0)</f>
        <v>0</v>
      </c>
      <c r="AM2024">
        <f>IFERROR(VLOOKUP("232-002300-000",B:AB,30+8,0),0)</f>
        <v>0</v>
      </c>
      <c r="AN2024">
        <f>IFERROR(VLOOKUP("232-002300-000",B:AB,31+8,0),0)</f>
        <v>0</v>
      </c>
      <c r="AO2024">
        <f>SUN(INDIRECT(ADDRESS(2023,8)):INDIRECT(ADDRESS(2023,39)))</f>
        <v>0</v>
      </c>
    </row>
    <row r="2025" spans="1:41">
      <c r="H2025" t="s">
        <v>179</v>
      </c>
      <c r="J2025">
        <f>INDIRECT(ADDRESS(2025,9))+INDIRECT(ADDRESS(2023,10))-INDIRECT(ADDRESS(2024,10))</f>
        <v>0</v>
      </c>
      <c r="K2025">
        <f>INDIRECT(ADDRESS(2025,10))+INDIRECT(ADDRESS(2023,11))-INDIRECT(ADDRESS(2024,11))</f>
        <v>0</v>
      </c>
      <c r="L2025">
        <f>INDIRECT(ADDRESS(2025,11))+INDIRECT(ADDRESS(2023,12))-INDIRECT(ADDRESS(2024,12))</f>
        <v>0</v>
      </c>
      <c r="M2025">
        <f>INDIRECT(ADDRESS(2025,12))+INDIRECT(ADDRESS(2023,13))-INDIRECT(ADDRESS(2024,13))</f>
        <v>0</v>
      </c>
      <c r="N2025">
        <f>INDIRECT(ADDRESS(2025,13))+INDIRECT(ADDRESS(2023,14))-INDIRECT(ADDRESS(2024,14))</f>
        <v>0</v>
      </c>
      <c r="O2025">
        <f>INDIRECT(ADDRESS(2025,14))+INDIRECT(ADDRESS(2023,15))-INDIRECT(ADDRESS(2024,15))</f>
        <v>0</v>
      </c>
      <c r="P2025">
        <f>INDIRECT(ADDRESS(2025,15))+INDIRECT(ADDRESS(2023,16))-INDIRECT(ADDRESS(2024,16))</f>
        <v>0</v>
      </c>
      <c r="Q2025">
        <f>INDIRECT(ADDRESS(2025,16))+INDIRECT(ADDRESS(2023,17))-INDIRECT(ADDRESS(2024,17))</f>
        <v>0</v>
      </c>
      <c r="R2025">
        <f>INDIRECT(ADDRESS(2025,17))+INDIRECT(ADDRESS(2023,18))-INDIRECT(ADDRESS(2024,18))</f>
        <v>0</v>
      </c>
      <c r="S2025">
        <f>INDIRECT(ADDRESS(2025,18))+INDIRECT(ADDRESS(2023,19))-INDIRECT(ADDRESS(2024,19))</f>
        <v>0</v>
      </c>
      <c r="T2025">
        <f>INDIRECT(ADDRESS(2025,19))+INDIRECT(ADDRESS(2023,20))-INDIRECT(ADDRESS(2024,20))</f>
        <v>0</v>
      </c>
      <c r="U2025">
        <f>INDIRECT(ADDRESS(2025,20))+INDIRECT(ADDRESS(2023,21))-INDIRECT(ADDRESS(2024,21))</f>
        <v>0</v>
      </c>
      <c r="V2025">
        <f>INDIRECT(ADDRESS(2025,21))+INDIRECT(ADDRESS(2023,22))-INDIRECT(ADDRESS(2024,22))</f>
        <v>0</v>
      </c>
      <c r="W2025">
        <f>INDIRECT(ADDRESS(2025,22))+INDIRECT(ADDRESS(2023,23))-INDIRECT(ADDRESS(2024,23))</f>
        <v>0</v>
      </c>
      <c r="X2025">
        <f>INDIRECT(ADDRESS(2025,23))+INDIRECT(ADDRESS(2023,24))-INDIRECT(ADDRESS(2024,24))</f>
        <v>0</v>
      </c>
      <c r="Y2025">
        <f>INDIRECT(ADDRESS(2025,24))+INDIRECT(ADDRESS(2023,25))-INDIRECT(ADDRESS(2024,25))</f>
        <v>0</v>
      </c>
      <c r="Z2025">
        <f>INDIRECT(ADDRESS(2025,25))+INDIRECT(ADDRESS(2023,26))-INDIRECT(ADDRESS(2024,26))</f>
        <v>0</v>
      </c>
      <c r="AA2025">
        <f>INDIRECT(ADDRESS(2025,26))+INDIRECT(ADDRESS(2023,27))-INDIRECT(ADDRESS(2024,27))</f>
        <v>0</v>
      </c>
      <c r="AB2025">
        <f>INDIRECT(ADDRESS(2025,27))+INDIRECT(ADDRESS(2023,28))-INDIRECT(ADDRESS(2024,28))</f>
        <v>0</v>
      </c>
      <c r="AC2025">
        <f>INDIRECT(ADDRESS(2025,28))+INDIRECT(ADDRESS(2023,29))-INDIRECT(ADDRESS(2024,29))</f>
        <v>0</v>
      </c>
      <c r="AD2025">
        <f>INDIRECT(ADDRESS(2025,29))+INDIRECT(ADDRESS(2023,30))-INDIRECT(ADDRESS(2024,30))</f>
        <v>0</v>
      </c>
      <c r="AE2025">
        <f>INDIRECT(ADDRESS(2025,30))+INDIRECT(ADDRESS(2023,31))-INDIRECT(ADDRESS(2024,31))</f>
        <v>0</v>
      </c>
      <c r="AF2025">
        <f>INDIRECT(ADDRESS(2025,31))+INDIRECT(ADDRESS(2023,32))-INDIRECT(ADDRESS(2024,32))</f>
        <v>0</v>
      </c>
      <c r="AG2025">
        <f>INDIRECT(ADDRESS(2025,32))+INDIRECT(ADDRESS(2023,33))-INDIRECT(ADDRESS(2024,33))</f>
        <v>0</v>
      </c>
      <c r="AH2025">
        <f>INDIRECT(ADDRESS(2025,33))+INDIRECT(ADDRESS(2023,34))-INDIRECT(ADDRESS(2024,34))</f>
        <v>0</v>
      </c>
      <c r="AI2025">
        <f>INDIRECT(ADDRESS(2025,34))+INDIRECT(ADDRESS(2023,35))-INDIRECT(ADDRESS(2024,35))</f>
        <v>0</v>
      </c>
      <c r="AJ2025">
        <f>INDIRECT(ADDRESS(2025,35))+INDIRECT(ADDRESS(2023,36))-INDIRECT(ADDRESS(2024,36))</f>
        <v>0</v>
      </c>
      <c r="AK2025">
        <f>INDIRECT(ADDRESS(2025,36))+INDIRECT(ADDRESS(2023,37))-INDIRECT(ADDRESS(2024,37))</f>
        <v>0</v>
      </c>
      <c r="AL2025">
        <f>INDIRECT(ADDRESS(2025,37))+INDIRECT(ADDRESS(2023,38))-INDIRECT(ADDRESS(2024,38))</f>
        <v>0</v>
      </c>
      <c r="AM2025">
        <f>INDIRECT(ADDRESS(2025,38))+INDIRECT(ADDRESS(2023,39))-INDIRECT(ADDRESS(2024,39))</f>
        <v>0</v>
      </c>
      <c r="AN2025">
        <f>INDIRECT(ADDRESS(2025,39))+INDIRECT(ADDRESS(2023,40))-INDIRECT(ADDRESS(2024,40))</f>
        <v>0</v>
      </c>
      <c r="AO2025">
        <f>SUM(INDIRECT(ADDRESS(2024,8)):INDIRECT(ADDRESS(2024,39)))</f>
        <v>0</v>
      </c>
    </row>
    <row r="2026" spans="1:41">
      <c r="A2026" t="s">
        <v>185</v>
      </c>
      <c r="B2026" t="s">
        <v>888</v>
      </c>
      <c r="C2026" t="s">
        <v>889</v>
      </c>
      <c r="E2026">
        <v>1</v>
      </c>
      <c r="I2026" t="s">
        <v>177</v>
      </c>
    </row>
    <row r="2027" spans="1:41">
      <c r="I2027" t="s">
        <v>178</v>
      </c>
      <c r="J2027">
        <f>IFERROR(VLOOKUP("232-002300-000",B:AB,1+8,0),0)</f>
        <v>0</v>
      </c>
      <c r="K2027">
        <f>IFERROR(VLOOKUP("232-002300-000",B:AB,2+8,0),0)</f>
        <v>0</v>
      </c>
      <c r="L2027">
        <f>IFERROR(VLOOKUP("232-002300-000",B:AB,3+8,0),0)</f>
        <v>0</v>
      </c>
      <c r="M2027">
        <f>IFERROR(VLOOKUP("232-002300-000",B:AB,4+8,0),0)</f>
        <v>0</v>
      </c>
      <c r="N2027">
        <f>IFERROR(VLOOKUP("232-002300-000",B:AB,5+8,0),0)</f>
        <v>0</v>
      </c>
      <c r="O2027">
        <f>IFERROR(VLOOKUP("232-002300-000",B:AB,6+8,0),0)</f>
        <v>0</v>
      </c>
      <c r="P2027">
        <f>IFERROR(VLOOKUP("232-002300-000",B:AB,7+8,0),0)</f>
        <v>0</v>
      </c>
      <c r="Q2027">
        <f>IFERROR(VLOOKUP("232-002300-000",B:AB,8+8,0),0)</f>
        <v>0</v>
      </c>
      <c r="R2027">
        <f>IFERROR(VLOOKUP("232-002300-000",B:AB,9+8,0),0)</f>
        <v>0</v>
      </c>
      <c r="S2027">
        <f>IFERROR(VLOOKUP("232-002300-000",B:AB,10+8,0),0)</f>
        <v>0</v>
      </c>
      <c r="T2027">
        <f>IFERROR(VLOOKUP("232-002300-000",B:AB,11+8,0),0)</f>
        <v>0</v>
      </c>
      <c r="U2027">
        <f>IFERROR(VLOOKUP("232-002300-000",B:AB,12+8,0),0)</f>
        <v>0</v>
      </c>
      <c r="V2027">
        <f>IFERROR(VLOOKUP("232-002300-000",B:AB,13+8,0),0)</f>
        <v>0</v>
      </c>
      <c r="W2027">
        <f>IFERROR(VLOOKUP("232-002300-000",B:AB,14+8,0),0)</f>
        <v>0</v>
      </c>
      <c r="X2027">
        <f>IFERROR(VLOOKUP("232-002300-000",B:AB,15+8,0),0)</f>
        <v>0</v>
      </c>
      <c r="Y2027">
        <f>IFERROR(VLOOKUP("232-002300-000",B:AB,16+8,0),0)</f>
        <v>0</v>
      </c>
      <c r="Z2027">
        <f>IFERROR(VLOOKUP("232-002300-000",B:AB,17+8,0),0)</f>
        <v>0</v>
      </c>
      <c r="AA2027">
        <f>IFERROR(VLOOKUP("232-002300-000",B:AB,18+8,0),0)</f>
        <v>0</v>
      </c>
      <c r="AB2027">
        <f>IFERROR(VLOOKUP("232-002300-000",B:AB,19+8,0),0)</f>
        <v>0</v>
      </c>
      <c r="AC2027">
        <f>IFERROR(VLOOKUP("232-002300-000",B:AB,20+8,0),0)</f>
        <v>0</v>
      </c>
      <c r="AD2027">
        <f>IFERROR(VLOOKUP("232-002300-000",B:AB,21+8,0),0)</f>
        <v>0</v>
      </c>
      <c r="AE2027">
        <f>IFERROR(VLOOKUP("232-002300-000",B:AB,22+8,0),0)</f>
        <v>0</v>
      </c>
      <c r="AF2027">
        <f>IFERROR(VLOOKUP("232-002300-000",B:AB,23+8,0),0)</f>
        <v>0</v>
      </c>
      <c r="AG2027">
        <f>IFERROR(VLOOKUP("232-002300-000",B:AB,24+8,0),0)</f>
        <v>0</v>
      </c>
      <c r="AH2027">
        <f>IFERROR(VLOOKUP("232-002300-000",B:AB,25+8,0),0)</f>
        <v>0</v>
      </c>
      <c r="AI2027">
        <f>IFERROR(VLOOKUP("232-002300-000",B:AB,26+8,0),0)</f>
        <v>0</v>
      </c>
      <c r="AJ2027">
        <f>IFERROR(VLOOKUP("232-002300-000",B:AB,27+8,0),0)</f>
        <v>0</v>
      </c>
      <c r="AK2027">
        <f>IFERROR(VLOOKUP("232-002300-000",B:AB,28+8,0),0)</f>
        <v>0</v>
      </c>
      <c r="AL2027">
        <f>IFERROR(VLOOKUP("232-002300-000",B:AB,29+8,0),0)</f>
        <v>0</v>
      </c>
      <c r="AM2027">
        <f>IFERROR(VLOOKUP("232-002300-000",B:AB,30+8,0),0)</f>
        <v>0</v>
      </c>
      <c r="AN2027">
        <f>IFERROR(VLOOKUP("232-002300-000",B:AB,31+8,0),0)</f>
        <v>0</v>
      </c>
      <c r="AO2027">
        <f>SUN(INDIRECT(ADDRESS(2026,8)):INDIRECT(ADDRESS(2026,39)))</f>
        <v>0</v>
      </c>
    </row>
    <row r="2028" spans="1:41">
      <c r="H2028" t="s">
        <v>179</v>
      </c>
      <c r="J2028">
        <f>INDIRECT(ADDRESS(2028,9))+INDIRECT(ADDRESS(2026,10))-INDIRECT(ADDRESS(2027,10))</f>
        <v>0</v>
      </c>
      <c r="K2028">
        <f>INDIRECT(ADDRESS(2028,10))+INDIRECT(ADDRESS(2026,11))-INDIRECT(ADDRESS(2027,11))</f>
        <v>0</v>
      </c>
      <c r="L2028">
        <f>INDIRECT(ADDRESS(2028,11))+INDIRECT(ADDRESS(2026,12))-INDIRECT(ADDRESS(2027,12))</f>
        <v>0</v>
      </c>
      <c r="M2028">
        <f>INDIRECT(ADDRESS(2028,12))+INDIRECT(ADDRESS(2026,13))-INDIRECT(ADDRESS(2027,13))</f>
        <v>0</v>
      </c>
      <c r="N2028">
        <f>INDIRECT(ADDRESS(2028,13))+INDIRECT(ADDRESS(2026,14))-INDIRECT(ADDRESS(2027,14))</f>
        <v>0</v>
      </c>
      <c r="O2028">
        <f>INDIRECT(ADDRESS(2028,14))+INDIRECT(ADDRESS(2026,15))-INDIRECT(ADDRESS(2027,15))</f>
        <v>0</v>
      </c>
      <c r="P2028">
        <f>INDIRECT(ADDRESS(2028,15))+INDIRECT(ADDRESS(2026,16))-INDIRECT(ADDRESS(2027,16))</f>
        <v>0</v>
      </c>
      <c r="Q2028">
        <f>INDIRECT(ADDRESS(2028,16))+INDIRECT(ADDRESS(2026,17))-INDIRECT(ADDRESS(2027,17))</f>
        <v>0</v>
      </c>
      <c r="R2028">
        <f>INDIRECT(ADDRESS(2028,17))+INDIRECT(ADDRESS(2026,18))-INDIRECT(ADDRESS(2027,18))</f>
        <v>0</v>
      </c>
      <c r="S2028">
        <f>INDIRECT(ADDRESS(2028,18))+INDIRECT(ADDRESS(2026,19))-INDIRECT(ADDRESS(2027,19))</f>
        <v>0</v>
      </c>
      <c r="T2028">
        <f>INDIRECT(ADDRESS(2028,19))+INDIRECT(ADDRESS(2026,20))-INDIRECT(ADDRESS(2027,20))</f>
        <v>0</v>
      </c>
      <c r="U2028">
        <f>INDIRECT(ADDRESS(2028,20))+INDIRECT(ADDRESS(2026,21))-INDIRECT(ADDRESS(2027,21))</f>
        <v>0</v>
      </c>
      <c r="V2028">
        <f>INDIRECT(ADDRESS(2028,21))+INDIRECT(ADDRESS(2026,22))-INDIRECT(ADDRESS(2027,22))</f>
        <v>0</v>
      </c>
      <c r="W2028">
        <f>INDIRECT(ADDRESS(2028,22))+INDIRECT(ADDRESS(2026,23))-INDIRECT(ADDRESS(2027,23))</f>
        <v>0</v>
      </c>
      <c r="X2028">
        <f>INDIRECT(ADDRESS(2028,23))+INDIRECT(ADDRESS(2026,24))-INDIRECT(ADDRESS(2027,24))</f>
        <v>0</v>
      </c>
      <c r="Y2028">
        <f>INDIRECT(ADDRESS(2028,24))+INDIRECT(ADDRESS(2026,25))-INDIRECT(ADDRESS(2027,25))</f>
        <v>0</v>
      </c>
      <c r="Z2028">
        <f>INDIRECT(ADDRESS(2028,25))+INDIRECT(ADDRESS(2026,26))-INDIRECT(ADDRESS(2027,26))</f>
        <v>0</v>
      </c>
      <c r="AA2028">
        <f>INDIRECT(ADDRESS(2028,26))+INDIRECT(ADDRESS(2026,27))-INDIRECT(ADDRESS(2027,27))</f>
        <v>0</v>
      </c>
      <c r="AB2028">
        <f>INDIRECT(ADDRESS(2028,27))+INDIRECT(ADDRESS(2026,28))-INDIRECT(ADDRESS(2027,28))</f>
        <v>0</v>
      </c>
      <c r="AC2028">
        <f>INDIRECT(ADDRESS(2028,28))+INDIRECT(ADDRESS(2026,29))-INDIRECT(ADDRESS(2027,29))</f>
        <v>0</v>
      </c>
      <c r="AD2028">
        <f>INDIRECT(ADDRESS(2028,29))+INDIRECT(ADDRESS(2026,30))-INDIRECT(ADDRESS(2027,30))</f>
        <v>0</v>
      </c>
      <c r="AE2028">
        <f>INDIRECT(ADDRESS(2028,30))+INDIRECT(ADDRESS(2026,31))-INDIRECT(ADDRESS(2027,31))</f>
        <v>0</v>
      </c>
      <c r="AF2028">
        <f>INDIRECT(ADDRESS(2028,31))+INDIRECT(ADDRESS(2026,32))-INDIRECT(ADDRESS(2027,32))</f>
        <v>0</v>
      </c>
      <c r="AG2028">
        <f>INDIRECT(ADDRESS(2028,32))+INDIRECT(ADDRESS(2026,33))-INDIRECT(ADDRESS(2027,33))</f>
        <v>0</v>
      </c>
      <c r="AH2028">
        <f>INDIRECT(ADDRESS(2028,33))+INDIRECT(ADDRESS(2026,34))-INDIRECT(ADDRESS(2027,34))</f>
        <v>0</v>
      </c>
      <c r="AI2028">
        <f>INDIRECT(ADDRESS(2028,34))+INDIRECT(ADDRESS(2026,35))-INDIRECT(ADDRESS(2027,35))</f>
        <v>0</v>
      </c>
      <c r="AJ2028">
        <f>INDIRECT(ADDRESS(2028,35))+INDIRECT(ADDRESS(2026,36))-INDIRECT(ADDRESS(2027,36))</f>
        <v>0</v>
      </c>
      <c r="AK2028">
        <f>INDIRECT(ADDRESS(2028,36))+INDIRECT(ADDRESS(2026,37))-INDIRECT(ADDRESS(2027,37))</f>
        <v>0</v>
      </c>
      <c r="AL2028">
        <f>INDIRECT(ADDRESS(2028,37))+INDIRECT(ADDRESS(2026,38))-INDIRECT(ADDRESS(2027,38))</f>
        <v>0</v>
      </c>
      <c r="AM2028">
        <f>INDIRECT(ADDRESS(2028,38))+INDIRECT(ADDRESS(2026,39))-INDIRECT(ADDRESS(2027,39))</f>
        <v>0</v>
      </c>
      <c r="AN2028">
        <f>INDIRECT(ADDRESS(2028,39))+INDIRECT(ADDRESS(2026,40))-INDIRECT(ADDRESS(2027,40))</f>
        <v>0</v>
      </c>
      <c r="AO2028">
        <f>SUM(INDIRECT(ADDRESS(2027,8)):INDIRECT(ADDRESS(2027,39)))</f>
        <v>0</v>
      </c>
    </row>
    <row r="2029" spans="1:41">
      <c r="A2029" t="s">
        <v>185</v>
      </c>
      <c r="B2029" t="s">
        <v>878</v>
      </c>
      <c r="C2029" t="s">
        <v>890</v>
      </c>
      <c r="E2029">
        <v>1</v>
      </c>
      <c r="I2029" t="s">
        <v>177</v>
      </c>
    </row>
    <row r="2030" spans="1:41">
      <c r="I2030" t="s">
        <v>178</v>
      </c>
      <c r="J2030">
        <f>IFERROR(VLOOKUP("232-002300-000",B:AB,1+8,0),0)</f>
        <v>0</v>
      </c>
      <c r="K2030">
        <f>IFERROR(VLOOKUP("232-002300-000",B:AB,2+8,0),0)</f>
        <v>0</v>
      </c>
      <c r="L2030">
        <f>IFERROR(VLOOKUP("232-002300-000",B:AB,3+8,0),0)</f>
        <v>0</v>
      </c>
      <c r="M2030">
        <f>IFERROR(VLOOKUP("232-002300-000",B:AB,4+8,0),0)</f>
        <v>0</v>
      </c>
      <c r="N2030">
        <f>IFERROR(VLOOKUP("232-002300-000",B:AB,5+8,0),0)</f>
        <v>0</v>
      </c>
      <c r="O2030">
        <f>IFERROR(VLOOKUP("232-002300-000",B:AB,6+8,0),0)</f>
        <v>0</v>
      </c>
      <c r="P2030">
        <f>IFERROR(VLOOKUP("232-002300-000",B:AB,7+8,0),0)</f>
        <v>0</v>
      </c>
      <c r="Q2030">
        <f>IFERROR(VLOOKUP("232-002300-000",B:AB,8+8,0),0)</f>
        <v>0</v>
      </c>
      <c r="R2030">
        <f>IFERROR(VLOOKUP("232-002300-000",B:AB,9+8,0),0)</f>
        <v>0</v>
      </c>
      <c r="S2030">
        <f>IFERROR(VLOOKUP("232-002300-000",B:AB,10+8,0),0)</f>
        <v>0</v>
      </c>
      <c r="T2030">
        <f>IFERROR(VLOOKUP("232-002300-000",B:AB,11+8,0),0)</f>
        <v>0</v>
      </c>
      <c r="U2030">
        <f>IFERROR(VLOOKUP("232-002300-000",B:AB,12+8,0),0)</f>
        <v>0</v>
      </c>
      <c r="V2030">
        <f>IFERROR(VLOOKUP("232-002300-000",B:AB,13+8,0),0)</f>
        <v>0</v>
      </c>
      <c r="W2030">
        <f>IFERROR(VLOOKUP("232-002300-000",B:AB,14+8,0),0)</f>
        <v>0</v>
      </c>
      <c r="X2030">
        <f>IFERROR(VLOOKUP("232-002300-000",B:AB,15+8,0),0)</f>
        <v>0</v>
      </c>
      <c r="Y2030">
        <f>IFERROR(VLOOKUP("232-002300-000",B:AB,16+8,0),0)</f>
        <v>0</v>
      </c>
      <c r="Z2030">
        <f>IFERROR(VLOOKUP("232-002300-000",B:AB,17+8,0),0)</f>
        <v>0</v>
      </c>
      <c r="AA2030">
        <f>IFERROR(VLOOKUP("232-002300-000",B:AB,18+8,0),0)</f>
        <v>0</v>
      </c>
      <c r="AB2030">
        <f>IFERROR(VLOOKUP("232-002300-000",B:AB,19+8,0),0)</f>
        <v>0</v>
      </c>
      <c r="AC2030">
        <f>IFERROR(VLOOKUP("232-002300-000",B:AB,20+8,0),0)</f>
        <v>0</v>
      </c>
      <c r="AD2030">
        <f>IFERROR(VLOOKUP("232-002300-000",B:AB,21+8,0),0)</f>
        <v>0</v>
      </c>
      <c r="AE2030">
        <f>IFERROR(VLOOKUP("232-002300-000",B:AB,22+8,0),0)</f>
        <v>0</v>
      </c>
      <c r="AF2030">
        <f>IFERROR(VLOOKUP("232-002300-000",B:AB,23+8,0),0)</f>
        <v>0</v>
      </c>
      <c r="AG2030">
        <f>IFERROR(VLOOKUP("232-002300-000",B:AB,24+8,0),0)</f>
        <v>0</v>
      </c>
      <c r="AH2030">
        <f>IFERROR(VLOOKUP("232-002300-000",B:AB,25+8,0),0)</f>
        <v>0</v>
      </c>
      <c r="AI2030">
        <f>IFERROR(VLOOKUP("232-002300-000",B:AB,26+8,0),0)</f>
        <v>0</v>
      </c>
      <c r="AJ2030">
        <f>IFERROR(VLOOKUP("232-002300-000",B:AB,27+8,0),0)</f>
        <v>0</v>
      </c>
      <c r="AK2030">
        <f>IFERROR(VLOOKUP("232-002300-000",B:AB,28+8,0),0)</f>
        <v>0</v>
      </c>
      <c r="AL2030">
        <f>IFERROR(VLOOKUP("232-002300-000",B:AB,29+8,0),0)</f>
        <v>0</v>
      </c>
      <c r="AM2030">
        <f>IFERROR(VLOOKUP("232-002300-000",B:AB,30+8,0),0)</f>
        <v>0</v>
      </c>
      <c r="AN2030">
        <f>IFERROR(VLOOKUP("232-002300-000",B:AB,31+8,0),0)</f>
        <v>0</v>
      </c>
      <c r="AO2030">
        <f>SUN(INDIRECT(ADDRESS(2029,8)):INDIRECT(ADDRESS(2029,39)))</f>
        <v>0</v>
      </c>
    </row>
    <row r="2031" spans="1:41">
      <c r="H2031" t="s">
        <v>179</v>
      </c>
      <c r="J2031">
        <f>INDIRECT(ADDRESS(2031,9))+INDIRECT(ADDRESS(2029,10))-INDIRECT(ADDRESS(2030,10))</f>
        <v>0</v>
      </c>
      <c r="K2031">
        <f>INDIRECT(ADDRESS(2031,10))+INDIRECT(ADDRESS(2029,11))-INDIRECT(ADDRESS(2030,11))</f>
        <v>0</v>
      </c>
      <c r="L2031">
        <f>INDIRECT(ADDRESS(2031,11))+INDIRECT(ADDRESS(2029,12))-INDIRECT(ADDRESS(2030,12))</f>
        <v>0</v>
      </c>
      <c r="M2031">
        <f>INDIRECT(ADDRESS(2031,12))+INDIRECT(ADDRESS(2029,13))-INDIRECT(ADDRESS(2030,13))</f>
        <v>0</v>
      </c>
      <c r="N2031">
        <f>INDIRECT(ADDRESS(2031,13))+INDIRECT(ADDRESS(2029,14))-INDIRECT(ADDRESS(2030,14))</f>
        <v>0</v>
      </c>
      <c r="O2031">
        <f>INDIRECT(ADDRESS(2031,14))+INDIRECT(ADDRESS(2029,15))-INDIRECT(ADDRESS(2030,15))</f>
        <v>0</v>
      </c>
      <c r="P2031">
        <f>INDIRECT(ADDRESS(2031,15))+INDIRECT(ADDRESS(2029,16))-INDIRECT(ADDRESS(2030,16))</f>
        <v>0</v>
      </c>
      <c r="Q2031">
        <f>INDIRECT(ADDRESS(2031,16))+INDIRECT(ADDRESS(2029,17))-INDIRECT(ADDRESS(2030,17))</f>
        <v>0</v>
      </c>
      <c r="R2031">
        <f>INDIRECT(ADDRESS(2031,17))+INDIRECT(ADDRESS(2029,18))-INDIRECT(ADDRESS(2030,18))</f>
        <v>0</v>
      </c>
      <c r="S2031">
        <f>INDIRECT(ADDRESS(2031,18))+INDIRECT(ADDRESS(2029,19))-INDIRECT(ADDRESS(2030,19))</f>
        <v>0</v>
      </c>
      <c r="T2031">
        <f>INDIRECT(ADDRESS(2031,19))+INDIRECT(ADDRESS(2029,20))-INDIRECT(ADDRESS(2030,20))</f>
        <v>0</v>
      </c>
      <c r="U2031">
        <f>INDIRECT(ADDRESS(2031,20))+INDIRECT(ADDRESS(2029,21))-INDIRECT(ADDRESS(2030,21))</f>
        <v>0</v>
      </c>
      <c r="V2031">
        <f>INDIRECT(ADDRESS(2031,21))+INDIRECT(ADDRESS(2029,22))-INDIRECT(ADDRESS(2030,22))</f>
        <v>0</v>
      </c>
      <c r="W2031">
        <f>INDIRECT(ADDRESS(2031,22))+INDIRECT(ADDRESS(2029,23))-INDIRECT(ADDRESS(2030,23))</f>
        <v>0</v>
      </c>
      <c r="X2031">
        <f>INDIRECT(ADDRESS(2031,23))+INDIRECT(ADDRESS(2029,24))-INDIRECT(ADDRESS(2030,24))</f>
        <v>0</v>
      </c>
      <c r="Y2031">
        <f>INDIRECT(ADDRESS(2031,24))+INDIRECT(ADDRESS(2029,25))-INDIRECT(ADDRESS(2030,25))</f>
        <v>0</v>
      </c>
      <c r="Z2031">
        <f>INDIRECT(ADDRESS(2031,25))+INDIRECT(ADDRESS(2029,26))-INDIRECT(ADDRESS(2030,26))</f>
        <v>0</v>
      </c>
      <c r="AA2031">
        <f>INDIRECT(ADDRESS(2031,26))+INDIRECT(ADDRESS(2029,27))-INDIRECT(ADDRESS(2030,27))</f>
        <v>0</v>
      </c>
      <c r="AB2031">
        <f>INDIRECT(ADDRESS(2031,27))+INDIRECT(ADDRESS(2029,28))-INDIRECT(ADDRESS(2030,28))</f>
        <v>0</v>
      </c>
      <c r="AC2031">
        <f>INDIRECT(ADDRESS(2031,28))+INDIRECT(ADDRESS(2029,29))-INDIRECT(ADDRESS(2030,29))</f>
        <v>0</v>
      </c>
      <c r="AD2031">
        <f>INDIRECT(ADDRESS(2031,29))+INDIRECT(ADDRESS(2029,30))-INDIRECT(ADDRESS(2030,30))</f>
        <v>0</v>
      </c>
      <c r="AE2031">
        <f>INDIRECT(ADDRESS(2031,30))+INDIRECT(ADDRESS(2029,31))-INDIRECT(ADDRESS(2030,31))</f>
        <v>0</v>
      </c>
      <c r="AF2031">
        <f>INDIRECT(ADDRESS(2031,31))+INDIRECT(ADDRESS(2029,32))-INDIRECT(ADDRESS(2030,32))</f>
        <v>0</v>
      </c>
      <c r="AG2031">
        <f>INDIRECT(ADDRESS(2031,32))+INDIRECT(ADDRESS(2029,33))-INDIRECT(ADDRESS(2030,33))</f>
        <v>0</v>
      </c>
      <c r="AH2031">
        <f>INDIRECT(ADDRESS(2031,33))+INDIRECT(ADDRESS(2029,34))-INDIRECT(ADDRESS(2030,34))</f>
        <v>0</v>
      </c>
      <c r="AI2031">
        <f>INDIRECT(ADDRESS(2031,34))+INDIRECT(ADDRESS(2029,35))-INDIRECT(ADDRESS(2030,35))</f>
        <v>0</v>
      </c>
      <c r="AJ2031">
        <f>INDIRECT(ADDRESS(2031,35))+INDIRECT(ADDRESS(2029,36))-INDIRECT(ADDRESS(2030,36))</f>
        <v>0</v>
      </c>
      <c r="AK2031">
        <f>INDIRECT(ADDRESS(2031,36))+INDIRECT(ADDRESS(2029,37))-INDIRECT(ADDRESS(2030,37))</f>
        <v>0</v>
      </c>
      <c r="AL2031">
        <f>INDIRECT(ADDRESS(2031,37))+INDIRECT(ADDRESS(2029,38))-INDIRECT(ADDRESS(2030,38))</f>
        <v>0</v>
      </c>
      <c r="AM2031">
        <f>INDIRECT(ADDRESS(2031,38))+INDIRECT(ADDRESS(2029,39))-INDIRECT(ADDRESS(2030,39))</f>
        <v>0</v>
      </c>
      <c r="AN2031">
        <f>INDIRECT(ADDRESS(2031,39))+INDIRECT(ADDRESS(2029,40))-INDIRECT(ADDRESS(2030,40))</f>
        <v>0</v>
      </c>
      <c r="AO2031">
        <f>SUM(INDIRECT(ADDRESS(2030,8)):INDIRECT(ADDRESS(2030,39)))</f>
        <v>0</v>
      </c>
    </row>
    <row r="2032" spans="1:41">
      <c r="A2032" t="s">
        <v>185</v>
      </c>
      <c r="B2032" t="s">
        <v>883</v>
      </c>
      <c r="C2032" t="s">
        <v>891</v>
      </c>
      <c r="E2032">
        <v>1</v>
      </c>
      <c r="I2032" t="s">
        <v>177</v>
      </c>
    </row>
    <row r="2033" spans="1:41">
      <c r="I2033" t="s">
        <v>178</v>
      </c>
      <c r="J2033">
        <f>IFERROR(VLOOKUP("232-002300-000",B:AB,1+8,0),0)</f>
        <v>0</v>
      </c>
      <c r="K2033">
        <f>IFERROR(VLOOKUP("232-002300-000",B:AB,2+8,0),0)</f>
        <v>0</v>
      </c>
      <c r="L2033">
        <f>IFERROR(VLOOKUP("232-002300-000",B:AB,3+8,0),0)</f>
        <v>0</v>
      </c>
      <c r="M2033">
        <f>IFERROR(VLOOKUP("232-002300-000",B:AB,4+8,0),0)</f>
        <v>0</v>
      </c>
      <c r="N2033">
        <f>IFERROR(VLOOKUP("232-002300-000",B:AB,5+8,0),0)</f>
        <v>0</v>
      </c>
      <c r="O2033">
        <f>IFERROR(VLOOKUP("232-002300-000",B:AB,6+8,0),0)</f>
        <v>0</v>
      </c>
      <c r="P2033">
        <f>IFERROR(VLOOKUP("232-002300-000",B:AB,7+8,0),0)</f>
        <v>0</v>
      </c>
      <c r="Q2033">
        <f>IFERROR(VLOOKUP("232-002300-000",B:AB,8+8,0),0)</f>
        <v>0</v>
      </c>
      <c r="R2033">
        <f>IFERROR(VLOOKUP("232-002300-000",B:AB,9+8,0),0)</f>
        <v>0</v>
      </c>
      <c r="S2033">
        <f>IFERROR(VLOOKUP("232-002300-000",B:AB,10+8,0),0)</f>
        <v>0</v>
      </c>
      <c r="T2033">
        <f>IFERROR(VLOOKUP("232-002300-000",B:AB,11+8,0),0)</f>
        <v>0</v>
      </c>
      <c r="U2033">
        <f>IFERROR(VLOOKUP("232-002300-000",B:AB,12+8,0),0)</f>
        <v>0</v>
      </c>
      <c r="V2033">
        <f>IFERROR(VLOOKUP("232-002300-000",B:AB,13+8,0),0)</f>
        <v>0</v>
      </c>
      <c r="W2033">
        <f>IFERROR(VLOOKUP("232-002300-000",B:AB,14+8,0),0)</f>
        <v>0</v>
      </c>
      <c r="X2033">
        <f>IFERROR(VLOOKUP("232-002300-000",B:AB,15+8,0),0)</f>
        <v>0</v>
      </c>
      <c r="Y2033">
        <f>IFERROR(VLOOKUP("232-002300-000",B:AB,16+8,0),0)</f>
        <v>0</v>
      </c>
      <c r="Z2033">
        <f>IFERROR(VLOOKUP("232-002300-000",B:AB,17+8,0),0)</f>
        <v>0</v>
      </c>
      <c r="AA2033">
        <f>IFERROR(VLOOKUP("232-002300-000",B:AB,18+8,0),0)</f>
        <v>0</v>
      </c>
      <c r="AB2033">
        <f>IFERROR(VLOOKUP("232-002300-000",B:AB,19+8,0),0)</f>
        <v>0</v>
      </c>
      <c r="AC2033">
        <f>IFERROR(VLOOKUP("232-002300-000",B:AB,20+8,0),0)</f>
        <v>0</v>
      </c>
      <c r="AD2033">
        <f>IFERROR(VLOOKUP("232-002300-000",B:AB,21+8,0),0)</f>
        <v>0</v>
      </c>
      <c r="AE2033">
        <f>IFERROR(VLOOKUP("232-002300-000",B:AB,22+8,0),0)</f>
        <v>0</v>
      </c>
      <c r="AF2033">
        <f>IFERROR(VLOOKUP("232-002300-000",B:AB,23+8,0),0)</f>
        <v>0</v>
      </c>
      <c r="AG2033">
        <f>IFERROR(VLOOKUP("232-002300-000",B:AB,24+8,0),0)</f>
        <v>0</v>
      </c>
      <c r="AH2033">
        <f>IFERROR(VLOOKUP("232-002300-000",B:AB,25+8,0),0)</f>
        <v>0</v>
      </c>
      <c r="AI2033">
        <f>IFERROR(VLOOKUP("232-002300-000",B:AB,26+8,0),0)</f>
        <v>0</v>
      </c>
      <c r="AJ2033">
        <f>IFERROR(VLOOKUP("232-002300-000",B:AB,27+8,0),0)</f>
        <v>0</v>
      </c>
      <c r="AK2033">
        <f>IFERROR(VLOOKUP("232-002300-000",B:AB,28+8,0),0)</f>
        <v>0</v>
      </c>
      <c r="AL2033">
        <f>IFERROR(VLOOKUP("232-002300-000",B:AB,29+8,0),0)</f>
        <v>0</v>
      </c>
      <c r="AM2033">
        <f>IFERROR(VLOOKUP("232-002300-000",B:AB,30+8,0),0)</f>
        <v>0</v>
      </c>
      <c r="AN2033">
        <f>IFERROR(VLOOKUP("232-002300-000",B:AB,31+8,0),0)</f>
        <v>0</v>
      </c>
      <c r="AO2033">
        <f>SUN(INDIRECT(ADDRESS(2032,8)):INDIRECT(ADDRESS(2032,39)))</f>
        <v>0</v>
      </c>
    </row>
    <row r="2034" spans="1:41">
      <c r="H2034" t="s">
        <v>179</v>
      </c>
      <c r="J2034">
        <f>INDIRECT(ADDRESS(2034,9))+INDIRECT(ADDRESS(2032,10))-INDIRECT(ADDRESS(2033,10))</f>
        <v>0</v>
      </c>
      <c r="K2034">
        <f>INDIRECT(ADDRESS(2034,10))+INDIRECT(ADDRESS(2032,11))-INDIRECT(ADDRESS(2033,11))</f>
        <v>0</v>
      </c>
      <c r="L2034">
        <f>INDIRECT(ADDRESS(2034,11))+INDIRECT(ADDRESS(2032,12))-INDIRECT(ADDRESS(2033,12))</f>
        <v>0</v>
      </c>
      <c r="M2034">
        <f>INDIRECT(ADDRESS(2034,12))+INDIRECT(ADDRESS(2032,13))-INDIRECT(ADDRESS(2033,13))</f>
        <v>0</v>
      </c>
      <c r="N2034">
        <f>INDIRECT(ADDRESS(2034,13))+INDIRECT(ADDRESS(2032,14))-INDIRECT(ADDRESS(2033,14))</f>
        <v>0</v>
      </c>
      <c r="O2034">
        <f>INDIRECT(ADDRESS(2034,14))+INDIRECT(ADDRESS(2032,15))-INDIRECT(ADDRESS(2033,15))</f>
        <v>0</v>
      </c>
      <c r="P2034">
        <f>INDIRECT(ADDRESS(2034,15))+INDIRECT(ADDRESS(2032,16))-INDIRECT(ADDRESS(2033,16))</f>
        <v>0</v>
      </c>
      <c r="Q2034">
        <f>INDIRECT(ADDRESS(2034,16))+INDIRECT(ADDRESS(2032,17))-INDIRECT(ADDRESS(2033,17))</f>
        <v>0</v>
      </c>
      <c r="R2034">
        <f>INDIRECT(ADDRESS(2034,17))+INDIRECT(ADDRESS(2032,18))-INDIRECT(ADDRESS(2033,18))</f>
        <v>0</v>
      </c>
      <c r="S2034">
        <f>INDIRECT(ADDRESS(2034,18))+INDIRECT(ADDRESS(2032,19))-INDIRECT(ADDRESS(2033,19))</f>
        <v>0</v>
      </c>
      <c r="T2034">
        <f>INDIRECT(ADDRESS(2034,19))+INDIRECT(ADDRESS(2032,20))-INDIRECT(ADDRESS(2033,20))</f>
        <v>0</v>
      </c>
      <c r="U2034">
        <f>INDIRECT(ADDRESS(2034,20))+INDIRECT(ADDRESS(2032,21))-INDIRECT(ADDRESS(2033,21))</f>
        <v>0</v>
      </c>
      <c r="V2034">
        <f>INDIRECT(ADDRESS(2034,21))+INDIRECT(ADDRESS(2032,22))-INDIRECT(ADDRESS(2033,22))</f>
        <v>0</v>
      </c>
      <c r="W2034">
        <f>INDIRECT(ADDRESS(2034,22))+INDIRECT(ADDRESS(2032,23))-INDIRECT(ADDRESS(2033,23))</f>
        <v>0</v>
      </c>
      <c r="X2034">
        <f>INDIRECT(ADDRESS(2034,23))+INDIRECT(ADDRESS(2032,24))-INDIRECT(ADDRESS(2033,24))</f>
        <v>0</v>
      </c>
      <c r="Y2034">
        <f>INDIRECT(ADDRESS(2034,24))+INDIRECT(ADDRESS(2032,25))-INDIRECT(ADDRESS(2033,25))</f>
        <v>0</v>
      </c>
      <c r="Z2034">
        <f>INDIRECT(ADDRESS(2034,25))+INDIRECT(ADDRESS(2032,26))-INDIRECT(ADDRESS(2033,26))</f>
        <v>0</v>
      </c>
      <c r="AA2034">
        <f>INDIRECT(ADDRESS(2034,26))+INDIRECT(ADDRESS(2032,27))-INDIRECT(ADDRESS(2033,27))</f>
        <v>0</v>
      </c>
      <c r="AB2034">
        <f>INDIRECT(ADDRESS(2034,27))+INDIRECT(ADDRESS(2032,28))-INDIRECT(ADDRESS(2033,28))</f>
        <v>0</v>
      </c>
      <c r="AC2034">
        <f>INDIRECT(ADDRESS(2034,28))+INDIRECT(ADDRESS(2032,29))-INDIRECT(ADDRESS(2033,29))</f>
        <v>0</v>
      </c>
      <c r="AD2034">
        <f>INDIRECT(ADDRESS(2034,29))+INDIRECT(ADDRESS(2032,30))-INDIRECT(ADDRESS(2033,30))</f>
        <v>0</v>
      </c>
      <c r="AE2034">
        <f>INDIRECT(ADDRESS(2034,30))+INDIRECT(ADDRESS(2032,31))-INDIRECT(ADDRESS(2033,31))</f>
        <v>0</v>
      </c>
      <c r="AF2034">
        <f>INDIRECT(ADDRESS(2034,31))+INDIRECT(ADDRESS(2032,32))-INDIRECT(ADDRESS(2033,32))</f>
        <v>0</v>
      </c>
      <c r="AG2034">
        <f>INDIRECT(ADDRESS(2034,32))+INDIRECT(ADDRESS(2032,33))-INDIRECT(ADDRESS(2033,33))</f>
        <v>0</v>
      </c>
      <c r="AH2034">
        <f>INDIRECT(ADDRESS(2034,33))+INDIRECT(ADDRESS(2032,34))-INDIRECT(ADDRESS(2033,34))</f>
        <v>0</v>
      </c>
      <c r="AI2034">
        <f>INDIRECT(ADDRESS(2034,34))+INDIRECT(ADDRESS(2032,35))-INDIRECT(ADDRESS(2033,35))</f>
        <v>0</v>
      </c>
      <c r="AJ2034">
        <f>INDIRECT(ADDRESS(2034,35))+INDIRECT(ADDRESS(2032,36))-INDIRECT(ADDRESS(2033,36))</f>
        <v>0</v>
      </c>
      <c r="AK2034">
        <f>INDIRECT(ADDRESS(2034,36))+INDIRECT(ADDRESS(2032,37))-INDIRECT(ADDRESS(2033,37))</f>
        <v>0</v>
      </c>
      <c r="AL2034">
        <f>INDIRECT(ADDRESS(2034,37))+INDIRECT(ADDRESS(2032,38))-INDIRECT(ADDRESS(2033,38))</f>
        <v>0</v>
      </c>
      <c r="AM2034">
        <f>INDIRECT(ADDRESS(2034,38))+INDIRECT(ADDRESS(2032,39))-INDIRECT(ADDRESS(2033,39))</f>
        <v>0</v>
      </c>
      <c r="AN2034">
        <f>INDIRECT(ADDRESS(2034,39))+INDIRECT(ADDRESS(2032,40))-INDIRECT(ADDRESS(2033,40))</f>
        <v>0</v>
      </c>
      <c r="AO2034">
        <f>SUM(INDIRECT(ADDRESS(2033,8)):INDIRECT(ADDRESS(2033,39)))</f>
        <v>0</v>
      </c>
    </row>
    <row r="2035" spans="1:41">
      <c r="A2035" t="s">
        <v>185</v>
      </c>
      <c r="B2035" t="s">
        <v>876</v>
      </c>
      <c r="C2035" t="s">
        <v>892</v>
      </c>
      <c r="E2035">
        <v>1</v>
      </c>
      <c r="I2035" t="s">
        <v>177</v>
      </c>
    </row>
    <row r="2036" spans="1:41">
      <c r="I2036" t="s">
        <v>178</v>
      </c>
      <c r="J2036">
        <f>IFERROR(VLOOKUP("232-002300-000",B:AB,1+8,0),0)</f>
        <v>0</v>
      </c>
      <c r="K2036">
        <f>IFERROR(VLOOKUP("232-002300-000",B:AB,2+8,0),0)</f>
        <v>0</v>
      </c>
      <c r="L2036">
        <f>IFERROR(VLOOKUP("232-002300-000",B:AB,3+8,0),0)</f>
        <v>0</v>
      </c>
      <c r="M2036">
        <f>IFERROR(VLOOKUP("232-002300-000",B:AB,4+8,0),0)</f>
        <v>0</v>
      </c>
      <c r="N2036">
        <f>IFERROR(VLOOKUP("232-002300-000",B:AB,5+8,0),0)</f>
        <v>0</v>
      </c>
      <c r="O2036">
        <f>IFERROR(VLOOKUP("232-002300-000",B:AB,6+8,0),0)</f>
        <v>0</v>
      </c>
      <c r="P2036">
        <f>IFERROR(VLOOKUP("232-002300-000",B:AB,7+8,0),0)</f>
        <v>0</v>
      </c>
      <c r="Q2036">
        <f>IFERROR(VLOOKUP("232-002300-000",B:AB,8+8,0),0)</f>
        <v>0</v>
      </c>
      <c r="R2036">
        <f>IFERROR(VLOOKUP("232-002300-000",B:AB,9+8,0),0)</f>
        <v>0</v>
      </c>
      <c r="S2036">
        <f>IFERROR(VLOOKUP("232-002300-000",B:AB,10+8,0),0)</f>
        <v>0</v>
      </c>
      <c r="T2036">
        <f>IFERROR(VLOOKUP("232-002300-000",B:AB,11+8,0),0)</f>
        <v>0</v>
      </c>
      <c r="U2036">
        <f>IFERROR(VLOOKUP("232-002300-000",B:AB,12+8,0),0)</f>
        <v>0</v>
      </c>
      <c r="V2036">
        <f>IFERROR(VLOOKUP("232-002300-000",B:AB,13+8,0),0)</f>
        <v>0</v>
      </c>
      <c r="W2036">
        <f>IFERROR(VLOOKUP("232-002300-000",B:AB,14+8,0),0)</f>
        <v>0</v>
      </c>
      <c r="X2036">
        <f>IFERROR(VLOOKUP("232-002300-000",B:AB,15+8,0),0)</f>
        <v>0</v>
      </c>
      <c r="Y2036">
        <f>IFERROR(VLOOKUP("232-002300-000",B:AB,16+8,0),0)</f>
        <v>0</v>
      </c>
      <c r="Z2036">
        <f>IFERROR(VLOOKUP("232-002300-000",B:AB,17+8,0),0)</f>
        <v>0</v>
      </c>
      <c r="AA2036">
        <f>IFERROR(VLOOKUP("232-002300-000",B:AB,18+8,0),0)</f>
        <v>0</v>
      </c>
      <c r="AB2036">
        <f>IFERROR(VLOOKUP("232-002300-000",B:AB,19+8,0),0)</f>
        <v>0</v>
      </c>
      <c r="AC2036">
        <f>IFERROR(VLOOKUP("232-002300-000",B:AB,20+8,0),0)</f>
        <v>0</v>
      </c>
      <c r="AD2036">
        <f>IFERROR(VLOOKUP("232-002300-000",B:AB,21+8,0),0)</f>
        <v>0</v>
      </c>
      <c r="AE2036">
        <f>IFERROR(VLOOKUP("232-002300-000",B:AB,22+8,0),0)</f>
        <v>0</v>
      </c>
      <c r="AF2036">
        <f>IFERROR(VLOOKUP("232-002300-000",B:AB,23+8,0),0)</f>
        <v>0</v>
      </c>
      <c r="AG2036">
        <f>IFERROR(VLOOKUP("232-002300-000",B:AB,24+8,0),0)</f>
        <v>0</v>
      </c>
      <c r="AH2036">
        <f>IFERROR(VLOOKUP("232-002300-000",B:AB,25+8,0),0)</f>
        <v>0</v>
      </c>
      <c r="AI2036">
        <f>IFERROR(VLOOKUP("232-002300-000",B:AB,26+8,0),0)</f>
        <v>0</v>
      </c>
      <c r="AJ2036">
        <f>IFERROR(VLOOKUP("232-002300-000",B:AB,27+8,0),0)</f>
        <v>0</v>
      </c>
      <c r="AK2036">
        <f>IFERROR(VLOOKUP("232-002300-000",B:AB,28+8,0),0)</f>
        <v>0</v>
      </c>
      <c r="AL2036">
        <f>IFERROR(VLOOKUP("232-002300-000",B:AB,29+8,0),0)</f>
        <v>0</v>
      </c>
      <c r="AM2036">
        <f>IFERROR(VLOOKUP("232-002300-000",B:AB,30+8,0),0)</f>
        <v>0</v>
      </c>
      <c r="AN2036">
        <f>IFERROR(VLOOKUP("232-002300-000",B:AB,31+8,0),0)</f>
        <v>0</v>
      </c>
      <c r="AO2036">
        <f>SUN(INDIRECT(ADDRESS(2035,8)):INDIRECT(ADDRESS(2035,39)))</f>
        <v>0</v>
      </c>
    </row>
    <row r="2037" spans="1:41">
      <c r="H2037" t="s">
        <v>179</v>
      </c>
      <c r="J2037">
        <f>INDIRECT(ADDRESS(2037,9))+INDIRECT(ADDRESS(2035,10))-INDIRECT(ADDRESS(2036,10))</f>
        <v>0</v>
      </c>
      <c r="K2037">
        <f>INDIRECT(ADDRESS(2037,10))+INDIRECT(ADDRESS(2035,11))-INDIRECT(ADDRESS(2036,11))</f>
        <v>0</v>
      </c>
      <c r="L2037">
        <f>INDIRECT(ADDRESS(2037,11))+INDIRECT(ADDRESS(2035,12))-INDIRECT(ADDRESS(2036,12))</f>
        <v>0</v>
      </c>
      <c r="M2037">
        <f>INDIRECT(ADDRESS(2037,12))+INDIRECT(ADDRESS(2035,13))-INDIRECT(ADDRESS(2036,13))</f>
        <v>0</v>
      </c>
      <c r="N2037">
        <f>INDIRECT(ADDRESS(2037,13))+INDIRECT(ADDRESS(2035,14))-INDIRECT(ADDRESS(2036,14))</f>
        <v>0</v>
      </c>
      <c r="O2037">
        <f>INDIRECT(ADDRESS(2037,14))+INDIRECT(ADDRESS(2035,15))-INDIRECT(ADDRESS(2036,15))</f>
        <v>0</v>
      </c>
      <c r="P2037">
        <f>INDIRECT(ADDRESS(2037,15))+INDIRECT(ADDRESS(2035,16))-INDIRECT(ADDRESS(2036,16))</f>
        <v>0</v>
      </c>
      <c r="Q2037">
        <f>INDIRECT(ADDRESS(2037,16))+INDIRECT(ADDRESS(2035,17))-INDIRECT(ADDRESS(2036,17))</f>
        <v>0</v>
      </c>
      <c r="R2037">
        <f>INDIRECT(ADDRESS(2037,17))+INDIRECT(ADDRESS(2035,18))-INDIRECT(ADDRESS(2036,18))</f>
        <v>0</v>
      </c>
      <c r="S2037">
        <f>INDIRECT(ADDRESS(2037,18))+INDIRECT(ADDRESS(2035,19))-INDIRECT(ADDRESS(2036,19))</f>
        <v>0</v>
      </c>
      <c r="T2037">
        <f>INDIRECT(ADDRESS(2037,19))+INDIRECT(ADDRESS(2035,20))-INDIRECT(ADDRESS(2036,20))</f>
        <v>0</v>
      </c>
      <c r="U2037">
        <f>INDIRECT(ADDRESS(2037,20))+INDIRECT(ADDRESS(2035,21))-INDIRECT(ADDRESS(2036,21))</f>
        <v>0</v>
      </c>
      <c r="V2037">
        <f>INDIRECT(ADDRESS(2037,21))+INDIRECT(ADDRESS(2035,22))-INDIRECT(ADDRESS(2036,22))</f>
        <v>0</v>
      </c>
      <c r="W2037">
        <f>INDIRECT(ADDRESS(2037,22))+INDIRECT(ADDRESS(2035,23))-INDIRECT(ADDRESS(2036,23))</f>
        <v>0</v>
      </c>
      <c r="X2037">
        <f>INDIRECT(ADDRESS(2037,23))+INDIRECT(ADDRESS(2035,24))-INDIRECT(ADDRESS(2036,24))</f>
        <v>0</v>
      </c>
      <c r="Y2037">
        <f>INDIRECT(ADDRESS(2037,24))+INDIRECT(ADDRESS(2035,25))-INDIRECT(ADDRESS(2036,25))</f>
        <v>0</v>
      </c>
      <c r="Z2037">
        <f>INDIRECT(ADDRESS(2037,25))+INDIRECT(ADDRESS(2035,26))-INDIRECT(ADDRESS(2036,26))</f>
        <v>0</v>
      </c>
      <c r="AA2037">
        <f>INDIRECT(ADDRESS(2037,26))+INDIRECT(ADDRESS(2035,27))-INDIRECT(ADDRESS(2036,27))</f>
        <v>0</v>
      </c>
      <c r="AB2037">
        <f>INDIRECT(ADDRESS(2037,27))+INDIRECT(ADDRESS(2035,28))-INDIRECT(ADDRESS(2036,28))</f>
        <v>0</v>
      </c>
      <c r="AC2037">
        <f>INDIRECT(ADDRESS(2037,28))+INDIRECT(ADDRESS(2035,29))-INDIRECT(ADDRESS(2036,29))</f>
        <v>0</v>
      </c>
      <c r="AD2037">
        <f>INDIRECT(ADDRESS(2037,29))+INDIRECT(ADDRESS(2035,30))-INDIRECT(ADDRESS(2036,30))</f>
        <v>0</v>
      </c>
      <c r="AE2037">
        <f>INDIRECT(ADDRESS(2037,30))+INDIRECT(ADDRESS(2035,31))-INDIRECT(ADDRESS(2036,31))</f>
        <v>0</v>
      </c>
      <c r="AF2037">
        <f>INDIRECT(ADDRESS(2037,31))+INDIRECT(ADDRESS(2035,32))-INDIRECT(ADDRESS(2036,32))</f>
        <v>0</v>
      </c>
      <c r="AG2037">
        <f>INDIRECT(ADDRESS(2037,32))+INDIRECT(ADDRESS(2035,33))-INDIRECT(ADDRESS(2036,33))</f>
        <v>0</v>
      </c>
      <c r="AH2037">
        <f>INDIRECT(ADDRESS(2037,33))+INDIRECT(ADDRESS(2035,34))-INDIRECT(ADDRESS(2036,34))</f>
        <v>0</v>
      </c>
      <c r="AI2037">
        <f>INDIRECT(ADDRESS(2037,34))+INDIRECT(ADDRESS(2035,35))-INDIRECT(ADDRESS(2036,35))</f>
        <v>0</v>
      </c>
      <c r="AJ2037">
        <f>INDIRECT(ADDRESS(2037,35))+INDIRECT(ADDRESS(2035,36))-INDIRECT(ADDRESS(2036,36))</f>
        <v>0</v>
      </c>
      <c r="AK2037">
        <f>INDIRECT(ADDRESS(2037,36))+INDIRECT(ADDRESS(2035,37))-INDIRECT(ADDRESS(2036,37))</f>
        <v>0</v>
      </c>
      <c r="AL2037">
        <f>INDIRECT(ADDRESS(2037,37))+INDIRECT(ADDRESS(2035,38))-INDIRECT(ADDRESS(2036,38))</f>
        <v>0</v>
      </c>
      <c r="AM2037">
        <f>INDIRECT(ADDRESS(2037,38))+INDIRECT(ADDRESS(2035,39))-INDIRECT(ADDRESS(2036,39))</f>
        <v>0</v>
      </c>
      <c r="AN2037">
        <f>INDIRECT(ADDRESS(2037,39))+INDIRECT(ADDRESS(2035,40))-INDIRECT(ADDRESS(2036,40))</f>
        <v>0</v>
      </c>
      <c r="AO2037">
        <f>SUM(INDIRECT(ADDRESS(2036,8)):INDIRECT(ADDRESS(2036,39)))</f>
        <v>0</v>
      </c>
    </row>
    <row r="2038" spans="1:41">
      <c r="A2038" t="s">
        <v>185</v>
      </c>
      <c r="B2038" t="s">
        <v>893</v>
      </c>
      <c r="C2038" t="s">
        <v>894</v>
      </c>
      <c r="E2038">
        <v>2</v>
      </c>
      <c r="I2038" t="s">
        <v>177</v>
      </c>
    </row>
    <row r="2039" spans="1:41">
      <c r="I2039" t="s">
        <v>178</v>
      </c>
      <c r="J2039">
        <f>IFERROR(VLOOKUP("232-002300-000",B:AB,1+8,0),0)</f>
        <v>0</v>
      </c>
      <c r="K2039">
        <f>IFERROR(VLOOKUP("232-002300-000",B:AB,2+8,0),0)</f>
        <v>0</v>
      </c>
      <c r="L2039">
        <f>IFERROR(VLOOKUP("232-002300-000",B:AB,3+8,0),0)</f>
        <v>0</v>
      </c>
      <c r="M2039">
        <f>IFERROR(VLOOKUP("232-002300-000",B:AB,4+8,0),0)</f>
        <v>0</v>
      </c>
      <c r="N2039">
        <f>IFERROR(VLOOKUP("232-002300-000",B:AB,5+8,0),0)</f>
        <v>0</v>
      </c>
      <c r="O2039">
        <f>IFERROR(VLOOKUP("232-002300-000",B:AB,6+8,0),0)</f>
        <v>0</v>
      </c>
      <c r="P2039">
        <f>IFERROR(VLOOKUP("232-002300-000",B:AB,7+8,0),0)</f>
        <v>0</v>
      </c>
      <c r="Q2039">
        <f>IFERROR(VLOOKUP("232-002300-000",B:AB,8+8,0),0)</f>
        <v>0</v>
      </c>
      <c r="R2039">
        <f>IFERROR(VLOOKUP("232-002300-000",B:AB,9+8,0),0)</f>
        <v>0</v>
      </c>
      <c r="S2039">
        <f>IFERROR(VLOOKUP("232-002300-000",B:AB,10+8,0),0)</f>
        <v>0</v>
      </c>
      <c r="T2039">
        <f>IFERROR(VLOOKUP("232-002300-000",B:AB,11+8,0),0)</f>
        <v>0</v>
      </c>
      <c r="U2039">
        <f>IFERROR(VLOOKUP("232-002300-000",B:AB,12+8,0),0)</f>
        <v>0</v>
      </c>
      <c r="V2039">
        <f>IFERROR(VLOOKUP("232-002300-000",B:AB,13+8,0),0)</f>
        <v>0</v>
      </c>
      <c r="W2039">
        <f>IFERROR(VLOOKUP("232-002300-000",B:AB,14+8,0),0)</f>
        <v>0</v>
      </c>
      <c r="X2039">
        <f>IFERROR(VLOOKUP("232-002300-000",B:AB,15+8,0),0)</f>
        <v>0</v>
      </c>
      <c r="Y2039">
        <f>IFERROR(VLOOKUP("232-002300-000",B:AB,16+8,0),0)</f>
        <v>0</v>
      </c>
      <c r="Z2039">
        <f>IFERROR(VLOOKUP("232-002300-000",B:AB,17+8,0),0)</f>
        <v>0</v>
      </c>
      <c r="AA2039">
        <f>IFERROR(VLOOKUP("232-002300-000",B:AB,18+8,0),0)</f>
        <v>0</v>
      </c>
      <c r="AB2039">
        <f>IFERROR(VLOOKUP("232-002300-000",B:AB,19+8,0),0)</f>
        <v>0</v>
      </c>
      <c r="AC2039">
        <f>IFERROR(VLOOKUP("232-002300-000",B:AB,20+8,0),0)</f>
        <v>0</v>
      </c>
      <c r="AD2039">
        <f>IFERROR(VLOOKUP("232-002300-000",B:AB,21+8,0),0)</f>
        <v>0</v>
      </c>
      <c r="AE2039">
        <f>IFERROR(VLOOKUP("232-002300-000",B:AB,22+8,0),0)</f>
        <v>0</v>
      </c>
      <c r="AF2039">
        <f>IFERROR(VLOOKUP("232-002300-000",B:AB,23+8,0),0)</f>
        <v>0</v>
      </c>
      <c r="AG2039">
        <f>IFERROR(VLOOKUP("232-002300-000",B:AB,24+8,0),0)</f>
        <v>0</v>
      </c>
      <c r="AH2039">
        <f>IFERROR(VLOOKUP("232-002300-000",B:AB,25+8,0),0)</f>
        <v>0</v>
      </c>
      <c r="AI2039">
        <f>IFERROR(VLOOKUP("232-002300-000",B:AB,26+8,0),0)</f>
        <v>0</v>
      </c>
      <c r="AJ2039">
        <f>IFERROR(VLOOKUP("232-002300-000",B:AB,27+8,0),0)</f>
        <v>0</v>
      </c>
      <c r="AK2039">
        <f>IFERROR(VLOOKUP("232-002300-000",B:AB,28+8,0),0)</f>
        <v>0</v>
      </c>
      <c r="AL2039">
        <f>IFERROR(VLOOKUP("232-002300-000",B:AB,29+8,0),0)</f>
        <v>0</v>
      </c>
      <c r="AM2039">
        <f>IFERROR(VLOOKUP("232-002300-000",B:AB,30+8,0),0)</f>
        <v>0</v>
      </c>
      <c r="AN2039">
        <f>IFERROR(VLOOKUP("232-002300-000",B:AB,31+8,0),0)</f>
        <v>0</v>
      </c>
      <c r="AO2039">
        <f>SUN(INDIRECT(ADDRESS(2038,8)):INDIRECT(ADDRESS(2038,39)))</f>
        <v>0</v>
      </c>
    </row>
    <row r="2040" spans="1:41">
      <c r="H2040" t="s">
        <v>179</v>
      </c>
      <c r="J2040">
        <f>INDIRECT(ADDRESS(2040,9))+INDIRECT(ADDRESS(2038,10))-INDIRECT(ADDRESS(2039,10))</f>
        <v>0</v>
      </c>
      <c r="K2040">
        <f>INDIRECT(ADDRESS(2040,10))+INDIRECT(ADDRESS(2038,11))-INDIRECT(ADDRESS(2039,11))</f>
        <v>0</v>
      </c>
      <c r="L2040">
        <f>INDIRECT(ADDRESS(2040,11))+INDIRECT(ADDRESS(2038,12))-INDIRECT(ADDRESS(2039,12))</f>
        <v>0</v>
      </c>
      <c r="M2040">
        <f>INDIRECT(ADDRESS(2040,12))+INDIRECT(ADDRESS(2038,13))-INDIRECT(ADDRESS(2039,13))</f>
        <v>0</v>
      </c>
      <c r="N2040">
        <f>INDIRECT(ADDRESS(2040,13))+INDIRECT(ADDRESS(2038,14))-INDIRECT(ADDRESS(2039,14))</f>
        <v>0</v>
      </c>
      <c r="O2040">
        <f>INDIRECT(ADDRESS(2040,14))+INDIRECT(ADDRESS(2038,15))-INDIRECT(ADDRESS(2039,15))</f>
        <v>0</v>
      </c>
      <c r="P2040">
        <f>INDIRECT(ADDRESS(2040,15))+INDIRECT(ADDRESS(2038,16))-INDIRECT(ADDRESS(2039,16))</f>
        <v>0</v>
      </c>
      <c r="Q2040">
        <f>INDIRECT(ADDRESS(2040,16))+INDIRECT(ADDRESS(2038,17))-INDIRECT(ADDRESS(2039,17))</f>
        <v>0</v>
      </c>
      <c r="R2040">
        <f>INDIRECT(ADDRESS(2040,17))+INDIRECT(ADDRESS(2038,18))-INDIRECT(ADDRESS(2039,18))</f>
        <v>0</v>
      </c>
      <c r="S2040">
        <f>INDIRECT(ADDRESS(2040,18))+INDIRECT(ADDRESS(2038,19))-INDIRECT(ADDRESS(2039,19))</f>
        <v>0</v>
      </c>
      <c r="T2040">
        <f>INDIRECT(ADDRESS(2040,19))+INDIRECT(ADDRESS(2038,20))-INDIRECT(ADDRESS(2039,20))</f>
        <v>0</v>
      </c>
      <c r="U2040">
        <f>INDIRECT(ADDRESS(2040,20))+INDIRECT(ADDRESS(2038,21))-INDIRECT(ADDRESS(2039,21))</f>
        <v>0</v>
      </c>
      <c r="V2040">
        <f>INDIRECT(ADDRESS(2040,21))+INDIRECT(ADDRESS(2038,22))-INDIRECT(ADDRESS(2039,22))</f>
        <v>0</v>
      </c>
      <c r="W2040">
        <f>INDIRECT(ADDRESS(2040,22))+INDIRECT(ADDRESS(2038,23))-INDIRECT(ADDRESS(2039,23))</f>
        <v>0</v>
      </c>
      <c r="X2040">
        <f>INDIRECT(ADDRESS(2040,23))+INDIRECT(ADDRESS(2038,24))-INDIRECT(ADDRESS(2039,24))</f>
        <v>0</v>
      </c>
      <c r="Y2040">
        <f>INDIRECT(ADDRESS(2040,24))+INDIRECT(ADDRESS(2038,25))-INDIRECT(ADDRESS(2039,25))</f>
        <v>0</v>
      </c>
      <c r="Z2040">
        <f>INDIRECT(ADDRESS(2040,25))+INDIRECT(ADDRESS(2038,26))-INDIRECT(ADDRESS(2039,26))</f>
        <v>0</v>
      </c>
      <c r="AA2040">
        <f>INDIRECT(ADDRESS(2040,26))+INDIRECT(ADDRESS(2038,27))-INDIRECT(ADDRESS(2039,27))</f>
        <v>0</v>
      </c>
      <c r="AB2040">
        <f>INDIRECT(ADDRESS(2040,27))+INDIRECT(ADDRESS(2038,28))-INDIRECT(ADDRESS(2039,28))</f>
        <v>0</v>
      </c>
      <c r="AC2040">
        <f>INDIRECT(ADDRESS(2040,28))+INDIRECT(ADDRESS(2038,29))-INDIRECT(ADDRESS(2039,29))</f>
        <v>0</v>
      </c>
      <c r="AD2040">
        <f>INDIRECT(ADDRESS(2040,29))+INDIRECT(ADDRESS(2038,30))-INDIRECT(ADDRESS(2039,30))</f>
        <v>0</v>
      </c>
      <c r="AE2040">
        <f>INDIRECT(ADDRESS(2040,30))+INDIRECT(ADDRESS(2038,31))-INDIRECT(ADDRESS(2039,31))</f>
        <v>0</v>
      </c>
      <c r="AF2040">
        <f>INDIRECT(ADDRESS(2040,31))+INDIRECT(ADDRESS(2038,32))-INDIRECT(ADDRESS(2039,32))</f>
        <v>0</v>
      </c>
      <c r="AG2040">
        <f>INDIRECT(ADDRESS(2040,32))+INDIRECT(ADDRESS(2038,33))-INDIRECT(ADDRESS(2039,33))</f>
        <v>0</v>
      </c>
      <c r="AH2040">
        <f>INDIRECT(ADDRESS(2040,33))+INDIRECT(ADDRESS(2038,34))-INDIRECT(ADDRESS(2039,34))</f>
        <v>0</v>
      </c>
      <c r="AI2040">
        <f>INDIRECT(ADDRESS(2040,34))+INDIRECT(ADDRESS(2038,35))-INDIRECT(ADDRESS(2039,35))</f>
        <v>0</v>
      </c>
      <c r="AJ2040">
        <f>INDIRECT(ADDRESS(2040,35))+INDIRECT(ADDRESS(2038,36))-INDIRECT(ADDRESS(2039,36))</f>
        <v>0</v>
      </c>
      <c r="AK2040">
        <f>INDIRECT(ADDRESS(2040,36))+INDIRECT(ADDRESS(2038,37))-INDIRECT(ADDRESS(2039,37))</f>
        <v>0</v>
      </c>
      <c r="AL2040">
        <f>INDIRECT(ADDRESS(2040,37))+INDIRECT(ADDRESS(2038,38))-INDIRECT(ADDRESS(2039,38))</f>
        <v>0</v>
      </c>
      <c r="AM2040">
        <f>INDIRECT(ADDRESS(2040,38))+INDIRECT(ADDRESS(2038,39))-INDIRECT(ADDRESS(2039,39))</f>
        <v>0</v>
      </c>
      <c r="AN2040">
        <f>INDIRECT(ADDRESS(2040,39))+INDIRECT(ADDRESS(2038,40))-INDIRECT(ADDRESS(2039,40))</f>
        <v>0</v>
      </c>
      <c r="AO2040">
        <f>SUM(INDIRECT(ADDRESS(2039,8)):INDIRECT(ADDRESS(2039,39)))</f>
        <v>0</v>
      </c>
    </row>
    <row r="2041" spans="1:41">
      <c r="A2041" t="s">
        <v>185</v>
      </c>
      <c r="B2041" t="s">
        <v>880</v>
      </c>
      <c r="C2041" t="s">
        <v>895</v>
      </c>
      <c r="E2041">
        <v>2</v>
      </c>
      <c r="I2041" t="s">
        <v>177</v>
      </c>
    </row>
    <row r="2042" spans="1:41">
      <c r="I2042" t="s">
        <v>178</v>
      </c>
      <c r="J2042">
        <f>IFERROR(VLOOKUP("232-002300-000",B:AB,1+8,0),0)</f>
        <v>0</v>
      </c>
      <c r="K2042">
        <f>IFERROR(VLOOKUP("232-002300-000",B:AB,2+8,0),0)</f>
        <v>0</v>
      </c>
      <c r="L2042">
        <f>IFERROR(VLOOKUP("232-002300-000",B:AB,3+8,0),0)</f>
        <v>0</v>
      </c>
      <c r="M2042">
        <f>IFERROR(VLOOKUP("232-002300-000",B:AB,4+8,0),0)</f>
        <v>0</v>
      </c>
      <c r="N2042">
        <f>IFERROR(VLOOKUP("232-002300-000",B:AB,5+8,0),0)</f>
        <v>0</v>
      </c>
      <c r="O2042">
        <f>IFERROR(VLOOKUP("232-002300-000",B:AB,6+8,0),0)</f>
        <v>0</v>
      </c>
      <c r="P2042">
        <f>IFERROR(VLOOKUP("232-002300-000",B:AB,7+8,0),0)</f>
        <v>0</v>
      </c>
      <c r="Q2042">
        <f>IFERROR(VLOOKUP("232-002300-000",B:AB,8+8,0),0)</f>
        <v>0</v>
      </c>
      <c r="R2042">
        <f>IFERROR(VLOOKUP("232-002300-000",B:AB,9+8,0),0)</f>
        <v>0</v>
      </c>
      <c r="S2042">
        <f>IFERROR(VLOOKUP("232-002300-000",B:AB,10+8,0),0)</f>
        <v>0</v>
      </c>
      <c r="T2042">
        <f>IFERROR(VLOOKUP("232-002300-000",B:AB,11+8,0),0)</f>
        <v>0</v>
      </c>
      <c r="U2042">
        <f>IFERROR(VLOOKUP("232-002300-000",B:AB,12+8,0),0)</f>
        <v>0</v>
      </c>
      <c r="V2042">
        <f>IFERROR(VLOOKUP("232-002300-000",B:AB,13+8,0),0)</f>
        <v>0</v>
      </c>
      <c r="W2042">
        <f>IFERROR(VLOOKUP("232-002300-000",B:AB,14+8,0),0)</f>
        <v>0</v>
      </c>
      <c r="X2042">
        <f>IFERROR(VLOOKUP("232-002300-000",B:AB,15+8,0),0)</f>
        <v>0</v>
      </c>
      <c r="Y2042">
        <f>IFERROR(VLOOKUP("232-002300-000",B:AB,16+8,0),0)</f>
        <v>0</v>
      </c>
      <c r="Z2042">
        <f>IFERROR(VLOOKUP("232-002300-000",B:AB,17+8,0),0)</f>
        <v>0</v>
      </c>
      <c r="AA2042">
        <f>IFERROR(VLOOKUP("232-002300-000",B:AB,18+8,0),0)</f>
        <v>0</v>
      </c>
      <c r="AB2042">
        <f>IFERROR(VLOOKUP("232-002300-000",B:AB,19+8,0),0)</f>
        <v>0</v>
      </c>
      <c r="AC2042">
        <f>IFERROR(VLOOKUP("232-002300-000",B:AB,20+8,0),0)</f>
        <v>0</v>
      </c>
      <c r="AD2042">
        <f>IFERROR(VLOOKUP("232-002300-000",B:AB,21+8,0),0)</f>
        <v>0</v>
      </c>
      <c r="AE2042">
        <f>IFERROR(VLOOKUP("232-002300-000",B:AB,22+8,0),0)</f>
        <v>0</v>
      </c>
      <c r="AF2042">
        <f>IFERROR(VLOOKUP("232-002300-000",B:AB,23+8,0),0)</f>
        <v>0</v>
      </c>
      <c r="AG2042">
        <f>IFERROR(VLOOKUP("232-002300-000",B:AB,24+8,0),0)</f>
        <v>0</v>
      </c>
      <c r="AH2042">
        <f>IFERROR(VLOOKUP("232-002300-000",B:AB,25+8,0),0)</f>
        <v>0</v>
      </c>
      <c r="AI2042">
        <f>IFERROR(VLOOKUP("232-002300-000",B:AB,26+8,0),0)</f>
        <v>0</v>
      </c>
      <c r="AJ2042">
        <f>IFERROR(VLOOKUP("232-002300-000",B:AB,27+8,0),0)</f>
        <v>0</v>
      </c>
      <c r="AK2042">
        <f>IFERROR(VLOOKUP("232-002300-000",B:AB,28+8,0),0)</f>
        <v>0</v>
      </c>
      <c r="AL2042">
        <f>IFERROR(VLOOKUP("232-002300-000",B:AB,29+8,0),0)</f>
        <v>0</v>
      </c>
      <c r="AM2042">
        <f>IFERROR(VLOOKUP("232-002300-000",B:AB,30+8,0),0)</f>
        <v>0</v>
      </c>
      <c r="AN2042">
        <f>IFERROR(VLOOKUP("232-002300-000",B:AB,31+8,0),0)</f>
        <v>0</v>
      </c>
      <c r="AO2042">
        <f>SUN(INDIRECT(ADDRESS(2041,8)):INDIRECT(ADDRESS(2041,39)))</f>
        <v>0</v>
      </c>
    </row>
    <row r="2043" spans="1:41">
      <c r="H2043" t="s">
        <v>179</v>
      </c>
      <c r="J2043">
        <f>INDIRECT(ADDRESS(2043,9))+INDIRECT(ADDRESS(2041,10))-INDIRECT(ADDRESS(2042,10))</f>
        <v>0</v>
      </c>
      <c r="K2043">
        <f>INDIRECT(ADDRESS(2043,10))+INDIRECT(ADDRESS(2041,11))-INDIRECT(ADDRESS(2042,11))</f>
        <v>0</v>
      </c>
      <c r="L2043">
        <f>INDIRECT(ADDRESS(2043,11))+INDIRECT(ADDRESS(2041,12))-INDIRECT(ADDRESS(2042,12))</f>
        <v>0</v>
      </c>
      <c r="M2043">
        <f>INDIRECT(ADDRESS(2043,12))+INDIRECT(ADDRESS(2041,13))-INDIRECT(ADDRESS(2042,13))</f>
        <v>0</v>
      </c>
      <c r="N2043">
        <f>INDIRECT(ADDRESS(2043,13))+INDIRECT(ADDRESS(2041,14))-INDIRECT(ADDRESS(2042,14))</f>
        <v>0</v>
      </c>
      <c r="O2043">
        <f>INDIRECT(ADDRESS(2043,14))+INDIRECT(ADDRESS(2041,15))-INDIRECT(ADDRESS(2042,15))</f>
        <v>0</v>
      </c>
      <c r="P2043">
        <f>INDIRECT(ADDRESS(2043,15))+INDIRECT(ADDRESS(2041,16))-INDIRECT(ADDRESS(2042,16))</f>
        <v>0</v>
      </c>
      <c r="Q2043">
        <f>INDIRECT(ADDRESS(2043,16))+INDIRECT(ADDRESS(2041,17))-INDIRECT(ADDRESS(2042,17))</f>
        <v>0</v>
      </c>
      <c r="R2043">
        <f>INDIRECT(ADDRESS(2043,17))+INDIRECT(ADDRESS(2041,18))-INDIRECT(ADDRESS(2042,18))</f>
        <v>0</v>
      </c>
      <c r="S2043">
        <f>INDIRECT(ADDRESS(2043,18))+INDIRECT(ADDRESS(2041,19))-INDIRECT(ADDRESS(2042,19))</f>
        <v>0</v>
      </c>
      <c r="T2043">
        <f>INDIRECT(ADDRESS(2043,19))+INDIRECT(ADDRESS(2041,20))-INDIRECT(ADDRESS(2042,20))</f>
        <v>0</v>
      </c>
      <c r="U2043">
        <f>INDIRECT(ADDRESS(2043,20))+INDIRECT(ADDRESS(2041,21))-INDIRECT(ADDRESS(2042,21))</f>
        <v>0</v>
      </c>
      <c r="V2043">
        <f>INDIRECT(ADDRESS(2043,21))+INDIRECT(ADDRESS(2041,22))-INDIRECT(ADDRESS(2042,22))</f>
        <v>0</v>
      </c>
      <c r="W2043">
        <f>INDIRECT(ADDRESS(2043,22))+INDIRECT(ADDRESS(2041,23))-INDIRECT(ADDRESS(2042,23))</f>
        <v>0</v>
      </c>
      <c r="X2043">
        <f>INDIRECT(ADDRESS(2043,23))+INDIRECT(ADDRESS(2041,24))-INDIRECT(ADDRESS(2042,24))</f>
        <v>0</v>
      </c>
      <c r="Y2043">
        <f>INDIRECT(ADDRESS(2043,24))+INDIRECT(ADDRESS(2041,25))-INDIRECT(ADDRESS(2042,25))</f>
        <v>0</v>
      </c>
      <c r="Z2043">
        <f>INDIRECT(ADDRESS(2043,25))+INDIRECT(ADDRESS(2041,26))-INDIRECT(ADDRESS(2042,26))</f>
        <v>0</v>
      </c>
      <c r="AA2043">
        <f>INDIRECT(ADDRESS(2043,26))+INDIRECT(ADDRESS(2041,27))-INDIRECT(ADDRESS(2042,27))</f>
        <v>0</v>
      </c>
      <c r="AB2043">
        <f>INDIRECT(ADDRESS(2043,27))+INDIRECT(ADDRESS(2041,28))-INDIRECT(ADDRESS(2042,28))</f>
        <v>0</v>
      </c>
      <c r="AC2043">
        <f>INDIRECT(ADDRESS(2043,28))+INDIRECT(ADDRESS(2041,29))-INDIRECT(ADDRESS(2042,29))</f>
        <v>0</v>
      </c>
      <c r="AD2043">
        <f>INDIRECT(ADDRESS(2043,29))+INDIRECT(ADDRESS(2041,30))-INDIRECT(ADDRESS(2042,30))</f>
        <v>0</v>
      </c>
      <c r="AE2043">
        <f>INDIRECT(ADDRESS(2043,30))+INDIRECT(ADDRESS(2041,31))-INDIRECT(ADDRESS(2042,31))</f>
        <v>0</v>
      </c>
      <c r="AF2043">
        <f>INDIRECT(ADDRESS(2043,31))+INDIRECT(ADDRESS(2041,32))-INDIRECT(ADDRESS(2042,32))</f>
        <v>0</v>
      </c>
      <c r="AG2043">
        <f>INDIRECT(ADDRESS(2043,32))+INDIRECT(ADDRESS(2041,33))-INDIRECT(ADDRESS(2042,33))</f>
        <v>0</v>
      </c>
      <c r="AH2043">
        <f>INDIRECT(ADDRESS(2043,33))+INDIRECT(ADDRESS(2041,34))-INDIRECT(ADDRESS(2042,34))</f>
        <v>0</v>
      </c>
      <c r="AI2043">
        <f>INDIRECT(ADDRESS(2043,34))+INDIRECT(ADDRESS(2041,35))-INDIRECT(ADDRESS(2042,35))</f>
        <v>0</v>
      </c>
      <c r="AJ2043">
        <f>INDIRECT(ADDRESS(2043,35))+INDIRECT(ADDRESS(2041,36))-INDIRECT(ADDRESS(2042,36))</f>
        <v>0</v>
      </c>
      <c r="AK2043">
        <f>INDIRECT(ADDRESS(2043,36))+INDIRECT(ADDRESS(2041,37))-INDIRECT(ADDRESS(2042,37))</f>
        <v>0</v>
      </c>
      <c r="AL2043">
        <f>INDIRECT(ADDRESS(2043,37))+INDIRECT(ADDRESS(2041,38))-INDIRECT(ADDRESS(2042,38))</f>
        <v>0</v>
      </c>
      <c r="AM2043">
        <f>INDIRECT(ADDRESS(2043,38))+INDIRECT(ADDRESS(2041,39))-INDIRECT(ADDRESS(2042,39))</f>
        <v>0</v>
      </c>
      <c r="AN2043">
        <f>INDIRECT(ADDRESS(2043,39))+INDIRECT(ADDRESS(2041,40))-INDIRECT(ADDRESS(2042,40))</f>
        <v>0</v>
      </c>
      <c r="AO2043">
        <f>SUM(INDIRECT(ADDRESS(2042,8)):INDIRECT(ADDRESS(2042,39)))</f>
        <v>0</v>
      </c>
    </row>
    <row r="2044" spans="1:41">
      <c r="A2044" t="s">
        <v>185</v>
      </c>
      <c r="B2044" t="s">
        <v>173</v>
      </c>
      <c r="C2044" t="s">
        <v>896</v>
      </c>
      <c r="E2044">
        <v>1</v>
      </c>
      <c r="I2044" t="s">
        <v>177</v>
      </c>
    </row>
    <row r="2045" spans="1:41">
      <c r="I2045" t="s">
        <v>178</v>
      </c>
      <c r="J2045">
        <f>IFERROR(VLOOKUP("232-002300-000",B:AB,1+8,0),0)</f>
        <v>0</v>
      </c>
      <c r="K2045">
        <f>IFERROR(VLOOKUP("232-002300-000",B:AB,2+8,0),0)</f>
        <v>0</v>
      </c>
      <c r="L2045">
        <f>IFERROR(VLOOKUP("232-002300-000",B:AB,3+8,0),0)</f>
        <v>0</v>
      </c>
      <c r="M2045">
        <f>IFERROR(VLOOKUP("232-002300-000",B:AB,4+8,0),0)</f>
        <v>0</v>
      </c>
      <c r="N2045">
        <f>IFERROR(VLOOKUP("232-002300-000",B:AB,5+8,0),0)</f>
        <v>0</v>
      </c>
      <c r="O2045">
        <f>IFERROR(VLOOKUP("232-002300-000",B:AB,6+8,0),0)</f>
        <v>0</v>
      </c>
      <c r="P2045">
        <f>IFERROR(VLOOKUP("232-002300-000",B:AB,7+8,0),0)</f>
        <v>0</v>
      </c>
      <c r="Q2045">
        <f>IFERROR(VLOOKUP("232-002300-000",B:AB,8+8,0),0)</f>
        <v>0</v>
      </c>
      <c r="R2045">
        <f>IFERROR(VLOOKUP("232-002300-000",B:AB,9+8,0),0)</f>
        <v>0</v>
      </c>
      <c r="S2045">
        <f>IFERROR(VLOOKUP("232-002300-000",B:AB,10+8,0),0)</f>
        <v>0</v>
      </c>
      <c r="T2045">
        <f>IFERROR(VLOOKUP("232-002300-000",B:AB,11+8,0),0)</f>
        <v>0</v>
      </c>
      <c r="U2045">
        <f>IFERROR(VLOOKUP("232-002300-000",B:AB,12+8,0),0)</f>
        <v>0</v>
      </c>
      <c r="V2045">
        <f>IFERROR(VLOOKUP("232-002300-000",B:AB,13+8,0),0)</f>
        <v>0</v>
      </c>
      <c r="W2045">
        <f>IFERROR(VLOOKUP("232-002300-000",B:AB,14+8,0),0)</f>
        <v>0</v>
      </c>
      <c r="X2045">
        <f>IFERROR(VLOOKUP("232-002300-000",B:AB,15+8,0),0)</f>
        <v>0</v>
      </c>
      <c r="Y2045">
        <f>IFERROR(VLOOKUP("232-002300-000",B:AB,16+8,0),0)</f>
        <v>0</v>
      </c>
      <c r="Z2045">
        <f>IFERROR(VLOOKUP("232-002300-000",B:AB,17+8,0),0)</f>
        <v>0</v>
      </c>
      <c r="AA2045">
        <f>IFERROR(VLOOKUP("232-002300-000",B:AB,18+8,0),0)</f>
        <v>0</v>
      </c>
      <c r="AB2045">
        <f>IFERROR(VLOOKUP("232-002300-000",B:AB,19+8,0),0)</f>
        <v>0</v>
      </c>
      <c r="AC2045">
        <f>IFERROR(VLOOKUP("232-002300-000",B:AB,20+8,0),0)</f>
        <v>0</v>
      </c>
      <c r="AD2045">
        <f>IFERROR(VLOOKUP("232-002300-000",B:AB,21+8,0),0)</f>
        <v>0</v>
      </c>
      <c r="AE2045">
        <f>IFERROR(VLOOKUP("232-002300-000",B:AB,22+8,0),0)</f>
        <v>0</v>
      </c>
      <c r="AF2045">
        <f>IFERROR(VLOOKUP("232-002300-000",B:AB,23+8,0),0)</f>
        <v>0</v>
      </c>
      <c r="AG2045">
        <f>IFERROR(VLOOKUP("232-002300-000",B:AB,24+8,0),0)</f>
        <v>0</v>
      </c>
      <c r="AH2045">
        <f>IFERROR(VLOOKUP("232-002300-000",B:AB,25+8,0),0)</f>
        <v>0</v>
      </c>
      <c r="AI2045">
        <f>IFERROR(VLOOKUP("232-002300-000",B:AB,26+8,0),0)</f>
        <v>0</v>
      </c>
      <c r="AJ2045">
        <f>IFERROR(VLOOKUP("232-002300-000",B:AB,27+8,0),0)</f>
        <v>0</v>
      </c>
      <c r="AK2045">
        <f>IFERROR(VLOOKUP("232-002300-000",B:AB,28+8,0),0)</f>
        <v>0</v>
      </c>
      <c r="AL2045">
        <f>IFERROR(VLOOKUP("232-002300-000",B:AB,29+8,0),0)</f>
        <v>0</v>
      </c>
      <c r="AM2045">
        <f>IFERROR(VLOOKUP("232-002300-000",B:AB,30+8,0),0)</f>
        <v>0</v>
      </c>
      <c r="AN2045">
        <f>IFERROR(VLOOKUP("232-002300-000",B:AB,31+8,0),0)</f>
        <v>0</v>
      </c>
      <c r="AO2045">
        <f>SUN(INDIRECT(ADDRESS(2044,8)):INDIRECT(ADDRESS(2044,39)))</f>
        <v>0</v>
      </c>
    </row>
    <row r="2046" spans="1:41">
      <c r="H2046" t="s">
        <v>179</v>
      </c>
      <c r="J2046">
        <f>INDIRECT(ADDRESS(2046,9))+INDIRECT(ADDRESS(2044,10))-INDIRECT(ADDRESS(2045,10))</f>
        <v>0</v>
      </c>
      <c r="K2046">
        <f>INDIRECT(ADDRESS(2046,10))+INDIRECT(ADDRESS(2044,11))-INDIRECT(ADDRESS(2045,11))</f>
        <v>0</v>
      </c>
      <c r="L2046">
        <f>INDIRECT(ADDRESS(2046,11))+INDIRECT(ADDRESS(2044,12))-INDIRECT(ADDRESS(2045,12))</f>
        <v>0</v>
      </c>
      <c r="M2046">
        <f>INDIRECT(ADDRESS(2046,12))+INDIRECT(ADDRESS(2044,13))-INDIRECT(ADDRESS(2045,13))</f>
        <v>0</v>
      </c>
      <c r="N2046">
        <f>INDIRECT(ADDRESS(2046,13))+INDIRECT(ADDRESS(2044,14))-INDIRECT(ADDRESS(2045,14))</f>
        <v>0</v>
      </c>
      <c r="O2046">
        <f>INDIRECT(ADDRESS(2046,14))+INDIRECT(ADDRESS(2044,15))-INDIRECT(ADDRESS(2045,15))</f>
        <v>0</v>
      </c>
      <c r="P2046">
        <f>INDIRECT(ADDRESS(2046,15))+INDIRECT(ADDRESS(2044,16))-INDIRECT(ADDRESS(2045,16))</f>
        <v>0</v>
      </c>
      <c r="Q2046">
        <f>INDIRECT(ADDRESS(2046,16))+INDIRECT(ADDRESS(2044,17))-INDIRECT(ADDRESS(2045,17))</f>
        <v>0</v>
      </c>
      <c r="R2046">
        <f>INDIRECT(ADDRESS(2046,17))+INDIRECT(ADDRESS(2044,18))-INDIRECT(ADDRESS(2045,18))</f>
        <v>0</v>
      </c>
      <c r="S2046">
        <f>INDIRECT(ADDRESS(2046,18))+INDIRECT(ADDRESS(2044,19))-INDIRECT(ADDRESS(2045,19))</f>
        <v>0</v>
      </c>
      <c r="T2046">
        <f>INDIRECT(ADDRESS(2046,19))+INDIRECT(ADDRESS(2044,20))-INDIRECT(ADDRESS(2045,20))</f>
        <v>0</v>
      </c>
      <c r="U2046">
        <f>INDIRECT(ADDRESS(2046,20))+INDIRECT(ADDRESS(2044,21))-INDIRECT(ADDRESS(2045,21))</f>
        <v>0</v>
      </c>
      <c r="V2046">
        <f>INDIRECT(ADDRESS(2046,21))+INDIRECT(ADDRESS(2044,22))-INDIRECT(ADDRESS(2045,22))</f>
        <v>0</v>
      </c>
      <c r="W2046">
        <f>INDIRECT(ADDRESS(2046,22))+INDIRECT(ADDRESS(2044,23))-INDIRECT(ADDRESS(2045,23))</f>
        <v>0</v>
      </c>
      <c r="X2046">
        <f>INDIRECT(ADDRESS(2046,23))+INDIRECT(ADDRESS(2044,24))-INDIRECT(ADDRESS(2045,24))</f>
        <v>0</v>
      </c>
      <c r="Y2046">
        <f>INDIRECT(ADDRESS(2046,24))+INDIRECT(ADDRESS(2044,25))-INDIRECT(ADDRESS(2045,25))</f>
        <v>0</v>
      </c>
      <c r="Z2046">
        <f>INDIRECT(ADDRESS(2046,25))+INDIRECT(ADDRESS(2044,26))-INDIRECT(ADDRESS(2045,26))</f>
        <v>0</v>
      </c>
      <c r="AA2046">
        <f>INDIRECT(ADDRESS(2046,26))+INDIRECT(ADDRESS(2044,27))-INDIRECT(ADDRESS(2045,27))</f>
        <v>0</v>
      </c>
      <c r="AB2046">
        <f>INDIRECT(ADDRESS(2046,27))+INDIRECT(ADDRESS(2044,28))-INDIRECT(ADDRESS(2045,28))</f>
        <v>0</v>
      </c>
      <c r="AC2046">
        <f>INDIRECT(ADDRESS(2046,28))+INDIRECT(ADDRESS(2044,29))-INDIRECT(ADDRESS(2045,29))</f>
        <v>0</v>
      </c>
      <c r="AD2046">
        <f>INDIRECT(ADDRESS(2046,29))+INDIRECT(ADDRESS(2044,30))-INDIRECT(ADDRESS(2045,30))</f>
        <v>0</v>
      </c>
      <c r="AE2046">
        <f>INDIRECT(ADDRESS(2046,30))+INDIRECT(ADDRESS(2044,31))-INDIRECT(ADDRESS(2045,31))</f>
        <v>0</v>
      </c>
      <c r="AF2046">
        <f>INDIRECT(ADDRESS(2046,31))+INDIRECT(ADDRESS(2044,32))-INDIRECT(ADDRESS(2045,32))</f>
        <v>0</v>
      </c>
      <c r="AG2046">
        <f>INDIRECT(ADDRESS(2046,32))+INDIRECT(ADDRESS(2044,33))-INDIRECT(ADDRESS(2045,33))</f>
        <v>0</v>
      </c>
      <c r="AH2046">
        <f>INDIRECT(ADDRESS(2046,33))+INDIRECT(ADDRESS(2044,34))-INDIRECT(ADDRESS(2045,34))</f>
        <v>0</v>
      </c>
      <c r="AI2046">
        <f>INDIRECT(ADDRESS(2046,34))+INDIRECT(ADDRESS(2044,35))-INDIRECT(ADDRESS(2045,35))</f>
        <v>0</v>
      </c>
      <c r="AJ2046">
        <f>INDIRECT(ADDRESS(2046,35))+INDIRECT(ADDRESS(2044,36))-INDIRECT(ADDRESS(2045,36))</f>
        <v>0</v>
      </c>
      <c r="AK2046">
        <f>INDIRECT(ADDRESS(2046,36))+INDIRECT(ADDRESS(2044,37))-INDIRECT(ADDRESS(2045,37))</f>
        <v>0</v>
      </c>
      <c r="AL2046">
        <f>INDIRECT(ADDRESS(2046,37))+INDIRECT(ADDRESS(2044,38))-INDIRECT(ADDRESS(2045,38))</f>
        <v>0</v>
      </c>
      <c r="AM2046">
        <f>INDIRECT(ADDRESS(2046,38))+INDIRECT(ADDRESS(2044,39))-INDIRECT(ADDRESS(2045,39))</f>
        <v>0</v>
      </c>
      <c r="AN2046">
        <f>INDIRECT(ADDRESS(2046,39))+INDIRECT(ADDRESS(2044,40))-INDIRECT(ADDRESS(2045,40))</f>
        <v>0</v>
      </c>
      <c r="AO2046">
        <f>SUM(INDIRECT(ADDRESS(2045,8)):INDIRECT(ADDRESS(2045,39)))</f>
        <v>0</v>
      </c>
    </row>
    <row r="2047" spans="1:41">
      <c r="A2047" t="s">
        <v>8</v>
      </c>
      <c r="B2047" t="s">
        <v>173</v>
      </c>
      <c r="C2047" t="s">
        <v>174</v>
      </c>
      <c r="E2047">
        <v>1</v>
      </c>
      <c r="I2047" t="s">
        <v>177</v>
      </c>
    </row>
    <row r="2048" spans="1:41">
      <c r="I2048" t="s">
        <v>178</v>
      </c>
      <c r="J2048">
        <f>IFERROR(VLOOKUP("221-027300-000",Out!B:AB,1+8,0),0)</f>
        <v>0</v>
      </c>
      <c r="K2048">
        <f>IFERROR(VLOOKUP("221-027300-000",Out!B:AB,2+8,0),0)</f>
        <v>0</v>
      </c>
      <c r="L2048">
        <f>IFERROR(VLOOKUP("221-027300-000",Out!B:AB,3+8,0),0)</f>
        <v>0</v>
      </c>
      <c r="M2048">
        <f>IFERROR(VLOOKUP("221-027300-000",Out!B:AB,4+8,0),0)</f>
        <v>0</v>
      </c>
      <c r="N2048">
        <f>IFERROR(VLOOKUP("221-027300-000",Out!B:AB,5+8,0),0)</f>
        <v>0</v>
      </c>
      <c r="O2048">
        <f>IFERROR(VLOOKUP("221-027300-000",Out!B:AB,6+8,0),0)</f>
        <v>0</v>
      </c>
      <c r="P2048">
        <f>IFERROR(VLOOKUP("221-027300-000",Out!B:AB,7+8,0),0)</f>
        <v>0</v>
      </c>
      <c r="Q2048">
        <f>IFERROR(VLOOKUP("221-027300-000",Out!B:AB,8+8,0),0)</f>
        <v>0</v>
      </c>
      <c r="R2048">
        <f>IFERROR(VLOOKUP("221-027300-000",Out!B:AB,9+8,0),0)</f>
        <v>0</v>
      </c>
      <c r="S2048">
        <f>IFERROR(VLOOKUP("221-027300-000",Out!B:AB,10+8,0),0)</f>
        <v>0</v>
      </c>
      <c r="T2048">
        <f>IFERROR(VLOOKUP("221-027300-000",Out!B:AB,11+8,0),0)</f>
        <v>0</v>
      </c>
      <c r="U2048">
        <f>IFERROR(VLOOKUP("221-027300-000",Out!B:AB,12+8,0),0)</f>
        <v>0</v>
      </c>
      <c r="V2048">
        <f>IFERROR(VLOOKUP("221-027300-000",Out!B:AB,13+8,0),0)</f>
        <v>0</v>
      </c>
      <c r="W2048">
        <f>IFERROR(VLOOKUP("221-027300-000",Out!B:AB,14+8,0),0)</f>
        <v>0</v>
      </c>
      <c r="X2048">
        <f>IFERROR(VLOOKUP("221-027300-000",Out!B:AB,15+8,0),0)</f>
        <v>0</v>
      </c>
      <c r="Y2048">
        <f>IFERROR(VLOOKUP("221-027300-000",Out!B:AB,16+8,0),0)</f>
        <v>0</v>
      </c>
      <c r="Z2048">
        <f>IFERROR(VLOOKUP("221-027300-000",Out!B:AB,17+8,0),0)</f>
        <v>0</v>
      </c>
      <c r="AA2048">
        <f>IFERROR(VLOOKUP("221-027300-000",Out!B:AB,18+8,0),0)</f>
        <v>0</v>
      </c>
      <c r="AB2048">
        <f>IFERROR(VLOOKUP("221-027300-000",Out!B:AB,19+8,0),0)</f>
        <v>0</v>
      </c>
      <c r="AC2048">
        <f>IFERROR(VLOOKUP("221-027300-000",Out!B:AB,20+8,0),0)</f>
        <v>0</v>
      </c>
      <c r="AD2048">
        <f>IFERROR(VLOOKUP("221-027300-000",Out!B:AB,21+8,0),0)</f>
        <v>0</v>
      </c>
      <c r="AE2048">
        <f>IFERROR(VLOOKUP("221-027300-000",Out!B:AB,22+8,0),0)</f>
        <v>0</v>
      </c>
      <c r="AF2048">
        <f>IFERROR(VLOOKUP("221-027300-000",Out!B:AB,23+8,0),0)</f>
        <v>0</v>
      </c>
      <c r="AG2048">
        <f>IFERROR(VLOOKUP("221-027300-000",Out!B:AB,24+8,0),0)</f>
        <v>0</v>
      </c>
      <c r="AH2048">
        <f>IFERROR(VLOOKUP("221-027300-000",Out!B:AB,25+8,0),0)</f>
        <v>0</v>
      </c>
      <c r="AI2048">
        <f>IFERROR(VLOOKUP("221-027300-000",Out!B:AB,26+8,0),0)</f>
        <v>0</v>
      </c>
      <c r="AJ2048">
        <f>IFERROR(VLOOKUP("221-027300-000",Out!B:AB,27+8,0),0)</f>
        <v>0</v>
      </c>
      <c r="AK2048">
        <f>IFERROR(VLOOKUP("221-027300-000",Out!B:AB,28+8,0),0)</f>
        <v>0</v>
      </c>
      <c r="AL2048">
        <f>IFERROR(VLOOKUP("221-027300-000",Out!B:AB,29+8,0),0)</f>
        <v>0</v>
      </c>
      <c r="AM2048">
        <f>IFERROR(VLOOKUP("221-027300-000",Out!B:AB,30+8,0),0)</f>
        <v>0</v>
      </c>
      <c r="AN2048">
        <f>IFERROR(VLOOKUP("221-027300-000",Out!B:AB,31+8,0),0)</f>
        <v>0</v>
      </c>
      <c r="AO2048">
        <f>SUN(INDIRECT(ADDRESS(2047,8)):INDIRECT(ADDRESS(2047,39)))</f>
        <v>0</v>
      </c>
    </row>
    <row r="2049" spans="1:41">
      <c r="H2049" t="s">
        <v>179</v>
      </c>
      <c r="J2049">
        <f>INDIRECT(ADDRESS(2049,9))+INDIRECT(ADDRESS(2047,10))-INDIRECT(ADDRESS(2048,10))</f>
        <v>0</v>
      </c>
      <c r="K2049">
        <f>INDIRECT(ADDRESS(2049,10))+INDIRECT(ADDRESS(2047,11))-INDIRECT(ADDRESS(2048,11))</f>
        <v>0</v>
      </c>
      <c r="L2049">
        <f>INDIRECT(ADDRESS(2049,11))+INDIRECT(ADDRESS(2047,12))-INDIRECT(ADDRESS(2048,12))</f>
        <v>0</v>
      </c>
      <c r="M2049">
        <f>INDIRECT(ADDRESS(2049,12))+INDIRECT(ADDRESS(2047,13))-INDIRECT(ADDRESS(2048,13))</f>
        <v>0</v>
      </c>
      <c r="N2049">
        <f>INDIRECT(ADDRESS(2049,13))+INDIRECT(ADDRESS(2047,14))-INDIRECT(ADDRESS(2048,14))</f>
        <v>0</v>
      </c>
      <c r="O2049">
        <f>INDIRECT(ADDRESS(2049,14))+INDIRECT(ADDRESS(2047,15))-INDIRECT(ADDRESS(2048,15))</f>
        <v>0</v>
      </c>
      <c r="P2049">
        <f>INDIRECT(ADDRESS(2049,15))+INDIRECT(ADDRESS(2047,16))-INDIRECT(ADDRESS(2048,16))</f>
        <v>0</v>
      </c>
      <c r="Q2049">
        <f>INDIRECT(ADDRESS(2049,16))+INDIRECT(ADDRESS(2047,17))-INDIRECT(ADDRESS(2048,17))</f>
        <v>0</v>
      </c>
      <c r="R2049">
        <f>INDIRECT(ADDRESS(2049,17))+INDIRECT(ADDRESS(2047,18))-INDIRECT(ADDRESS(2048,18))</f>
        <v>0</v>
      </c>
      <c r="S2049">
        <f>INDIRECT(ADDRESS(2049,18))+INDIRECT(ADDRESS(2047,19))-INDIRECT(ADDRESS(2048,19))</f>
        <v>0</v>
      </c>
      <c r="T2049">
        <f>INDIRECT(ADDRESS(2049,19))+INDIRECT(ADDRESS(2047,20))-INDIRECT(ADDRESS(2048,20))</f>
        <v>0</v>
      </c>
      <c r="U2049">
        <f>INDIRECT(ADDRESS(2049,20))+INDIRECT(ADDRESS(2047,21))-INDIRECT(ADDRESS(2048,21))</f>
        <v>0</v>
      </c>
      <c r="V2049">
        <f>INDIRECT(ADDRESS(2049,21))+INDIRECT(ADDRESS(2047,22))-INDIRECT(ADDRESS(2048,22))</f>
        <v>0</v>
      </c>
      <c r="W2049">
        <f>INDIRECT(ADDRESS(2049,22))+INDIRECT(ADDRESS(2047,23))-INDIRECT(ADDRESS(2048,23))</f>
        <v>0</v>
      </c>
      <c r="X2049">
        <f>INDIRECT(ADDRESS(2049,23))+INDIRECT(ADDRESS(2047,24))-INDIRECT(ADDRESS(2048,24))</f>
        <v>0</v>
      </c>
      <c r="Y2049">
        <f>INDIRECT(ADDRESS(2049,24))+INDIRECT(ADDRESS(2047,25))-INDIRECT(ADDRESS(2048,25))</f>
        <v>0</v>
      </c>
      <c r="Z2049">
        <f>INDIRECT(ADDRESS(2049,25))+INDIRECT(ADDRESS(2047,26))-INDIRECT(ADDRESS(2048,26))</f>
        <v>0</v>
      </c>
      <c r="AA2049">
        <f>INDIRECT(ADDRESS(2049,26))+INDIRECT(ADDRESS(2047,27))-INDIRECT(ADDRESS(2048,27))</f>
        <v>0</v>
      </c>
      <c r="AB2049">
        <f>INDIRECT(ADDRESS(2049,27))+INDIRECT(ADDRESS(2047,28))-INDIRECT(ADDRESS(2048,28))</f>
        <v>0</v>
      </c>
      <c r="AC2049">
        <f>INDIRECT(ADDRESS(2049,28))+INDIRECT(ADDRESS(2047,29))-INDIRECT(ADDRESS(2048,29))</f>
        <v>0</v>
      </c>
      <c r="AD2049">
        <f>INDIRECT(ADDRESS(2049,29))+INDIRECT(ADDRESS(2047,30))-INDIRECT(ADDRESS(2048,30))</f>
        <v>0</v>
      </c>
      <c r="AE2049">
        <f>INDIRECT(ADDRESS(2049,30))+INDIRECT(ADDRESS(2047,31))-INDIRECT(ADDRESS(2048,31))</f>
        <v>0</v>
      </c>
      <c r="AF2049">
        <f>INDIRECT(ADDRESS(2049,31))+INDIRECT(ADDRESS(2047,32))-INDIRECT(ADDRESS(2048,32))</f>
        <v>0</v>
      </c>
      <c r="AG2049">
        <f>INDIRECT(ADDRESS(2049,32))+INDIRECT(ADDRESS(2047,33))-INDIRECT(ADDRESS(2048,33))</f>
        <v>0</v>
      </c>
      <c r="AH2049">
        <f>INDIRECT(ADDRESS(2049,33))+INDIRECT(ADDRESS(2047,34))-INDIRECT(ADDRESS(2048,34))</f>
        <v>0</v>
      </c>
      <c r="AI2049">
        <f>INDIRECT(ADDRESS(2049,34))+INDIRECT(ADDRESS(2047,35))-INDIRECT(ADDRESS(2048,35))</f>
        <v>0</v>
      </c>
      <c r="AJ2049">
        <f>INDIRECT(ADDRESS(2049,35))+INDIRECT(ADDRESS(2047,36))-INDIRECT(ADDRESS(2048,36))</f>
        <v>0</v>
      </c>
      <c r="AK2049">
        <f>INDIRECT(ADDRESS(2049,36))+INDIRECT(ADDRESS(2047,37))-INDIRECT(ADDRESS(2048,37))</f>
        <v>0</v>
      </c>
      <c r="AL2049">
        <f>INDIRECT(ADDRESS(2049,37))+INDIRECT(ADDRESS(2047,38))-INDIRECT(ADDRESS(2048,38))</f>
        <v>0</v>
      </c>
      <c r="AM2049">
        <f>INDIRECT(ADDRESS(2049,38))+INDIRECT(ADDRESS(2047,39))-INDIRECT(ADDRESS(2048,39))</f>
        <v>0</v>
      </c>
      <c r="AN2049">
        <f>INDIRECT(ADDRESS(2049,39))+INDIRECT(ADDRESS(2047,40))-INDIRECT(ADDRESS(2048,40))</f>
        <v>0</v>
      </c>
      <c r="AO2049">
        <f>SUM(INDIRECT(ADDRESS(2048,8)):INDIRECT(ADDRESS(2048,39)))</f>
        <v>0</v>
      </c>
    </row>
    <row r="2050" spans="1:41">
      <c r="A2050" t="s">
        <v>180</v>
      </c>
      <c r="B2050" t="s">
        <v>897</v>
      </c>
      <c r="C2050" t="s">
        <v>898</v>
      </c>
      <c r="E2050">
        <v>1</v>
      </c>
      <c r="I2050" t="s">
        <v>177</v>
      </c>
    </row>
    <row r="2051" spans="1:41">
      <c r="I2051" t="s">
        <v>178</v>
      </c>
      <c r="J2051">
        <f>IFERROR(VLOOKUP("221-027300-000",B:AB,1+8,0),0)</f>
        <v>0</v>
      </c>
      <c r="K2051">
        <f>IFERROR(VLOOKUP("221-027300-000",B:AB,2+8,0),0)</f>
        <v>0</v>
      </c>
      <c r="L2051">
        <f>IFERROR(VLOOKUP("221-027300-000",B:AB,3+8,0),0)</f>
        <v>0</v>
      </c>
      <c r="M2051">
        <f>IFERROR(VLOOKUP("221-027300-000",B:AB,4+8,0),0)</f>
        <v>0</v>
      </c>
      <c r="N2051">
        <f>IFERROR(VLOOKUP("221-027300-000",B:AB,5+8,0),0)</f>
        <v>0</v>
      </c>
      <c r="O2051">
        <f>IFERROR(VLOOKUP("221-027300-000",B:AB,6+8,0),0)</f>
        <v>0</v>
      </c>
      <c r="P2051">
        <f>IFERROR(VLOOKUP("221-027300-000",B:AB,7+8,0),0)</f>
        <v>0</v>
      </c>
      <c r="Q2051">
        <f>IFERROR(VLOOKUP("221-027300-000",B:AB,8+8,0),0)</f>
        <v>0</v>
      </c>
      <c r="R2051">
        <f>IFERROR(VLOOKUP("221-027300-000",B:AB,9+8,0),0)</f>
        <v>0</v>
      </c>
      <c r="S2051">
        <f>IFERROR(VLOOKUP("221-027300-000",B:AB,10+8,0),0)</f>
        <v>0</v>
      </c>
      <c r="T2051">
        <f>IFERROR(VLOOKUP("221-027300-000",B:AB,11+8,0),0)</f>
        <v>0</v>
      </c>
      <c r="U2051">
        <f>IFERROR(VLOOKUP("221-027300-000",B:AB,12+8,0),0)</f>
        <v>0</v>
      </c>
      <c r="V2051">
        <f>IFERROR(VLOOKUP("221-027300-000",B:AB,13+8,0),0)</f>
        <v>0</v>
      </c>
      <c r="W2051">
        <f>IFERROR(VLOOKUP("221-027300-000",B:AB,14+8,0),0)</f>
        <v>0</v>
      </c>
      <c r="X2051">
        <f>IFERROR(VLOOKUP("221-027300-000",B:AB,15+8,0),0)</f>
        <v>0</v>
      </c>
      <c r="Y2051">
        <f>IFERROR(VLOOKUP("221-027300-000",B:AB,16+8,0),0)</f>
        <v>0</v>
      </c>
      <c r="Z2051">
        <f>IFERROR(VLOOKUP("221-027300-000",B:AB,17+8,0),0)</f>
        <v>0</v>
      </c>
      <c r="AA2051">
        <f>IFERROR(VLOOKUP("221-027300-000",B:AB,18+8,0),0)</f>
        <v>0</v>
      </c>
      <c r="AB2051">
        <f>IFERROR(VLOOKUP("221-027300-000",B:AB,19+8,0),0)</f>
        <v>0</v>
      </c>
      <c r="AC2051">
        <f>IFERROR(VLOOKUP("221-027300-000",B:AB,20+8,0),0)</f>
        <v>0</v>
      </c>
      <c r="AD2051">
        <f>IFERROR(VLOOKUP("221-027300-000",B:AB,21+8,0),0)</f>
        <v>0</v>
      </c>
      <c r="AE2051">
        <f>IFERROR(VLOOKUP("221-027300-000",B:AB,22+8,0),0)</f>
        <v>0</v>
      </c>
      <c r="AF2051">
        <f>IFERROR(VLOOKUP("221-027300-000",B:AB,23+8,0),0)</f>
        <v>0</v>
      </c>
      <c r="AG2051">
        <f>IFERROR(VLOOKUP("221-027300-000",B:AB,24+8,0),0)</f>
        <v>0</v>
      </c>
      <c r="AH2051">
        <f>IFERROR(VLOOKUP("221-027300-000",B:AB,25+8,0),0)</f>
        <v>0</v>
      </c>
      <c r="AI2051">
        <f>IFERROR(VLOOKUP("221-027300-000",B:AB,26+8,0),0)</f>
        <v>0</v>
      </c>
      <c r="AJ2051">
        <f>IFERROR(VLOOKUP("221-027300-000",B:AB,27+8,0),0)</f>
        <v>0</v>
      </c>
      <c r="AK2051">
        <f>IFERROR(VLOOKUP("221-027300-000",B:AB,28+8,0),0)</f>
        <v>0</v>
      </c>
      <c r="AL2051">
        <f>IFERROR(VLOOKUP("221-027300-000",B:AB,29+8,0),0)</f>
        <v>0</v>
      </c>
      <c r="AM2051">
        <f>IFERROR(VLOOKUP("221-027300-000",B:AB,30+8,0),0)</f>
        <v>0</v>
      </c>
      <c r="AN2051">
        <f>IFERROR(VLOOKUP("221-027300-000",B:AB,31+8,0),0)</f>
        <v>0</v>
      </c>
      <c r="AO2051">
        <f>SUN(INDIRECT(ADDRESS(2050,8)):INDIRECT(ADDRESS(2050,39)))</f>
        <v>0</v>
      </c>
    </row>
    <row r="2052" spans="1:41">
      <c r="H2052" t="s">
        <v>179</v>
      </c>
      <c r="J2052">
        <f>INDIRECT(ADDRESS(2052,9))+INDIRECT(ADDRESS(2050,10))-INDIRECT(ADDRESS(2051,10))</f>
        <v>0</v>
      </c>
      <c r="K2052">
        <f>INDIRECT(ADDRESS(2052,10))+INDIRECT(ADDRESS(2050,11))-INDIRECT(ADDRESS(2051,11))</f>
        <v>0</v>
      </c>
      <c r="L2052">
        <f>INDIRECT(ADDRESS(2052,11))+INDIRECT(ADDRESS(2050,12))-INDIRECT(ADDRESS(2051,12))</f>
        <v>0</v>
      </c>
      <c r="M2052">
        <f>INDIRECT(ADDRESS(2052,12))+INDIRECT(ADDRESS(2050,13))-INDIRECT(ADDRESS(2051,13))</f>
        <v>0</v>
      </c>
      <c r="N2052">
        <f>INDIRECT(ADDRESS(2052,13))+INDIRECT(ADDRESS(2050,14))-INDIRECT(ADDRESS(2051,14))</f>
        <v>0</v>
      </c>
      <c r="O2052">
        <f>INDIRECT(ADDRESS(2052,14))+INDIRECT(ADDRESS(2050,15))-INDIRECT(ADDRESS(2051,15))</f>
        <v>0</v>
      </c>
      <c r="P2052">
        <f>INDIRECT(ADDRESS(2052,15))+INDIRECT(ADDRESS(2050,16))-INDIRECT(ADDRESS(2051,16))</f>
        <v>0</v>
      </c>
      <c r="Q2052">
        <f>INDIRECT(ADDRESS(2052,16))+INDIRECT(ADDRESS(2050,17))-INDIRECT(ADDRESS(2051,17))</f>
        <v>0</v>
      </c>
      <c r="R2052">
        <f>INDIRECT(ADDRESS(2052,17))+INDIRECT(ADDRESS(2050,18))-INDIRECT(ADDRESS(2051,18))</f>
        <v>0</v>
      </c>
      <c r="S2052">
        <f>INDIRECT(ADDRESS(2052,18))+INDIRECT(ADDRESS(2050,19))-INDIRECT(ADDRESS(2051,19))</f>
        <v>0</v>
      </c>
      <c r="T2052">
        <f>INDIRECT(ADDRESS(2052,19))+INDIRECT(ADDRESS(2050,20))-INDIRECT(ADDRESS(2051,20))</f>
        <v>0</v>
      </c>
      <c r="U2052">
        <f>INDIRECT(ADDRESS(2052,20))+INDIRECT(ADDRESS(2050,21))-INDIRECT(ADDRESS(2051,21))</f>
        <v>0</v>
      </c>
      <c r="V2052">
        <f>INDIRECT(ADDRESS(2052,21))+INDIRECT(ADDRESS(2050,22))-INDIRECT(ADDRESS(2051,22))</f>
        <v>0</v>
      </c>
      <c r="W2052">
        <f>INDIRECT(ADDRESS(2052,22))+INDIRECT(ADDRESS(2050,23))-INDIRECT(ADDRESS(2051,23))</f>
        <v>0</v>
      </c>
      <c r="X2052">
        <f>INDIRECT(ADDRESS(2052,23))+INDIRECT(ADDRESS(2050,24))-INDIRECT(ADDRESS(2051,24))</f>
        <v>0</v>
      </c>
      <c r="Y2052">
        <f>INDIRECT(ADDRESS(2052,24))+INDIRECT(ADDRESS(2050,25))-INDIRECT(ADDRESS(2051,25))</f>
        <v>0</v>
      </c>
      <c r="Z2052">
        <f>INDIRECT(ADDRESS(2052,25))+INDIRECT(ADDRESS(2050,26))-INDIRECT(ADDRESS(2051,26))</f>
        <v>0</v>
      </c>
      <c r="AA2052">
        <f>INDIRECT(ADDRESS(2052,26))+INDIRECT(ADDRESS(2050,27))-INDIRECT(ADDRESS(2051,27))</f>
        <v>0</v>
      </c>
      <c r="AB2052">
        <f>INDIRECT(ADDRESS(2052,27))+INDIRECT(ADDRESS(2050,28))-INDIRECT(ADDRESS(2051,28))</f>
        <v>0</v>
      </c>
      <c r="AC2052">
        <f>INDIRECT(ADDRESS(2052,28))+INDIRECT(ADDRESS(2050,29))-INDIRECT(ADDRESS(2051,29))</f>
        <v>0</v>
      </c>
      <c r="AD2052">
        <f>INDIRECT(ADDRESS(2052,29))+INDIRECT(ADDRESS(2050,30))-INDIRECT(ADDRESS(2051,30))</f>
        <v>0</v>
      </c>
      <c r="AE2052">
        <f>INDIRECT(ADDRESS(2052,30))+INDIRECT(ADDRESS(2050,31))-INDIRECT(ADDRESS(2051,31))</f>
        <v>0</v>
      </c>
      <c r="AF2052">
        <f>INDIRECT(ADDRESS(2052,31))+INDIRECT(ADDRESS(2050,32))-INDIRECT(ADDRESS(2051,32))</f>
        <v>0</v>
      </c>
      <c r="AG2052">
        <f>INDIRECT(ADDRESS(2052,32))+INDIRECT(ADDRESS(2050,33))-INDIRECT(ADDRESS(2051,33))</f>
        <v>0</v>
      </c>
      <c r="AH2052">
        <f>INDIRECT(ADDRESS(2052,33))+INDIRECT(ADDRESS(2050,34))-INDIRECT(ADDRESS(2051,34))</f>
        <v>0</v>
      </c>
      <c r="AI2052">
        <f>INDIRECT(ADDRESS(2052,34))+INDIRECT(ADDRESS(2050,35))-INDIRECT(ADDRESS(2051,35))</f>
        <v>0</v>
      </c>
      <c r="AJ2052">
        <f>INDIRECT(ADDRESS(2052,35))+INDIRECT(ADDRESS(2050,36))-INDIRECT(ADDRESS(2051,36))</f>
        <v>0</v>
      </c>
      <c r="AK2052">
        <f>INDIRECT(ADDRESS(2052,36))+INDIRECT(ADDRESS(2050,37))-INDIRECT(ADDRESS(2051,37))</f>
        <v>0</v>
      </c>
      <c r="AL2052">
        <f>INDIRECT(ADDRESS(2052,37))+INDIRECT(ADDRESS(2050,38))-INDIRECT(ADDRESS(2051,38))</f>
        <v>0</v>
      </c>
      <c r="AM2052">
        <f>INDIRECT(ADDRESS(2052,38))+INDIRECT(ADDRESS(2050,39))-INDIRECT(ADDRESS(2051,39))</f>
        <v>0</v>
      </c>
      <c r="AN2052">
        <f>INDIRECT(ADDRESS(2052,39))+INDIRECT(ADDRESS(2050,40))-INDIRECT(ADDRESS(2051,40))</f>
        <v>0</v>
      </c>
      <c r="AO2052">
        <f>SUM(INDIRECT(ADDRESS(2051,8)):INDIRECT(ADDRESS(2051,39)))</f>
        <v>0</v>
      </c>
    </row>
    <row r="2053" spans="1:41">
      <c r="A2053" t="s">
        <v>185</v>
      </c>
      <c r="B2053" t="s">
        <v>899</v>
      </c>
      <c r="C2053" t="s">
        <v>711</v>
      </c>
      <c r="E2053">
        <v>1</v>
      </c>
      <c r="I2053" t="s">
        <v>177</v>
      </c>
    </row>
    <row r="2054" spans="1:41">
      <c r="I2054" t="s">
        <v>178</v>
      </c>
      <c r="J2054">
        <f>IFERROR(VLOOKUP("221-027300-000",B:AB,1+8,0),0)</f>
        <v>0</v>
      </c>
      <c r="K2054">
        <f>IFERROR(VLOOKUP("221-027300-000",B:AB,2+8,0),0)</f>
        <v>0</v>
      </c>
      <c r="L2054">
        <f>IFERROR(VLOOKUP("221-027300-000",B:AB,3+8,0),0)</f>
        <v>0</v>
      </c>
      <c r="M2054">
        <f>IFERROR(VLOOKUP("221-027300-000",B:AB,4+8,0),0)</f>
        <v>0</v>
      </c>
      <c r="N2054">
        <f>IFERROR(VLOOKUP("221-027300-000",B:AB,5+8,0),0)</f>
        <v>0</v>
      </c>
      <c r="O2054">
        <f>IFERROR(VLOOKUP("221-027300-000",B:AB,6+8,0),0)</f>
        <v>0</v>
      </c>
      <c r="P2054">
        <f>IFERROR(VLOOKUP("221-027300-000",B:AB,7+8,0),0)</f>
        <v>0</v>
      </c>
      <c r="Q2054">
        <f>IFERROR(VLOOKUP("221-027300-000",B:AB,8+8,0),0)</f>
        <v>0</v>
      </c>
      <c r="R2054">
        <f>IFERROR(VLOOKUP("221-027300-000",B:AB,9+8,0),0)</f>
        <v>0</v>
      </c>
      <c r="S2054">
        <f>IFERROR(VLOOKUP("221-027300-000",B:AB,10+8,0),0)</f>
        <v>0</v>
      </c>
      <c r="T2054">
        <f>IFERROR(VLOOKUP("221-027300-000",B:AB,11+8,0),0)</f>
        <v>0</v>
      </c>
      <c r="U2054">
        <f>IFERROR(VLOOKUP("221-027300-000",B:AB,12+8,0),0)</f>
        <v>0</v>
      </c>
      <c r="V2054">
        <f>IFERROR(VLOOKUP("221-027300-000",B:AB,13+8,0),0)</f>
        <v>0</v>
      </c>
      <c r="W2054">
        <f>IFERROR(VLOOKUP("221-027300-000",B:AB,14+8,0),0)</f>
        <v>0</v>
      </c>
      <c r="X2054">
        <f>IFERROR(VLOOKUP("221-027300-000",B:AB,15+8,0),0)</f>
        <v>0</v>
      </c>
      <c r="Y2054">
        <f>IFERROR(VLOOKUP("221-027300-000",B:AB,16+8,0),0)</f>
        <v>0</v>
      </c>
      <c r="Z2054">
        <f>IFERROR(VLOOKUP("221-027300-000",B:AB,17+8,0),0)</f>
        <v>0</v>
      </c>
      <c r="AA2054">
        <f>IFERROR(VLOOKUP("221-027300-000",B:AB,18+8,0),0)</f>
        <v>0</v>
      </c>
      <c r="AB2054">
        <f>IFERROR(VLOOKUP("221-027300-000",B:AB,19+8,0),0)</f>
        <v>0</v>
      </c>
      <c r="AC2054">
        <f>IFERROR(VLOOKUP("221-027300-000",B:AB,20+8,0),0)</f>
        <v>0</v>
      </c>
      <c r="AD2054">
        <f>IFERROR(VLOOKUP("221-027300-000",B:AB,21+8,0),0)</f>
        <v>0</v>
      </c>
      <c r="AE2054">
        <f>IFERROR(VLOOKUP("221-027300-000",B:AB,22+8,0),0)</f>
        <v>0</v>
      </c>
      <c r="AF2054">
        <f>IFERROR(VLOOKUP("221-027300-000",B:AB,23+8,0),0)</f>
        <v>0</v>
      </c>
      <c r="AG2054">
        <f>IFERROR(VLOOKUP("221-027300-000",B:AB,24+8,0),0)</f>
        <v>0</v>
      </c>
      <c r="AH2054">
        <f>IFERROR(VLOOKUP("221-027300-000",B:AB,25+8,0),0)</f>
        <v>0</v>
      </c>
      <c r="AI2054">
        <f>IFERROR(VLOOKUP("221-027300-000",B:AB,26+8,0),0)</f>
        <v>0</v>
      </c>
      <c r="AJ2054">
        <f>IFERROR(VLOOKUP("221-027300-000",B:AB,27+8,0),0)</f>
        <v>0</v>
      </c>
      <c r="AK2054">
        <f>IFERROR(VLOOKUP("221-027300-000",B:AB,28+8,0),0)</f>
        <v>0</v>
      </c>
      <c r="AL2054">
        <f>IFERROR(VLOOKUP("221-027300-000",B:AB,29+8,0),0)</f>
        <v>0</v>
      </c>
      <c r="AM2054">
        <f>IFERROR(VLOOKUP("221-027300-000",B:AB,30+8,0),0)</f>
        <v>0</v>
      </c>
      <c r="AN2054">
        <f>IFERROR(VLOOKUP("221-027300-000",B:AB,31+8,0),0)</f>
        <v>0</v>
      </c>
      <c r="AO2054">
        <f>SUN(INDIRECT(ADDRESS(2053,8)):INDIRECT(ADDRESS(2053,39)))</f>
        <v>0</v>
      </c>
    </row>
    <row r="2055" spans="1:41">
      <c r="H2055" t="s">
        <v>179</v>
      </c>
      <c r="J2055">
        <f>INDIRECT(ADDRESS(2055,9))+INDIRECT(ADDRESS(2053,10))-INDIRECT(ADDRESS(2054,10))</f>
        <v>0</v>
      </c>
      <c r="K2055">
        <f>INDIRECT(ADDRESS(2055,10))+INDIRECT(ADDRESS(2053,11))-INDIRECT(ADDRESS(2054,11))</f>
        <v>0</v>
      </c>
      <c r="L2055">
        <f>INDIRECT(ADDRESS(2055,11))+INDIRECT(ADDRESS(2053,12))-INDIRECT(ADDRESS(2054,12))</f>
        <v>0</v>
      </c>
      <c r="M2055">
        <f>INDIRECT(ADDRESS(2055,12))+INDIRECT(ADDRESS(2053,13))-INDIRECT(ADDRESS(2054,13))</f>
        <v>0</v>
      </c>
      <c r="N2055">
        <f>INDIRECT(ADDRESS(2055,13))+INDIRECT(ADDRESS(2053,14))-INDIRECT(ADDRESS(2054,14))</f>
        <v>0</v>
      </c>
      <c r="O2055">
        <f>INDIRECT(ADDRESS(2055,14))+INDIRECT(ADDRESS(2053,15))-INDIRECT(ADDRESS(2054,15))</f>
        <v>0</v>
      </c>
      <c r="P2055">
        <f>INDIRECT(ADDRESS(2055,15))+INDIRECT(ADDRESS(2053,16))-INDIRECT(ADDRESS(2054,16))</f>
        <v>0</v>
      </c>
      <c r="Q2055">
        <f>INDIRECT(ADDRESS(2055,16))+INDIRECT(ADDRESS(2053,17))-INDIRECT(ADDRESS(2054,17))</f>
        <v>0</v>
      </c>
      <c r="R2055">
        <f>INDIRECT(ADDRESS(2055,17))+INDIRECT(ADDRESS(2053,18))-INDIRECT(ADDRESS(2054,18))</f>
        <v>0</v>
      </c>
      <c r="S2055">
        <f>INDIRECT(ADDRESS(2055,18))+INDIRECT(ADDRESS(2053,19))-INDIRECT(ADDRESS(2054,19))</f>
        <v>0</v>
      </c>
      <c r="T2055">
        <f>INDIRECT(ADDRESS(2055,19))+INDIRECT(ADDRESS(2053,20))-INDIRECT(ADDRESS(2054,20))</f>
        <v>0</v>
      </c>
      <c r="U2055">
        <f>INDIRECT(ADDRESS(2055,20))+INDIRECT(ADDRESS(2053,21))-INDIRECT(ADDRESS(2054,21))</f>
        <v>0</v>
      </c>
      <c r="V2055">
        <f>INDIRECT(ADDRESS(2055,21))+INDIRECT(ADDRESS(2053,22))-INDIRECT(ADDRESS(2054,22))</f>
        <v>0</v>
      </c>
      <c r="W2055">
        <f>INDIRECT(ADDRESS(2055,22))+INDIRECT(ADDRESS(2053,23))-INDIRECT(ADDRESS(2054,23))</f>
        <v>0</v>
      </c>
      <c r="X2055">
        <f>INDIRECT(ADDRESS(2055,23))+INDIRECT(ADDRESS(2053,24))-INDIRECT(ADDRESS(2054,24))</f>
        <v>0</v>
      </c>
      <c r="Y2055">
        <f>INDIRECT(ADDRESS(2055,24))+INDIRECT(ADDRESS(2053,25))-INDIRECT(ADDRESS(2054,25))</f>
        <v>0</v>
      </c>
      <c r="Z2055">
        <f>INDIRECT(ADDRESS(2055,25))+INDIRECT(ADDRESS(2053,26))-INDIRECT(ADDRESS(2054,26))</f>
        <v>0</v>
      </c>
      <c r="AA2055">
        <f>INDIRECT(ADDRESS(2055,26))+INDIRECT(ADDRESS(2053,27))-INDIRECT(ADDRESS(2054,27))</f>
        <v>0</v>
      </c>
      <c r="AB2055">
        <f>INDIRECT(ADDRESS(2055,27))+INDIRECT(ADDRESS(2053,28))-INDIRECT(ADDRESS(2054,28))</f>
        <v>0</v>
      </c>
      <c r="AC2055">
        <f>INDIRECT(ADDRESS(2055,28))+INDIRECT(ADDRESS(2053,29))-INDIRECT(ADDRESS(2054,29))</f>
        <v>0</v>
      </c>
      <c r="AD2055">
        <f>INDIRECT(ADDRESS(2055,29))+INDIRECT(ADDRESS(2053,30))-INDIRECT(ADDRESS(2054,30))</f>
        <v>0</v>
      </c>
      <c r="AE2055">
        <f>INDIRECT(ADDRESS(2055,30))+INDIRECT(ADDRESS(2053,31))-INDIRECT(ADDRESS(2054,31))</f>
        <v>0</v>
      </c>
      <c r="AF2055">
        <f>INDIRECT(ADDRESS(2055,31))+INDIRECT(ADDRESS(2053,32))-INDIRECT(ADDRESS(2054,32))</f>
        <v>0</v>
      </c>
      <c r="AG2055">
        <f>INDIRECT(ADDRESS(2055,32))+INDIRECT(ADDRESS(2053,33))-INDIRECT(ADDRESS(2054,33))</f>
        <v>0</v>
      </c>
      <c r="AH2055">
        <f>INDIRECT(ADDRESS(2055,33))+INDIRECT(ADDRESS(2053,34))-INDIRECT(ADDRESS(2054,34))</f>
        <v>0</v>
      </c>
      <c r="AI2055">
        <f>INDIRECT(ADDRESS(2055,34))+INDIRECT(ADDRESS(2053,35))-INDIRECT(ADDRESS(2054,35))</f>
        <v>0</v>
      </c>
      <c r="AJ2055">
        <f>INDIRECT(ADDRESS(2055,35))+INDIRECT(ADDRESS(2053,36))-INDIRECT(ADDRESS(2054,36))</f>
        <v>0</v>
      </c>
      <c r="AK2055">
        <f>INDIRECT(ADDRESS(2055,36))+INDIRECT(ADDRESS(2053,37))-INDIRECT(ADDRESS(2054,37))</f>
        <v>0</v>
      </c>
      <c r="AL2055">
        <f>INDIRECT(ADDRESS(2055,37))+INDIRECT(ADDRESS(2053,38))-INDIRECT(ADDRESS(2054,38))</f>
        <v>0</v>
      </c>
      <c r="AM2055">
        <f>INDIRECT(ADDRESS(2055,38))+INDIRECT(ADDRESS(2053,39))-INDIRECT(ADDRESS(2054,39))</f>
        <v>0</v>
      </c>
      <c r="AN2055">
        <f>INDIRECT(ADDRESS(2055,39))+INDIRECT(ADDRESS(2053,40))-INDIRECT(ADDRESS(2054,40))</f>
        <v>0</v>
      </c>
      <c r="AO2055">
        <f>SUM(INDIRECT(ADDRESS(2054,8)):INDIRECT(ADDRESS(2054,39)))</f>
        <v>0</v>
      </c>
    </row>
    <row r="2056" spans="1:41">
      <c r="A2056" t="s">
        <v>185</v>
      </c>
      <c r="B2056" t="s">
        <v>900</v>
      </c>
      <c r="C2056" t="s">
        <v>711</v>
      </c>
      <c r="E2056">
        <v>1</v>
      </c>
      <c r="I2056" t="s">
        <v>177</v>
      </c>
    </row>
    <row r="2057" spans="1:41">
      <c r="I2057" t="s">
        <v>178</v>
      </c>
      <c r="J2057">
        <f>IFERROR(VLOOKUP("221-027300-000",B:AB,1+8,0),0)</f>
        <v>0</v>
      </c>
      <c r="K2057">
        <f>IFERROR(VLOOKUP("221-027300-000",B:AB,2+8,0),0)</f>
        <v>0</v>
      </c>
      <c r="L2057">
        <f>IFERROR(VLOOKUP("221-027300-000",B:AB,3+8,0),0)</f>
        <v>0</v>
      </c>
      <c r="M2057">
        <f>IFERROR(VLOOKUP("221-027300-000",B:AB,4+8,0),0)</f>
        <v>0</v>
      </c>
      <c r="N2057">
        <f>IFERROR(VLOOKUP("221-027300-000",B:AB,5+8,0),0)</f>
        <v>0</v>
      </c>
      <c r="O2057">
        <f>IFERROR(VLOOKUP("221-027300-000",B:AB,6+8,0),0)</f>
        <v>0</v>
      </c>
      <c r="P2057">
        <f>IFERROR(VLOOKUP("221-027300-000",B:AB,7+8,0),0)</f>
        <v>0</v>
      </c>
      <c r="Q2057">
        <f>IFERROR(VLOOKUP("221-027300-000",B:AB,8+8,0),0)</f>
        <v>0</v>
      </c>
      <c r="R2057">
        <f>IFERROR(VLOOKUP("221-027300-000",B:AB,9+8,0),0)</f>
        <v>0</v>
      </c>
      <c r="S2057">
        <f>IFERROR(VLOOKUP("221-027300-000",B:AB,10+8,0),0)</f>
        <v>0</v>
      </c>
      <c r="T2057">
        <f>IFERROR(VLOOKUP("221-027300-000",B:AB,11+8,0),0)</f>
        <v>0</v>
      </c>
      <c r="U2057">
        <f>IFERROR(VLOOKUP("221-027300-000",B:AB,12+8,0),0)</f>
        <v>0</v>
      </c>
      <c r="V2057">
        <f>IFERROR(VLOOKUP("221-027300-000",B:AB,13+8,0),0)</f>
        <v>0</v>
      </c>
      <c r="W2057">
        <f>IFERROR(VLOOKUP("221-027300-000",B:AB,14+8,0),0)</f>
        <v>0</v>
      </c>
      <c r="X2057">
        <f>IFERROR(VLOOKUP("221-027300-000",B:AB,15+8,0),0)</f>
        <v>0</v>
      </c>
      <c r="Y2057">
        <f>IFERROR(VLOOKUP("221-027300-000",B:AB,16+8,0),0)</f>
        <v>0</v>
      </c>
      <c r="Z2057">
        <f>IFERROR(VLOOKUP("221-027300-000",B:AB,17+8,0),0)</f>
        <v>0</v>
      </c>
      <c r="AA2057">
        <f>IFERROR(VLOOKUP("221-027300-000",B:AB,18+8,0),0)</f>
        <v>0</v>
      </c>
      <c r="AB2057">
        <f>IFERROR(VLOOKUP("221-027300-000",B:AB,19+8,0),0)</f>
        <v>0</v>
      </c>
      <c r="AC2057">
        <f>IFERROR(VLOOKUP("221-027300-000",B:AB,20+8,0),0)</f>
        <v>0</v>
      </c>
      <c r="AD2057">
        <f>IFERROR(VLOOKUP("221-027300-000",B:AB,21+8,0),0)</f>
        <v>0</v>
      </c>
      <c r="AE2057">
        <f>IFERROR(VLOOKUP("221-027300-000",B:AB,22+8,0),0)</f>
        <v>0</v>
      </c>
      <c r="AF2057">
        <f>IFERROR(VLOOKUP("221-027300-000",B:AB,23+8,0),0)</f>
        <v>0</v>
      </c>
      <c r="AG2057">
        <f>IFERROR(VLOOKUP("221-027300-000",B:AB,24+8,0),0)</f>
        <v>0</v>
      </c>
      <c r="AH2057">
        <f>IFERROR(VLOOKUP("221-027300-000",B:AB,25+8,0),0)</f>
        <v>0</v>
      </c>
      <c r="AI2057">
        <f>IFERROR(VLOOKUP("221-027300-000",B:AB,26+8,0),0)</f>
        <v>0</v>
      </c>
      <c r="AJ2057">
        <f>IFERROR(VLOOKUP("221-027300-000",B:AB,27+8,0),0)</f>
        <v>0</v>
      </c>
      <c r="AK2057">
        <f>IFERROR(VLOOKUP("221-027300-000",B:AB,28+8,0),0)</f>
        <v>0</v>
      </c>
      <c r="AL2057">
        <f>IFERROR(VLOOKUP("221-027300-000",B:AB,29+8,0),0)</f>
        <v>0</v>
      </c>
      <c r="AM2057">
        <f>IFERROR(VLOOKUP("221-027300-000",B:AB,30+8,0),0)</f>
        <v>0</v>
      </c>
      <c r="AN2057">
        <f>IFERROR(VLOOKUP("221-027300-000",B:AB,31+8,0),0)</f>
        <v>0</v>
      </c>
      <c r="AO2057">
        <f>SUN(INDIRECT(ADDRESS(2056,8)):INDIRECT(ADDRESS(2056,39)))</f>
        <v>0</v>
      </c>
    </row>
    <row r="2058" spans="1:41">
      <c r="H2058" t="s">
        <v>179</v>
      </c>
      <c r="J2058">
        <f>INDIRECT(ADDRESS(2058,9))+INDIRECT(ADDRESS(2056,10))-INDIRECT(ADDRESS(2057,10))</f>
        <v>0</v>
      </c>
      <c r="K2058">
        <f>INDIRECT(ADDRESS(2058,10))+INDIRECT(ADDRESS(2056,11))-INDIRECT(ADDRESS(2057,11))</f>
        <v>0</v>
      </c>
      <c r="L2058">
        <f>INDIRECT(ADDRESS(2058,11))+INDIRECT(ADDRESS(2056,12))-INDIRECT(ADDRESS(2057,12))</f>
        <v>0</v>
      </c>
      <c r="M2058">
        <f>INDIRECT(ADDRESS(2058,12))+INDIRECT(ADDRESS(2056,13))-INDIRECT(ADDRESS(2057,13))</f>
        <v>0</v>
      </c>
      <c r="N2058">
        <f>INDIRECT(ADDRESS(2058,13))+INDIRECT(ADDRESS(2056,14))-INDIRECT(ADDRESS(2057,14))</f>
        <v>0</v>
      </c>
      <c r="O2058">
        <f>INDIRECT(ADDRESS(2058,14))+INDIRECT(ADDRESS(2056,15))-INDIRECT(ADDRESS(2057,15))</f>
        <v>0</v>
      </c>
      <c r="P2058">
        <f>INDIRECT(ADDRESS(2058,15))+INDIRECT(ADDRESS(2056,16))-INDIRECT(ADDRESS(2057,16))</f>
        <v>0</v>
      </c>
      <c r="Q2058">
        <f>INDIRECT(ADDRESS(2058,16))+INDIRECT(ADDRESS(2056,17))-INDIRECT(ADDRESS(2057,17))</f>
        <v>0</v>
      </c>
      <c r="R2058">
        <f>INDIRECT(ADDRESS(2058,17))+INDIRECT(ADDRESS(2056,18))-INDIRECT(ADDRESS(2057,18))</f>
        <v>0</v>
      </c>
      <c r="S2058">
        <f>INDIRECT(ADDRESS(2058,18))+INDIRECT(ADDRESS(2056,19))-INDIRECT(ADDRESS(2057,19))</f>
        <v>0</v>
      </c>
      <c r="T2058">
        <f>INDIRECT(ADDRESS(2058,19))+INDIRECT(ADDRESS(2056,20))-INDIRECT(ADDRESS(2057,20))</f>
        <v>0</v>
      </c>
      <c r="U2058">
        <f>INDIRECT(ADDRESS(2058,20))+INDIRECT(ADDRESS(2056,21))-INDIRECT(ADDRESS(2057,21))</f>
        <v>0</v>
      </c>
      <c r="V2058">
        <f>INDIRECT(ADDRESS(2058,21))+INDIRECT(ADDRESS(2056,22))-INDIRECT(ADDRESS(2057,22))</f>
        <v>0</v>
      </c>
      <c r="W2058">
        <f>INDIRECT(ADDRESS(2058,22))+INDIRECT(ADDRESS(2056,23))-INDIRECT(ADDRESS(2057,23))</f>
        <v>0</v>
      </c>
      <c r="X2058">
        <f>INDIRECT(ADDRESS(2058,23))+INDIRECT(ADDRESS(2056,24))-INDIRECT(ADDRESS(2057,24))</f>
        <v>0</v>
      </c>
      <c r="Y2058">
        <f>INDIRECT(ADDRESS(2058,24))+INDIRECT(ADDRESS(2056,25))-INDIRECT(ADDRESS(2057,25))</f>
        <v>0</v>
      </c>
      <c r="Z2058">
        <f>INDIRECT(ADDRESS(2058,25))+INDIRECT(ADDRESS(2056,26))-INDIRECT(ADDRESS(2057,26))</f>
        <v>0</v>
      </c>
      <c r="AA2058">
        <f>INDIRECT(ADDRESS(2058,26))+INDIRECT(ADDRESS(2056,27))-INDIRECT(ADDRESS(2057,27))</f>
        <v>0</v>
      </c>
      <c r="AB2058">
        <f>INDIRECT(ADDRESS(2058,27))+INDIRECT(ADDRESS(2056,28))-INDIRECT(ADDRESS(2057,28))</f>
        <v>0</v>
      </c>
      <c r="AC2058">
        <f>INDIRECT(ADDRESS(2058,28))+INDIRECT(ADDRESS(2056,29))-INDIRECT(ADDRESS(2057,29))</f>
        <v>0</v>
      </c>
      <c r="AD2058">
        <f>INDIRECT(ADDRESS(2058,29))+INDIRECT(ADDRESS(2056,30))-INDIRECT(ADDRESS(2057,30))</f>
        <v>0</v>
      </c>
      <c r="AE2058">
        <f>INDIRECT(ADDRESS(2058,30))+INDIRECT(ADDRESS(2056,31))-INDIRECT(ADDRESS(2057,31))</f>
        <v>0</v>
      </c>
      <c r="AF2058">
        <f>INDIRECT(ADDRESS(2058,31))+INDIRECT(ADDRESS(2056,32))-INDIRECT(ADDRESS(2057,32))</f>
        <v>0</v>
      </c>
      <c r="AG2058">
        <f>INDIRECT(ADDRESS(2058,32))+INDIRECT(ADDRESS(2056,33))-INDIRECT(ADDRESS(2057,33))</f>
        <v>0</v>
      </c>
      <c r="AH2058">
        <f>INDIRECT(ADDRESS(2058,33))+INDIRECT(ADDRESS(2056,34))-INDIRECT(ADDRESS(2057,34))</f>
        <v>0</v>
      </c>
      <c r="AI2058">
        <f>INDIRECT(ADDRESS(2058,34))+INDIRECT(ADDRESS(2056,35))-INDIRECT(ADDRESS(2057,35))</f>
        <v>0</v>
      </c>
      <c r="AJ2058">
        <f>INDIRECT(ADDRESS(2058,35))+INDIRECT(ADDRESS(2056,36))-INDIRECT(ADDRESS(2057,36))</f>
        <v>0</v>
      </c>
      <c r="AK2058">
        <f>INDIRECT(ADDRESS(2058,36))+INDIRECT(ADDRESS(2056,37))-INDIRECT(ADDRESS(2057,37))</f>
        <v>0</v>
      </c>
      <c r="AL2058">
        <f>INDIRECT(ADDRESS(2058,37))+INDIRECT(ADDRESS(2056,38))-INDIRECT(ADDRESS(2057,38))</f>
        <v>0</v>
      </c>
      <c r="AM2058">
        <f>INDIRECT(ADDRESS(2058,38))+INDIRECT(ADDRESS(2056,39))-INDIRECT(ADDRESS(2057,39))</f>
        <v>0</v>
      </c>
      <c r="AN2058">
        <f>INDIRECT(ADDRESS(2058,39))+INDIRECT(ADDRESS(2056,40))-INDIRECT(ADDRESS(2057,40))</f>
        <v>0</v>
      </c>
      <c r="AO2058">
        <f>SUM(INDIRECT(ADDRESS(2057,8)):INDIRECT(ADDRESS(2057,39)))</f>
        <v>0</v>
      </c>
    </row>
    <row r="2059" spans="1:41">
      <c r="A2059" t="s">
        <v>185</v>
      </c>
      <c r="B2059" t="s">
        <v>901</v>
      </c>
      <c r="C2059" t="s">
        <v>711</v>
      </c>
      <c r="E2059">
        <v>1</v>
      </c>
      <c r="I2059" t="s">
        <v>177</v>
      </c>
    </row>
    <row r="2060" spans="1:41">
      <c r="I2060" t="s">
        <v>178</v>
      </c>
      <c r="J2060">
        <f>IFERROR(VLOOKUP("221-027300-000",B:AB,1+8,0),0)</f>
        <v>0</v>
      </c>
      <c r="K2060">
        <f>IFERROR(VLOOKUP("221-027300-000",B:AB,2+8,0),0)</f>
        <v>0</v>
      </c>
      <c r="L2060">
        <f>IFERROR(VLOOKUP("221-027300-000",B:AB,3+8,0),0)</f>
        <v>0</v>
      </c>
      <c r="M2060">
        <f>IFERROR(VLOOKUP("221-027300-000",B:AB,4+8,0),0)</f>
        <v>0</v>
      </c>
      <c r="N2060">
        <f>IFERROR(VLOOKUP("221-027300-000",B:AB,5+8,0),0)</f>
        <v>0</v>
      </c>
      <c r="O2060">
        <f>IFERROR(VLOOKUP("221-027300-000",B:AB,6+8,0),0)</f>
        <v>0</v>
      </c>
      <c r="P2060">
        <f>IFERROR(VLOOKUP("221-027300-000",B:AB,7+8,0),0)</f>
        <v>0</v>
      </c>
      <c r="Q2060">
        <f>IFERROR(VLOOKUP("221-027300-000",B:AB,8+8,0),0)</f>
        <v>0</v>
      </c>
      <c r="R2060">
        <f>IFERROR(VLOOKUP("221-027300-000",B:AB,9+8,0),0)</f>
        <v>0</v>
      </c>
      <c r="S2060">
        <f>IFERROR(VLOOKUP("221-027300-000",B:AB,10+8,0),0)</f>
        <v>0</v>
      </c>
      <c r="T2060">
        <f>IFERROR(VLOOKUP("221-027300-000",B:AB,11+8,0),0)</f>
        <v>0</v>
      </c>
      <c r="U2060">
        <f>IFERROR(VLOOKUP("221-027300-000",B:AB,12+8,0),0)</f>
        <v>0</v>
      </c>
      <c r="V2060">
        <f>IFERROR(VLOOKUP("221-027300-000",B:AB,13+8,0),0)</f>
        <v>0</v>
      </c>
      <c r="W2060">
        <f>IFERROR(VLOOKUP("221-027300-000",B:AB,14+8,0),0)</f>
        <v>0</v>
      </c>
      <c r="X2060">
        <f>IFERROR(VLOOKUP("221-027300-000",B:AB,15+8,0),0)</f>
        <v>0</v>
      </c>
      <c r="Y2060">
        <f>IFERROR(VLOOKUP("221-027300-000",B:AB,16+8,0),0)</f>
        <v>0</v>
      </c>
      <c r="Z2060">
        <f>IFERROR(VLOOKUP("221-027300-000",B:AB,17+8,0),0)</f>
        <v>0</v>
      </c>
      <c r="AA2060">
        <f>IFERROR(VLOOKUP("221-027300-000",B:AB,18+8,0),0)</f>
        <v>0</v>
      </c>
      <c r="AB2060">
        <f>IFERROR(VLOOKUP("221-027300-000",B:AB,19+8,0),0)</f>
        <v>0</v>
      </c>
      <c r="AC2060">
        <f>IFERROR(VLOOKUP("221-027300-000",B:AB,20+8,0),0)</f>
        <v>0</v>
      </c>
      <c r="AD2060">
        <f>IFERROR(VLOOKUP("221-027300-000",B:AB,21+8,0),0)</f>
        <v>0</v>
      </c>
      <c r="AE2060">
        <f>IFERROR(VLOOKUP("221-027300-000",B:AB,22+8,0),0)</f>
        <v>0</v>
      </c>
      <c r="AF2060">
        <f>IFERROR(VLOOKUP("221-027300-000",B:AB,23+8,0),0)</f>
        <v>0</v>
      </c>
      <c r="AG2060">
        <f>IFERROR(VLOOKUP("221-027300-000",B:AB,24+8,0),0)</f>
        <v>0</v>
      </c>
      <c r="AH2060">
        <f>IFERROR(VLOOKUP("221-027300-000",B:AB,25+8,0),0)</f>
        <v>0</v>
      </c>
      <c r="AI2060">
        <f>IFERROR(VLOOKUP("221-027300-000",B:AB,26+8,0),0)</f>
        <v>0</v>
      </c>
      <c r="AJ2060">
        <f>IFERROR(VLOOKUP("221-027300-000",B:AB,27+8,0),0)</f>
        <v>0</v>
      </c>
      <c r="AK2060">
        <f>IFERROR(VLOOKUP("221-027300-000",B:AB,28+8,0),0)</f>
        <v>0</v>
      </c>
      <c r="AL2060">
        <f>IFERROR(VLOOKUP("221-027300-000",B:AB,29+8,0),0)</f>
        <v>0</v>
      </c>
      <c r="AM2060">
        <f>IFERROR(VLOOKUP("221-027300-000",B:AB,30+8,0),0)</f>
        <v>0</v>
      </c>
      <c r="AN2060">
        <f>IFERROR(VLOOKUP("221-027300-000",B:AB,31+8,0),0)</f>
        <v>0</v>
      </c>
      <c r="AO2060">
        <f>SUN(INDIRECT(ADDRESS(2059,8)):INDIRECT(ADDRESS(2059,39)))</f>
        <v>0</v>
      </c>
    </row>
    <row r="2061" spans="1:41">
      <c r="H2061" t="s">
        <v>179</v>
      </c>
      <c r="J2061">
        <f>INDIRECT(ADDRESS(2061,9))+INDIRECT(ADDRESS(2059,10))-INDIRECT(ADDRESS(2060,10))</f>
        <v>0</v>
      </c>
      <c r="K2061">
        <f>INDIRECT(ADDRESS(2061,10))+INDIRECT(ADDRESS(2059,11))-INDIRECT(ADDRESS(2060,11))</f>
        <v>0</v>
      </c>
      <c r="L2061">
        <f>INDIRECT(ADDRESS(2061,11))+INDIRECT(ADDRESS(2059,12))-INDIRECT(ADDRESS(2060,12))</f>
        <v>0</v>
      </c>
      <c r="M2061">
        <f>INDIRECT(ADDRESS(2061,12))+INDIRECT(ADDRESS(2059,13))-INDIRECT(ADDRESS(2060,13))</f>
        <v>0</v>
      </c>
      <c r="N2061">
        <f>INDIRECT(ADDRESS(2061,13))+INDIRECT(ADDRESS(2059,14))-INDIRECT(ADDRESS(2060,14))</f>
        <v>0</v>
      </c>
      <c r="O2061">
        <f>INDIRECT(ADDRESS(2061,14))+INDIRECT(ADDRESS(2059,15))-INDIRECT(ADDRESS(2060,15))</f>
        <v>0</v>
      </c>
      <c r="P2061">
        <f>INDIRECT(ADDRESS(2061,15))+INDIRECT(ADDRESS(2059,16))-INDIRECT(ADDRESS(2060,16))</f>
        <v>0</v>
      </c>
      <c r="Q2061">
        <f>INDIRECT(ADDRESS(2061,16))+INDIRECT(ADDRESS(2059,17))-INDIRECT(ADDRESS(2060,17))</f>
        <v>0</v>
      </c>
      <c r="R2061">
        <f>INDIRECT(ADDRESS(2061,17))+INDIRECT(ADDRESS(2059,18))-INDIRECT(ADDRESS(2060,18))</f>
        <v>0</v>
      </c>
      <c r="S2061">
        <f>INDIRECT(ADDRESS(2061,18))+INDIRECT(ADDRESS(2059,19))-INDIRECT(ADDRESS(2060,19))</f>
        <v>0</v>
      </c>
      <c r="T2061">
        <f>INDIRECT(ADDRESS(2061,19))+INDIRECT(ADDRESS(2059,20))-INDIRECT(ADDRESS(2060,20))</f>
        <v>0</v>
      </c>
      <c r="U2061">
        <f>INDIRECT(ADDRESS(2061,20))+INDIRECT(ADDRESS(2059,21))-INDIRECT(ADDRESS(2060,21))</f>
        <v>0</v>
      </c>
      <c r="V2061">
        <f>INDIRECT(ADDRESS(2061,21))+INDIRECT(ADDRESS(2059,22))-INDIRECT(ADDRESS(2060,22))</f>
        <v>0</v>
      </c>
      <c r="W2061">
        <f>INDIRECT(ADDRESS(2061,22))+INDIRECT(ADDRESS(2059,23))-INDIRECT(ADDRESS(2060,23))</f>
        <v>0</v>
      </c>
      <c r="X2061">
        <f>INDIRECT(ADDRESS(2061,23))+INDIRECT(ADDRESS(2059,24))-INDIRECT(ADDRESS(2060,24))</f>
        <v>0</v>
      </c>
      <c r="Y2061">
        <f>INDIRECT(ADDRESS(2061,24))+INDIRECT(ADDRESS(2059,25))-INDIRECT(ADDRESS(2060,25))</f>
        <v>0</v>
      </c>
      <c r="Z2061">
        <f>INDIRECT(ADDRESS(2061,25))+INDIRECT(ADDRESS(2059,26))-INDIRECT(ADDRESS(2060,26))</f>
        <v>0</v>
      </c>
      <c r="AA2061">
        <f>INDIRECT(ADDRESS(2061,26))+INDIRECT(ADDRESS(2059,27))-INDIRECT(ADDRESS(2060,27))</f>
        <v>0</v>
      </c>
      <c r="AB2061">
        <f>INDIRECT(ADDRESS(2061,27))+INDIRECT(ADDRESS(2059,28))-INDIRECT(ADDRESS(2060,28))</f>
        <v>0</v>
      </c>
      <c r="AC2061">
        <f>INDIRECT(ADDRESS(2061,28))+INDIRECT(ADDRESS(2059,29))-INDIRECT(ADDRESS(2060,29))</f>
        <v>0</v>
      </c>
      <c r="AD2061">
        <f>INDIRECT(ADDRESS(2061,29))+INDIRECT(ADDRESS(2059,30))-INDIRECT(ADDRESS(2060,30))</f>
        <v>0</v>
      </c>
      <c r="AE2061">
        <f>INDIRECT(ADDRESS(2061,30))+INDIRECT(ADDRESS(2059,31))-INDIRECT(ADDRESS(2060,31))</f>
        <v>0</v>
      </c>
      <c r="AF2061">
        <f>INDIRECT(ADDRESS(2061,31))+INDIRECT(ADDRESS(2059,32))-INDIRECT(ADDRESS(2060,32))</f>
        <v>0</v>
      </c>
      <c r="AG2061">
        <f>INDIRECT(ADDRESS(2061,32))+INDIRECT(ADDRESS(2059,33))-INDIRECT(ADDRESS(2060,33))</f>
        <v>0</v>
      </c>
      <c r="AH2061">
        <f>INDIRECT(ADDRESS(2061,33))+INDIRECT(ADDRESS(2059,34))-INDIRECT(ADDRESS(2060,34))</f>
        <v>0</v>
      </c>
      <c r="AI2061">
        <f>INDIRECT(ADDRESS(2061,34))+INDIRECT(ADDRESS(2059,35))-INDIRECT(ADDRESS(2060,35))</f>
        <v>0</v>
      </c>
      <c r="AJ2061">
        <f>INDIRECT(ADDRESS(2061,35))+INDIRECT(ADDRESS(2059,36))-INDIRECT(ADDRESS(2060,36))</f>
        <v>0</v>
      </c>
      <c r="AK2061">
        <f>INDIRECT(ADDRESS(2061,36))+INDIRECT(ADDRESS(2059,37))-INDIRECT(ADDRESS(2060,37))</f>
        <v>0</v>
      </c>
      <c r="AL2061">
        <f>INDIRECT(ADDRESS(2061,37))+INDIRECT(ADDRESS(2059,38))-INDIRECT(ADDRESS(2060,38))</f>
        <v>0</v>
      </c>
      <c r="AM2061">
        <f>INDIRECT(ADDRESS(2061,38))+INDIRECT(ADDRESS(2059,39))-INDIRECT(ADDRESS(2060,39))</f>
        <v>0</v>
      </c>
      <c r="AN2061">
        <f>INDIRECT(ADDRESS(2061,39))+INDIRECT(ADDRESS(2059,40))-INDIRECT(ADDRESS(2060,40))</f>
        <v>0</v>
      </c>
      <c r="AO2061">
        <f>SUM(INDIRECT(ADDRESS(2060,8)):INDIRECT(ADDRESS(2060,39)))</f>
        <v>0</v>
      </c>
    </row>
    <row r="2062" spans="1:41">
      <c r="A2062" t="s">
        <v>185</v>
      </c>
      <c r="B2062" t="s">
        <v>902</v>
      </c>
      <c r="C2062" t="s">
        <v>711</v>
      </c>
      <c r="E2062">
        <v>1</v>
      </c>
      <c r="I2062" t="s">
        <v>177</v>
      </c>
    </row>
    <row r="2063" spans="1:41">
      <c r="I2063" t="s">
        <v>178</v>
      </c>
      <c r="J2063">
        <f>IFERROR(VLOOKUP("221-027300-000",B:AB,1+8,0),0)</f>
        <v>0</v>
      </c>
      <c r="K2063">
        <f>IFERROR(VLOOKUP("221-027300-000",B:AB,2+8,0),0)</f>
        <v>0</v>
      </c>
      <c r="L2063">
        <f>IFERROR(VLOOKUP("221-027300-000",B:AB,3+8,0),0)</f>
        <v>0</v>
      </c>
      <c r="M2063">
        <f>IFERROR(VLOOKUP("221-027300-000",B:AB,4+8,0),0)</f>
        <v>0</v>
      </c>
      <c r="N2063">
        <f>IFERROR(VLOOKUP("221-027300-000",B:AB,5+8,0),0)</f>
        <v>0</v>
      </c>
      <c r="O2063">
        <f>IFERROR(VLOOKUP("221-027300-000",B:AB,6+8,0),0)</f>
        <v>0</v>
      </c>
      <c r="P2063">
        <f>IFERROR(VLOOKUP("221-027300-000",B:AB,7+8,0),0)</f>
        <v>0</v>
      </c>
      <c r="Q2063">
        <f>IFERROR(VLOOKUP("221-027300-000",B:AB,8+8,0),0)</f>
        <v>0</v>
      </c>
      <c r="R2063">
        <f>IFERROR(VLOOKUP("221-027300-000",B:AB,9+8,0),0)</f>
        <v>0</v>
      </c>
      <c r="S2063">
        <f>IFERROR(VLOOKUP("221-027300-000",B:AB,10+8,0),0)</f>
        <v>0</v>
      </c>
      <c r="T2063">
        <f>IFERROR(VLOOKUP("221-027300-000",B:AB,11+8,0),0)</f>
        <v>0</v>
      </c>
      <c r="U2063">
        <f>IFERROR(VLOOKUP("221-027300-000",B:AB,12+8,0),0)</f>
        <v>0</v>
      </c>
      <c r="V2063">
        <f>IFERROR(VLOOKUP("221-027300-000",B:AB,13+8,0),0)</f>
        <v>0</v>
      </c>
      <c r="W2063">
        <f>IFERROR(VLOOKUP("221-027300-000",B:AB,14+8,0),0)</f>
        <v>0</v>
      </c>
      <c r="X2063">
        <f>IFERROR(VLOOKUP("221-027300-000",B:AB,15+8,0),0)</f>
        <v>0</v>
      </c>
      <c r="Y2063">
        <f>IFERROR(VLOOKUP("221-027300-000",B:AB,16+8,0),0)</f>
        <v>0</v>
      </c>
      <c r="Z2063">
        <f>IFERROR(VLOOKUP("221-027300-000",B:AB,17+8,0),0)</f>
        <v>0</v>
      </c>
      <c r="AA2063">
        <f>IFERROR(VLOOKUP("221-027300-000",B:AB,18+8,0),0)</f>
        <v>0</v>
      </c>
      <c r="AB2063">
        <f>IFERROR(VLOOKUP("221-027300-000",B:AB,19+8,0),0)</f>
        <v>0</v>
      </c>
      <c r="AC2063">
        <f>IFERROR(VLOOKUP("221-027300-000",B:AB,20+8,0),0)</f>
        <v>0</v>
      </c>
      <c r="AD2063">
        <f>IFERROR(VLOOKUP("221-027300-000",B:AB,21+8,0),0)</f>
        <v>0</v>
      </c>
      <c r="AE2063">
        <f>IFERROR(VLOOKUP("221-027300-000",B:AB,22+8,0),0)</f>
        <v>0</v>
      </c>
      <c r="AF2063">
        <f>IFERROR(VLOOKUP("221-027300-000",B:AB,23+8,0),0)</f>
        <v>0</v>
      </c>
      <c r="AG2063">
        <f>IFERROR(VLOOKUP("221-027300-000",B:AB,24+8,0),0)</f>
        <v>0</v>
      </c>
      <c r="AH2063">
        <f>IFERROR(VLOOKUP("221-027300-000",B:AB,25+8,0),0)</f>
        <v>0</v>
      </c>
      <c r="AI2063">
        <f>IFERROR(VLOOKUP("221-027300-000",B:AB,26+8,0),0)</f>
        <v>0</v>
      </c>
      <c r="AJ2063">
        <f>IFERROR(VLOOKUP("221-027300-000",B:AB,27+8,0),0)</f>
        <v>0</v>
      </c>
      <c r="AK2063">
        <f>IFERROR(VLOOKUP("221-027300-000",B:AB,28+8,0),0)</f>
        <v>0</v>
      </c>
      <c r="AL2063">
        <f>IFERROR(VLOOKUP("221-027300-000",B:AB,29+8,0),0)</f>
        <v>0</v>
      </c>
      <c r="AM2063">
        <f>IFERROR(VLOOKUP("221-027300-000",B:AB,30+8,0),0)</f>
        <v>0</v>
      </c>
      <c r="AN2063">
        <f>IFERROR(VLOOKUP("221-027300-000",B:AB,31+8,0),0)</f>
        <v>0</v>
      </c>
      <c r="AO2063">
        <f>SUN(INDIRECT(ADDRESS(2062,8)):INDIRECT(ADDRESS(2062,39)))</f>
        <v>0</v>
      </c>
    </row>
    <row r="2064" spans="1:41">
      <c r="H2064" t="s">
        <v>179</v>
      </c>
      <c r="J2064">
        <f>INDIRECT(ADDRESS(2064,9))+INDIRECT(ADDRESS(2062,10))-INDIRECT(ADDRESS(2063,10))</f>
        <v>0</v>
      </c>
      <c r="K2064">
        <f>INDIRECT(ADDRESS(2064,10))+INDIRECT(ADDRESS(2062,11))-INDIRECT(ADDRESS(2063,11))</f>
        <v>0</v>
      </c>
      <c r="L2064">
        <f>INDIRECT(ADDRESS(2064,11))+INDIRECT(ADDRESS(2062,12))-INDIRECT(ADDRESS(2063,12))</f>
        <v>0</v>
      </c>
      <c r="M2064">
        <f>INDIRECT(ADDRESS(2064,12))+INDIRECT(ADDRESS(2062,13))-INDIRECT(ADDRESS(2063,13))</f>
        <v>0</v>
      </c>
      <c r="N2064">
        <f>INDIRECT(ADDRESS(2064,13))+INDIRECT(ADDRESS(2062,14))-INDIRECT(ADDRESS(2063,14))</f>
        <v>0</v>
      </c>
      <c r="O2064">
        <f>INDIRECT(ADDRESS(2064,14))+INDIRECT(ADDRESS(2062,15))-INDIRECT(ADDRESS(2063,15))</f>
        <v>0</v>
      </c>
      <c r="P2064">
        <f>INDIRECT(ADDRESS(2064,15))+INDIRECT(ADDRESS(2062,16))-INDIRECT(ADDRESS(2063,16))</f>
        <v>0</v>
      </c>
      <c r="Q2064">
        <f>INDIRECT(ADDRESS(2064,16))+INDIRECT(ADDRESS(2062,17))-INDIRECT(ADDRESS(2063,17))</f>
        <v>0</v>
      </c>
      <c r="R2064">
        <f>INDIRECT(ADDRESS(2064,17))+INDIRECT(ADDRESS(2062,18))-INDIRECT(ADDRESS(2063,18))</f>
        <v>0</v>
      </c>
      <c r="S2064">
        <f>INDIRECT(ADDRESS(2064,18))+INDIRECT(ADDRESS(2062,19))-INDIRECT(ADDRESS(2063,19))</f>
        <v>0</v>
      </c>
      <c r="T2064">
        <f>INDIRECT(ADDRESS(2064,19))+INDIRECT(ADDRESS(2062,20))-INDIRECT(ADDRESS(2063,20))</f>
        <v>0</v>
      </c>
      <c r="U2064">
        <f>INDIRECT(ADDRESS(2064,20))+INDIRECT(ADDRESS(2062,21))-INDIRECT(ADDRESS(2063,21))</f>
        <v>0</v>
      </c>
      <c r="V2064">
        <f>INDIRECT(ADDRESS(2064,21))+INDIRECT(ADDRESS(2062,22))-INDIRECT(ADDRESS(2063,22))</f>
        <v>0</v>
      </c>
      <c r="W2064">
        <f>INDIRECT(ADDRESS(2064,22))+INDIRECT(ADDRESS(2062,23))-INDIRECT(ADDRESS(2063,23))</f>
        <v>0</v>
      </c>
      <c r="X2064">
        <f>INDIRECT(ADDRESS(2064,23))+INDIRECT(ADDRESS(2062,24))-INDIRECT(ADDRESS(2063,24))</f>
        <v>0</v>
      </c>
      <c r="Y2064">
        <f>INDIRECT(ADDRESS(2064,24))+INDIRECT(ADDRESS(2062,25))-INDIRECT(ADDRESS(2063,25))</f>
        <v>0</v>
      </c>
      <c r="Z2064">
        <f>INDIRECT(ADDRESS(2064,25))+INDIRECT(ADDRESS(2062,26))-INDIRECT(ADDRESS(2063,26))</f>
        <v>0</v>
      </c>
      <c r="AA2064">
        <f>INDIRECT(ADDRESS(2064,26))+INDIRECT(ADDRESS(2062,27))-INDIRECT(ADDRESS(2063,27))</f>
        <v>0</v>
      </c>
      <c r="AB2064">
        <f>INDIRECT(ADDRESS(2064,27))+INDIRECT(ADDRESS(2062,28))-INDIRECT(ADDRESS(2063,28))</f>
        <v>0</v>
      </c>
      <c r="AC2064">
        <f>INDIRECT(ADDRESS(2064,28))+INDIRECT(ADDRESS(2062,29))-INDIRECT(ADDRESS(2063,29))</f>
        <v>0</v>
      </c>
      <c r="AD2064">
        <f>INDIRECT(ADDRESS(2064,29))+INDIRECT(ADDRESS(2062,30))-INDIRECT(ADDRESS(2063,30))</f>
        <v>0</v>
      </c>
      <c r="AE2064">
        <f>INDIRECT(ADDRESS(2064,30))+INDIRECT(ADDRESS(2062,31))-INDIRECT(ADDRESS(2063,31))</f>
        <v>0</v>
      </c>
      <c r="AF2064">
        <f>INDIRECT(ADDRESS(2064,31))+INDIRECT(ADDRESS(2062,32))-INDIRECT(ADDRESS(2063,32))</f>
        <v>0</v>
      </c>
      <c r="AG2064">
        <f>INDIRECT(ADDRESS(2064,32))+INDIRECT(ADDRESS(2062,33))-INDIRECT(ADDRESS(2063,33))</f>
        <v>0</v>
      </c>
      <c r="AH2064">
        <f>INDIRECT(ADDRESS(2064,33))+INDIRECT(ADDRESS(2062,34))-INDIRECT(ADDRESS(2063,34))</f>
        <v>0</v>
      </c>
      <c r="AI2064">
        <f>INDIRECT(ADDRESS(2064,34))+INDIRECT(ADDRESS(2062,35))-INDIRECT(ADDRESS(2063,35))</f>
        <v>0</v>
      </c>
      <c r="AJ2064">
        <f>INDIRECT(ADDRESS(2064,35))+INDIRECT(ADDRESS(2062,36))-INDIRECT(ADDRESS(2063,36))</f>
        <v>0</v>
      </c>
      <c r="AK2064">
        <f>INDIRECT(ADDRESS(2064,36))+INDIRECT(ADDRESS(2062,37))-INDIRECT(ADDRESS(2063,37))</f>
        <v>0</v>
      </c>
      <c r="AL2064">
        <f>INDIRECT(ADDRESS(2064,37))+INDIRECT(ADDRESS(2062,38))-INDIRECT(ADDRESS(2063,38))</f>
        <v>0</v>
      </c>
      <c r="AM2064">
        <f>INDIRECT(ADDRESS(2064,38))+INDIRECT(ADDRESS(2062,39))-INDIRECT(ADDRESS(2063,39))</f>
        <v>0</v>
      </c>
      <c r="AN2064">
        <f>INDIRECT(ADDRESS(2064,39))+INDIRECT(ADDRESS(2062,40))-INDIRECT(ADDRESS(2063,40))</f>
        <v>0</v>
      </c>
      <c r="AO2064">
        <f>SUM(INDIRECT(ADDRESS(2063,8)):INDIRECT(ADDRESS(2063,39)))</f>
        <v>0</v>
      </c>
    </row>
    <row r="2065" spans="1:41">
      <c r="A2065" t="s">
        <v>185</v>
      </c>
      <c r="B2065" t="s">
        <v>903</v>
      </c>
      <c r="C2065" t="s">
        <v>904</v>
      </c>
      <c r="E2065">
        <v>0.001</v>
      </c>
      <c r="I2065" t="s">
        <v>177</v>
      </c>
    </row>
    <row r="2066" spans="1:41">
      <c r="I2066" t="s">
        <v>178</v>
      </c>
      <c r="J2066">
        <f>IFERROR(VLOOKUP("221-027300-000",B:AB,1+8,0),0)</f>
        <v>0</v>
      </c>
      <c r="K2066">
        <f>IFERROR(VLOOKUP("221-027300-000",B:AB,2+8,0),0)</f>
        <v>0</v>
      </c>
      <c r="L2066">
        <f>IFERROR(VLOOKUP("221-027300-000",B:AB,3+8,0),0)</f>
        <v>0</v>
      </c>
      <c r="M2066">
        <f>IFERROR(VLOOKUP("221-027300-000",B:AB,4+8,0),0)</f>
        <v>0</v>
      </c>
      <c r="N2066">
        <f>IFERROR(VLOOKUP("221-027300-000",B:AB,5+8,0),0)</f>
        <v>0</v>
      </c>
      <c r="O2066">
        <f>IFERROR(VLOOKUP("221-027300-000",B:AB,6+8,0),0)</f>
        <v>0</v>
      </c>
      <c r="P2066">
        <f>IFERROR(VLOOKUP("221-027300-000",B:AB,7+8,0),0)</f>
        <v>0</v>
      </c>
      <c r="Q2066">
        <f>IFERROR(VLOOKUP("221-027300-000",B:AB,8+8,0),0)</f>
        <v>0</v>
      </c>
      <c r="R2066">
        <f>IFERROR(VLOOKUP("221-027300-000",B:AB,9+8,0),0)</f>
        <v>0</v>
      </c>
      <c r="S2066">
        <f>IFERROR(VLOOKUP("221-027300-000",B:AB,10+8,0),0)</f>
        <v>0</v>
      </c>
      <c r="T2066">
        <f>IFERROR(VLOOKUP("221-027300-000",B:AB,11+8,0),0)</f>
        <v>0</v>
      </c>
      <c r="U2066">
        <f>IFERROR(VLOOKUP("221-027300-000",B:AB,12+8,0),0)</f>
        <v>0</v>
      </c>
      <c r="V2066">
        <f>IFERROR(VLOOKUP("221-027300-000",B:AB,13+8,0),0)</f>
        <v>0</v>
      </c>
      <c r="W2066">
        <f>IFERROR(VLOOKUP("221-027300-000",B:AB,14+8,0),0)</f>
        <v>0</v>
      </c>
      <c r="X2066">
        <f>IFERROR(VLOOKUP("221-027300-000",B:AB,15+8,0),0)</f>
        <v>0</v>
      </c>
      <c r="Y2066">
        <f>IFERROR(VLOOKUP("221-027300-000",B:AB,16+8,0),0)</f>
        <v>0</v>
      </c>
      <c r="Z2066">
        <f>IFERROR(VLOOKUP("221-027300-000",B:AB,17+8,0),0)</f>
        <v>0</v>
      </c>
      <c r="AA2066">
        <f>IFERROR(VLOOKUP("221-027300-000",B:AB,18+8,0),0)</f>
        <v>0</v>
      </c>
      <c r="AB2066">
        <f>IFERROR(VLOOKUP("221-027300-000",B:AB,19+8,0),0)</f>
        <v>0</v>
      </c>
      <c r="AC2066">
        <f>IFERROR(VLOOKUP("221-027300-000",B:AB,20+8,0),0)</f>
        <v>0</v>
      </c>
      <c r="AD2066">
        <f>IFERROR(VLOOKUP("221-027300-000",B:AB,21+8,0),0)</f>
        <v>0</v>
      </c>
      <c r="AE2066">
        <f>IFERROR(VLOOKUP("221-027300-000",B:AB,22+8,0),0)</f>
        <v>0</v>
      </c>
      <c r="AF2066">
        <f>IFERROR(VLOOKUP("221-027300-000",B:AB,23+8,0),0)</f>
        <v>0</v>
      </c>
      <c r="AG2066">
        <f>IFERROR(VLOOKUP("221-027300-000",B:AB,24+8,0),0)</f>
        <v>0</v>
      </c>
      <c r="AH2066">
        <f>IFERROR(VLOOKUP("221-027300-000",B:AB,25+8,0),0)</f>
        <v>0</v>
      </c>
      <c r="AI2066">
        <f>IFERROR(VLOOKUP("221-027300-000",B:AB,26+8,0),0)</f>
        <v>0</v>
      </c>
      <c r="AJ2066">
        <f>IFERROR(VLOOKUP("221-027300-000",B:AB,27+8,0),0)</f>
        <v>0</v>
      </c>
      <c r="AK2066">
        <f>IFERROR(VLOOKUP("221-027300-000",B:AB,28+8,0),0)</f>
        <v>0</v>
      </c>
      <c r="AL2066">
        <f>IFERROR(VLOOKUP("221-027300-000",B:AB,29+8,0),0)</f>
        <v>0</v>
      </c>
      <c r="AM2066">
        <f>IFERROR(VLOOKUP("221-027300-000",B:AB,30+8,0),0)</f>
        <v>0</v>
      </c>
      <c r="AN2066">
        <f>IFERROR(VLOOKUP("221-027300-000",B:AB,31+8,0),0)</f>
        <v>0</v>
      </c>
      <c r="AO2066">
        <f>SUN(INDIRECT(ADDRESS(2065,8)):INDIRECT(ADDRESS(2065,39)))</f>
        <v>0</v>
      </c>
    </row>
    <row r="2067" spans="1:41">
      <c r="H2067" t="s">
        <v>179</v>
      </c>
      <c r="J2067">
        <f>INDIRECT(ADDRESS(2067,9))+INDIRECT(ADDRESS(2065,10))-INDIRECT(ADDRESS(2066,10))</f>
        <v>0</v>
      </c>
      <c r="K2067">
        <f>INDIRECT(ADDRESS(2067,10))+INDIRECT(ADDRESS(2065,11))-INDIRECT(ADDRESS(2066,11))</f>
        <v>0</v>
      </c>
      <c r="L2067">
        <f>INDIRECT(ADDRESS(2067,11))+INDIRECT(ADDRESS(2065,12))-INDIRECT(ADDRESS(2066,12))</f>
        <v>0</v>
      </c>
      <c r="M2067">
        <f>INDIRECT(ADDRESS(2067,12))+INDIRECT(ADDRESS(2065,13))-INDIRECT(ADDRESS(2066,13))</f>
        <v>0</v>
      </c>
      <c r="N2067">
        <f>INDIRECT(ADDRESS(2067,13))+INDIRECT(ADDRESS(2065,14))-INDIRECT(ADDRESS(2066,14))</f>
        <v>0</v>
      </c>
      <c r="O2067">
        <f>INDIRECT(ADDRESS(2067,14))+INDIRECT(ADDRESS(2065,15))-INDIRECT(ADDRESS(2066,15))</f>
        <v>0</v>
      </c>
      <c r="P2067">
        <f>INDIRECT(ADDRESS(2067,15))+INDIRECT(ADDRESS(2065,16))-INDIRECT(ADDRESS(2066,16))</f>
        <v>0</v>
      </c>
      <c r="Q2067">
        <f>INDIRECT(ADDRESS(2067,16))+INDIRECT(ADDRESS(2065,17))-INDIRECT(ADDRESS(2066,17))</f>
        <v>0</v>
      </c>
      <c r="R2067">
        <f>INDIRECT(ADDRESS(2067,17))+INDIRECT(ADDRESS(2065,18))-INDIRECT(ADDRESS(2066,18))</f>
        <v>0</v>
      </c>
      <c r="S2067">
        <f>INDIRECT(ADDRESS(2067,18))+INDIRECT(ADDRESS(2065,19))-INDIRECT(ADDRESS(2066,19))</f>
        <v>0</v>
      </c>
      <c r="T2067">
        <f>INDIRECT(ADDRESS(2067,19))+INDIRECT(ADDRESS(2065,20))-INDIRECT(ADDRESS(2066,20))</f>
        <v>0</v>
      </c>
      <c r="U2067">
        <f>INDIRECT(ADDRESS(2067,20))+INDIRECT(ADDRESS(2065,21))-INDIRECT(ADDRESS(2066,21))</f>
        <v>0</v>
      </c>
      <c r="V2067">
        <f>INDIRECT(ADDRESS(2067,21))+INDIRECT(ADDRESS(2065,22))-INDIRECT(ADDRESS(2066,22))</f>
        <v>0</v>
      </c>
      <c r="W2067">
        <f>INDIRECT(ADDRESS(2067,22))+INDIRECT(ADDRESS(2065,23))-INDIRECT(ADDRESS(2066,23))</f>
        <v>0</v>
      </c>
      <c r="X2067">
        <f>INDIRECT(ADDRESS(2067,23))+INDIRECT(ADDRESS(2065,24))-INDIRECT(ADDRESS(2066,24))</f>
        <v>0</v>
      </c>
      <c r="Y2067">
        <f>INDIRECT(ADDRESS(2067,24))+INDIRECT(ADDRESS(2065,25))-INDIRECT(ADDRESS(2066,25))</f>
        <v>0</v>
      </c>
      <c r="Z2067">
        <f>INDIRECT(ADDRESS(2067,25))+INDIRECT(ADDRESS(2065,26))-INDIRECT(ADDRESS(2066,26))</f>
        <v>0</v>
      </c>
      <c r="AA2067">
        <f>INDIRECT(ADDRESS(2067,26))+INDIRECT(ADDRESS(2065,27))-INDIRECT(ADDRESS(2066,27))</f>
        <v>0</v>
      </c>
      <c r="AB2067">
        <f>INDIRECT(ADDRESS(2067,27))+INDIRECT(ADDRESS(2065,28))-INDIRECT(ADDRESS(2066,28))</f>
        <v>0</v>
      </c>
      <c r="AC2067">
        <f>INDIRECT(ADDRESS(2067,28))+INDIRECT(ADDRESS(2065,29))-INDIRECT(ADDRESS(2066,29))</f>
        <v>0</v>
      </c>
      <c r="AD2067">
        <f>INDIRECT(ADDRESS(2067,29))+INDIRECT(ADDRESS(2065,30))-INDIRECT(ADDRESS(2066,30))</f>
        <v>0</v>
      </c>
      <c r="AE2067">
        <f>INDIRECT(ADDRESS(2067,30))+INDIRECT(ADDRESS(2065,31))-INDIRECT(ADDRESS(2066,31))</f>
        <v>0</v>
      </c>
      <c r="AF2067">
        <f>INDIRECT(ADDRESS(2067,31))+INDIRECT(ADDRESS(2065,32))-INDIRECT(ADDRESS(2066,32))</f>
        <v>0</v>
      </c>
      <c r="AG2067">
        <f>INDIRECT(ADDRESS(2067,32))+INDIRECT(ADDRESS(2065,33))-INDIRECT(ADDRESS(2066,33))</f>
        <v>0</v>
      </c>
      <c r="AH2067">
        <f>INDIRECT(ADDRESS(2067,33))+INDIRECT(ADDRESS(2065,34))-INDIRECT(ADDRESS(2066,34))</f>
        <v>0</v>
      </c>
      <c r="AI2067">
        <f>INDIRECT(ADDRESS(2067,34))+INDIRECT(ADDRESS(2065,35))-INDIRECT(ADDRESS(2066,35))</f>
        <v>0</v>
      </c>
      <c r="AJ2067">
        <f>INDIRECT(ADDRESS(2067,35))+INDIRECT(ADDRESS(2065,36))-INDIRECT(ADDRESS(2066,36))</f>
        <v>0</v>
      </c>
      <c r="AK2067">
        <f>INDIRECT(ADDRESS(2067,36))+INDIRECT(ADDRESS(2065,37))-INDIRECT(ADDRESS(2066,37))</f>
        <v>0</v>
      </c>
      <c r="AL2067">
        <f>INDIRECT(ADDRESS(2067,37))+INDIRECT(ADDRESS(2065,38))-INDIRECT(ADDRESS(2066,38))</f>
        <v>0</v>
      </c>
      <c r="AM2067">
        <f>INDIRECT(ADDRESS(2067,38))+INDIRECT(ADDRESS(2065,39))-INDIRECT(ADDRESS(2066,39))</f>
        <v>0</v>
      </c>
      <c r="AN2067">
        <f>INDIRECT(ADDRESS(2067,39))+INDIRECT(ADDRESS(2065,40))-INDIRECT(ADDRESS(2066,40))</f>
        <v>0</v>
      </c>
      <c r="AO2067">
        <f>SUM(INDIRECT(ADDRESS(2066,8)):INDIRECT(ADDRESS(2066,39)))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101"/>
  <sheetViews>
    <sheetView workbookViewId="0"/>
  </sheetViews>
  <sheetFormatPr defaultRowHeight="15"/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</row>
    <row r="2" spans="1:40">
      <c r="A2" t="s">
        <v>8</v>
      </c>
      <c r="B2" t="s">
        <v>9</v>
      </c>
      <c r="C2" t="s">
        <v>10</v>
      </c>
      <c r="E2">
        <v>1</v>
      </c>
      <c r="F2" t="s">
        <v>11</v>
      </c>
    </row>
    <row r="3" spans="1:40">
      <c r="A3" t="s">
        <v>8</v>
      </c>
      <c r="B3" t="s">
        <v>12</v>
      </c>
      <c r="C3" t="s">
        <v>10</v>
      </c>
      <c r="E3">
        <v>1</v>
      </c>
      <c r="F3" t="s">
        <v>11</v>
      </c>
    </row>
    <row r="4" spans="1:40">
      <c r="A4" t="s">
        <v>8</v>
      </c>
      <c r="B4" t="s">
        <v>13</v>
      </c>
      <c r="C4" t="s">
        <v>14</v>
      </c>
      <c r="E4">
        <v>1</v>
      </c>
      <c r="F4" t="s">
        <v>11</v>
      </c>
    </row>
    <row r="5" spans="1:40">
      <c r="A5" t="s">
        <v>8</v>
      </c>
      <c r="B5" t="s">
        <v>15</v>
      </c>
      <c r="C5" t="s">
        <v>16</v>
      </c>
      <c r="E5">
        <v>1</v>
      </c>
      <c r="F5" t="s">
        <v>11</v>
      </c>
    </row>
    <row r="6" spans="1:40">
      <c r="A6" t="s">
        <v>8</v>
      </c>
      <c r="B6" t="s">
        <v>17</v>
      </c>
      <c r="C6" t="s">
        <v>18</v>
      </c>
      <c r="E6">
        <v>1</v>
      </c>
      <c r="F6" t="s">
        <v>11</v>
      </c>
    </row>
    <row r="7" spans="1:40">
      <c r="A7" t="s">
        <v>8</v>
      </c>
      <c r="B7" t="s">
        <v>19</v>
      </c>
      <c r="C7" t="s">
        <v>20</v>
      </c>
      <c r="E7">
        <v>1</v>
      </c>
      <c r="F7" t="s">
        <v>11</v>
      </c>
    </row>
    <row r="8" spans="1:40">
      <c r="A8" t="s">
        <v>8</v>
      </c>
      <c r="B8" t="s">
        <v>21</v>
      </c>
      <c r="C8" t="s">
        <v>22</v>
      </c>
      <c r="E8">
        <v>1</v>
      </c>
      <c r="F8" t="s">
        <v>11</v>
      </c>
    </row>
    <row r="9" spans="1:40">
      <c r="A9" t="s">
        <v>8</v>
      </c>
      <c r="B9" t="s">
        <v>23</v>
      </c>
      <c r="C9" t="s">
        <v>24</v>
      </c>
      <c r="E9">
        <v>1</v>
      </c>
      <c r="F9" t="s">
        <v>11</v>
      </c>
    </row>
    <row r="10" spans="1:40">
      <c r="A10" t="s">
        <v>8</v>
      </c>
      <c r="B10" t="s">
        <v>25</v>
      </c>
      <c r="C10" t="s">
        <v>26</v>
      </c>
      <c r="E10">
        <v>1</v>
      </c>
      <c r="F10" t="s">
        <v>11</v>
      </c>
    </row>
    <row r="11" spans="1:40">
      <c r="A11" t="s">
        <v>8</v>
      </c>
      <c r="B11" t="s">
        <v>27</v>
      </c>
      <c r="C11" t="s">
        <v>28</v>
      </c>
      <c r="E11">
        <v>1</v>
      </c>
      <c r="F11" t="s">
        <v>11</v>
      </c>
    </row>
    <row r="12" spans="1:40">
      <c r="A12" t="s">
        <v>8</v>
      </c>
      <c r="B12" t="s">
        <v>27</v>
      </c>
      <c r="C12" t="s">
        <v>29</v>
      </c>
      <c r="E12">
        <v>1</v>
      </c>
      <c r="F12" t="s">
        <v>11</v>
      </c>
    </row>
    <row r="13" spans="1:40">
      <c r="A13" t="s">
        <v>8</v>
      </c>
      <c r="B13" t="s">
        <v>30</v>
      </c>
      <c r="C13" t="s">
        <v>31</v>
      </c>
      <c r="E13">
        <v>1</v>
      </c>
      <c r="F13" t="s">
        <v>11</v>
      </c>
    </row>
    <row r="14" spans="1:40">
      <c r="A14" t="s">
        <v>8</v>
      </c>
      <c r="B14" t="s">
        <v>32</v>
      </c>
      <c r="C14" t="s">
        <v>33</v>
      </c>
      <c r="E14">
        <v>1</v>
      </c>
    </row>
    <row r="15" spans="1:40">
      <c r="A15" t="s">
        <v>8</v>
      </c>
      <c r="B15" t="s">
        <v>34</v>
      </c>
      <c r="C15" t="s">
        <v>31</v>
      </c>
      <c r="E15">
        <v>1</v>
      </c>
    </row>
    <row r="16" spans="1:40">
      <c r="A16" t="s">
        <v>8</v>
      </c>
      <c r="B16" t="s">
        <v>35</v>
      </c>
      <c r="C16" t="s">
        <v>33</v>
      </c>
      <c r="E16">
        <v>1</v>
      </c>
    </row>
    <row r="17" spans="1:5">
      <c r="A17" t="s">
        <v>8</v>
      </c>
      <c r="B17" t="s">
        <v>36</v>
      </c>
      <c r="C17" t="s">
        <v>37</v>
      </c>
      <c r="E17">
        <v>1</v>
      </c>
    </row>
    <row r="18" spans="1:5">
      <c r="A18" t="s">
        <v>8</v>
      </c>
      <c r="B18" t="s">
        <v>38</v>
      </c>
      <c r="C18" t="s">
        <v>39</v>
      </c>
      <c r="E18">
        <v>1</v>
      </c>
    </row>
    <row r="19" spans="1:5">
      <c r="A19" t="s">
        <v>8</v>
      </c>
      <c r="B19" t="s">
        <v>40</v>
      </c>
      <c r="C19" t="s">
        <v>41</v>
      </c>
      <c r="E19">
        <v>1</v>
      </c>
    </row>
    <row r="20" spans="1:5">
      <c r="A20" t="s">
        <v>8</v>
      </c>
      <c r="B20" t="s">
        <v>42</v>
      </c>
      <c r="C20" t="s">
        <v>41</v>
      </c>
      <c r="E20">
        <v>1</v>
      </c>
    </row>
    <row r="21" spans="1:5">
      <c r="A21" t="s">
        <v>8</v>
      </c>
      <c r="B21" t="s">
        <v>43</v>
      </c>
      <c r="C21" t="s">
        <v>44</v>
      </c>
      <c r="E21">
        <v>1</v>
      </c>
    </row>
    <row r="22" spans="1:5">
      <c r="A22" t="s">
        <v>8</v>
      </c>
      <c r="B22" t="s">
        <v>45</v>
      </c>
      <c r="C22" t="s">
        <v>46</v>
      </c>
      <c r="E22">
        <v>1</v>
      </c>
    </row>
    <row r="23" spans="1:5">
      <c r="A23" t="s">
        <v>8</v>
      </c>
      <c r="B23" t="s">
        <v>47</v>
      </c>
      <c r="C23" t="s">
        <v>48</v>
      </c>
      <c r="E23">
        <v>1</v>
      </c>
    </row>
    <row r="24" spans="1:5">
      <c r="A24" t="s">
        <v>8</v>
      </c>
      <c r="B24" t="s">
        <v>49</v>
      </c>
      <c r="C24" t="s">
        <v>50</v>
      </c>
      <c r="E24">
        <v>1</v>
      </c>
    </row>
    <row r="25" spans="1:5">
      <c r="A25" t="s">
        <v>8</v>
      </c>
      <c r="B25" t="s">
        <v>51</v>
      </c>
      <c r="C25" t="s">
        <v>52</v>
      </c>
      <c r="E25">
        <v>1</v>
      </c>
    </row>
    <row r="26" spans="1:5">
      <c r="A26" t="s">
        <v>8</v>
      </c>
      <c r="B26" t="s">
        <v>53</v>
      </c>
      <c r="C26" t="s">
        <v>54</v>
      </c>
      <c r="E26">
        <v>1</v>
      </c>
    </row>
    <row r="27" spans="1:5">
      <c r="A27" t="s">
        <v>8</v>
      </c>
      <c r="B27" t="s">
        <v>55</v>
      </c>
      <c r="C27" t="s">
        <v>56</v>
      </c>
      <c r="E27">
        <v>1</v>
      </c>
    </row>
    <row r="28" spans="1:5">
      <c r="A28" t="s">
        <v>8</v>
      </c>
      <c r="B28" t="s">
        <v>57</v>
      </c>
      <c r="C28" t="s">
        <v>54</v>
      </c>
      <c r="E28">
        <v>1</v>
      </c>
    </row>
    <row r="29" spans="1:5">
      <c r="A29" t="s">
        <v>8</v>
      </c>
      <c r="B29" t="s">
        <v>58</v>
      </c>
      <c r="C29" t="s">
        <v>56</v>
      </c>
      <c r="E29">
        <v>1</v>
      </c>
    </row>
    <row r="30" spans="1:5">
      <c r="A30" t="s">
        <v>8</v>
      </c>
      <c r="B30" t="s">
        <v>59</v>
      </c>
      <c r="C30" t="s">
        <v>60</v>
      </c>
      <c r="E30">
        <v>1</v>
      </c>
    </row>
    <row r="31" spans="1:5">
      <c r="A31" t="s">
        <v>8</v>
      </c>
      <c r="B31" t="s">
        <v>61</v>
      </c>
      <c r="C31" t="s">
        <v>62</v>
      </c>
      <c r="E31">
        <v>1</v>
      </c>
    </row>
    <row r="32" spans="1:5">
      <c r="A32" t="s">
        <v>8</v>
      </c>
      <c r="B32" t="s">
        <v>63</v>
      </c>
      <c r="C32" t="s">
        <v>62</v>
      </c>
      <c r="E32">
        <v>1</v>
      </c>
    </row>
    <row r="33" spans="1:5">
      <c r="A33" t="s">
        <v>8</v>
      </c>
      <c r="B33" t="s">
        <v>64</v>
      </c>
      <c r="C33" t="s">
        <v>65</v>
      </c>
      <c r="E33">
        <v>1</v>
      </c>
    </row>
    <row r="34" spans="1:5">
      <c r="A34" t="s">
        <v>8</v>
      </c>
      <c r="B34" t="s">
        <v>66</v>
      </c>
      <c r="C34" t="s">
        <v>65</v>
      </c>
      <c r="E34">
        <v>1</v>
      </c>
    </row>
    <row r="35" spans="1:5">
      <c r="A35" t="s">
        <v>8</v>
      </c>
      <c r="B35" t="s">
        <v>67</v>
      </c>
      <c r="C35" t="s">
        <v>68</v>
      </c>
      <c r="E35">
        <v>1</v>
      </c>
    </row>
    <row r="36" spans="1:5">
      <c r="A36" t="s">
        <v>8</v>
      </c>
      <c r="B36" t="s">
        <v>69</v>
      </c>
      <c r="C36" t="s">
        <v>70</v>
      </c>
      <c r="E36">
        <v>1</v>
      </c>
    </row>
    <row r="37" spans="1:5">
      <c r="A37" t="s">
        <v>8</v>
      </c>
      <c r="B37" t="s">
        <v>71</v>
      </c>
      <c r="C37" t="s">
        <v>68</v>
      </c>
      <c r="E37">
        <v>1</v>
      </c>
    </row>
    <row r="38" spans="1:5">
      <c r="A38" t="s">
        <v>8</v>
      </c>
      <c r="B38" t="s">
        <v>72</v>
      </c>
      <c r="C38" t="s">
        <v>70</v>
      </c>
      <c r="E38">
        <v>1</v>
      </c>
    </row>
    <row r="39" spans="1:5">
      <c r="A39" t="s">
        <v>8</v>
      </c>
      <c r="B39" t="s">
        <v>73</v>
      </c>
      <c r="C39" t="s">
        <v>74</v>
      </c>
      <c r="E39">
        <v>1</v>
      </c>
    </row>
    <row r="40" spans="1:5">
      <c r="A40" t="s">
        <v>8</v>
      </c>
      <c r="B40" t="s">
        <v>75</v>
      </c>
      <c r="C40" t="s">
        <v>76</v>
      </c>
      <c r="E40">
        <v>1</v>
      </c>
    </row>
    <row r="41" spans="1:5">
      <c r="A41" t="s">
        <v>8</v>
      </c>
      <c r="B41" t="s">
        <v>77</v>
      </c>
      <c r="C41" t="s">
        <v>78</v>
      </c>
      <c r="E41">
        <v>1</v>
      </c>
    </row>
    <row r="42" spans="1:5">
      <c r="A42" t="s">
        <v>8</v>
      </c>
      <c r="B42" t="s">
        <v>79</v>
      </c>
      <c r="C42" t="s">
        <v>80</v>
      </c>
      <c r="E42">
        <v>1</v>
      </c>
    </row>
    <row r="43" spans="1:5">
      <c r="A43" t="s">
        <v>8</v>
      </c>
      <c r="B43" t="s">
        <v>81</v>
      </c>
      <c r="C43" t="s">
        <v>82</v>
      </c>
      <c r="E43">
        <v>1</v>
      </c>
    </row>
    <row r="44" spans="1:5">
      <c r="A44" t="s">
        <v>8</v>
      </c>
      <c r="B44" t="s">
        <v>83</v>
      </c>
      <c r="C44" t="s">
        <v>84</v>
      </c>
      <c r="E44">
        <v>1</v>
      </c>
    </row>
    <row r="45" spans="1:5">
      <c r="A45" t="s">
        <v>8</v>
      </c>
      <c r="B45" t="s">
        <v>85</v>
      </c>
      <c r="C45" t="s">
        <v>86</v>
      </c>
      <c r="E45">
        <v>1</v>
      </c>
    </row>
    <row r="46" spans="1:5">
      <c r="A46" t="s">
        <v>8</v>
      </c>
      <c r="B46" t="s">
        <v>87</v>
      </c>
      <c r="C46" t="s">
        <v>76</v>
      </c>
      <c r="E46">
        <v>1</v>
      </c>
    </row>
    <row r="47" spans="1:5">
      <c r="A47" t="s">
        <v>8</v>
      </c>
      <c r="B47" t="s">
        <v>88</v>
      </c>
      <c r="C47" t="s">
        <v>78</v>
      </c>
      <c r="E47">
        <v>1</v>
      </c>
    </row>
    <row r="48" spans="1:5">
      <c r="A48" t="s">
        <v>8</v>
      </c>
      <c r="B48" t="s">
        <v>89</v>
      </c>
      <c r="C48" t="s">
        <v>80</v>
      </c>
      <c r="E48">
        <v>1</v>
      </c>
    </row>
    <row r="49" spans="1:5">
      <c r="A49" t="s">
        <v>8</v>
      </c>
      <c r="B49" t="s">
        <v>90</v>
      </c>
      <c r="C49" t="s">
        <v>82</v>
      </c>
      <c r="E49">
        <v>1</v>
      </c>
    </row>
    <row r="50" spans="1:5">
      <c r="A50" t="s">
        <v>8</v>
      </c>
      <c r="B50" t="s">
        <v>91</v>
      </c>
      <c r="C50" t="s">
        <v>84</v>
      </c>
      <c r="E50">
        <v>1</v>
      </c>
    </row>
    <row r="51" spans="1:5">
      <c r="A51" t="s">
        <v>8</v>
      </c>
      <c r="B51" t="s">
        <v>92</v>
      </c>
      <c r="C51" t="s">
        <v>86</v>
      </c>
      <c r="E51">
        <v>1</v>
      </c>
    </row>
    <row r="52" spans="1:5">
      <c r="A52" t="s">
        <v>8</v>
      </c>
      <c r="B52" t="s">
        <v>93</v>
      </c>
      <c r="C52" t="s">
        <v>94</v>
      </c>
      <c r="E52">
        <v>1</v>
      </c>
    </row>
    <row r="53" spans="1:5">
      <c r="A53" t="s">
        <v>8</v>
      </c>
      <c r="B53" t="s">
        <v>95</v>
      </c>
      <c r="C53" t="s">
        <v>96</v>
      </c>
      <c r="E53">
        <v>1</v>
      </c>
    </row>
    <row r="54" spans="1:5">
      <c r="A54" t="s">
        <v>8</v>
      </c>
      <c r="B54" t="s">
        <v>97</v>
      </c>
      <c r="C54" t="s">
        <v>98</v>
      </c>
      <c r="E54">
        <v>1</v>
      </c>
    </row>
    <row r="55" spans="1:5">
      <c r="A55" t="s">
        <v>8</v>
      </c>
      <c r="B55" t="s">
        <v>99</v>
      </c>
      <c r="C55" t="s">
        <v>100</v>
      </c>
      <c r="E55">
        <v>1</v>
      </c>
    </row>
    <row r="56" spans="1:5">
      <c r="A56" t="s">
        <v>8</v>
      </c>
      <c r="B56" t="s">
        <v>101</v>
      </c>
      <c r="C56" t="s">
        <v>102</v>
      </c>
      <c r="E56">
        <v>1</v>
      </c>
    </row>
    <row r="57" spans="1:5">
      <c r="A57" t="s">
        <v>8</v>
      </c>
      <c r="B57" t="s">
        <v>103</v>
      </c>
      <c r="C57" t="s">
        <v>104</v>
      </c>
      <c r="E57">
        <v>1</v>
      </c>
    </row>
    <row r="58" spans="1:5">
      <c r="A58" t="s">
        <v>8</v>
      </c>
      <c r="B58" t="s">
        <v>105</v>
      </c>
      <c r="C58" t="s">
        <v>106</v>
      </c>
      <c r="E58">
        <v>1</v>
      </c>
    </row>
    <row r="59" spans="1:5">
      <c r="A59" t="s">
        <v>8</v>
      </c>
      <c r="B59" t="s">
        <v>107</v>
      </c>
      <c r="C59" t="s">
        <v>106</v>
      </c>
      <c r="E59">
        <v>1</v>
      </c>
    </row>
    <row r="60" spans="1:5">
      <c r="A60" t="s">
        <v>8</v>
      </c>
      <c r="B60" t="s">
        <v>108</v>
      </c>
      <c r="C60" t="s">
        <v>109</v>
      </c>
      <c r="E60">
        <v>1</v>
      </c>
    </row>
    <row r="61" spans="1:5">
      <c r="A61" t="s">
        <v>8</v>
      </c>
      <c r="B61" t="s">
        <v>110</v>
      </c>
      <c r="C61" t="s">
        <v>111</v>
      </c>
      <c r="E61">
        <v>1</v>
      </c>
    </row>
    <row r="62" spans="1:5">
      <c r="A62" t="s">
        <v>8</v>
      </c>
      <c r="B62" t="s">
        <v>112</v>
      </c>
      <c r="C62" t="s">
        <v>111</v>
      </c>
      <c r="E62">
        <v>1</v>
      </c>
    </row>
    <row r="63" spans="1:5">
      <c r="A63" t="s">
        <v>8</v>
      </c>
      <c r="B63" t="s">
        <v>113</v>
      </c>
      <c r="C63" t="s">
        <v>114</v>
      </c>
      <c r="E63">
        <v>1</v>
      </c>
    </row>
    <row r="64" spans="1:5">
      <c r="A64" t="s">
        <v>8</v>
      </c>
      <c r="B64" t="s">
        <v>115</v>
      </c>
      <c r="C64" t="s">
        <v>116</v>
      </c>
      <c r="E64">
        <v>1</v>
      </c>
    </row>
    <row r="65" spans="1:5">
      <c r="A65" t="s">
        <v>8</v>
      </c>
      <c r="B65" t="s">
        <v>112</v>
      </c>
      <c r="C65" t="s">
        <v>111</v>
      </c>
      <c r="E65">
        <v>1</v>
      </c>
    </row>
    <row r="66" spans="1:5">
      <c r="A66" t="s">
        <v>8</v>
      </c>
      <c r="B66" t="s">
        <v>110</v>
      </c>
      <c r="C66" t="s">
        <v>111</v>
      </c>
      <c r="E66">
        <v>1</v>
      </c>
    </row>
    <row r="67" spans="1:5">
      <c r="A67" t="s">
        <v>8</v>
      </c>
      <c r="B67" t="s">
        <v>117</v>
      </c>
      <c r="C67" t="s">
        <v>118</v>
      </c>
      <c r="E67">
        <v>1</v>
      </c>
    </row>
    <row r="68" spans="1:5">
      <c r="A68" t="s">
        <v>8</v>
      </c>
      <c r="B68" t="s">
        <v>119</v>
      </c>
      <c r="C68" t="s">
        <v>118</v>
      </c>
      <c r="E68">
        <v>1</v>
      </c>
    </row>
    <row r="69" spans="1:5">
      <c r="A69" t="s">
        <v>8</v>
      </c>
      <c r="B69" t="s">
        <v>120</v>
      </c>
      <c r="C69" t="s">
        <v>121</v>
      </c>
      <c r="E69">
        <v>1</v>
      </c>
    </row>
    <row r="70" spans="1:5">
      <c r="A70" t="s">
        <v>8</v>
      </c>
      <c r="B70" t="s">
        <v>122</v>
      </c>
      <c r="C70" t="s">
        <v>123</v>
      </c>
      <c r="E70">
        <v>1</v>
      </c>
    </row>
    <row r="71" spans="1:5">
      <c r="A71" t="s">
        <v>8</v>
      </c>
      <c r="B71" t="s">
        <v>124</v>
      </c>
      <c r="C71" t="s">
        <v>125</v>
      </c>
      <c r="E71">
        <v>1</v>
      </c>
    </row>
    <row r="72" spans="1:5">
      <c r="A72" t="s">
        <v>8</v>
      </c>
      <c r="B72" t="s">
        <v>126</v>
      </c>
      <c r="C72" t="s">
        <v>127</v>
      </c>
      <c r="E72">
        <v>1</v>
      </c>
    </row>
    <row r="73" spans="1:5">
      <c r="A73" t="s">
        <v>8</v>
      </c>
      <c r="B73" t="s">
        <v>128</v>
      </c>
      <c r="C73" t="s">
        <v>129</v>
      </c>
      <c r="E73">
        <v>1</v>
      </c>
    </row>
    <row r="74" spans="1:5">
      <c r="A74" t="s">
        <v>8</v>
      </c>
      <c r="B74" t="s">
        <v>130</v>
      </c>
      <c r="C74" t="s">
        <v>131</v>
      </c>
      <c r="E74">
        <v>1</v>
      </c>
    </row>
    <row r="75" spans="1:5">
      <c r="A75" t="s">
        <v>8</v>
      </c>
      <c r="B75" t="s">
        <v>132</v>
      </c>
      <c r="C75" t="s">
        <v>133</v>
      </c>
      <c r="E75">
        <v>2</v>
      </c>
    </row>
    <row r="76" spans="1:5">
      <c r="A76" t="s">
        <v>8</v>
      </c>
      <c r="B76" t="s">
        <v>134</v>
      </c>
      <c r="C76" t="s">
        <v>135</v>
      </c>
      <c r="E76">
        <v>1</v>
      </c>
    </row>
    <row r="77" spans="1:5">
      <c r="A77" t="s">
        <v>8</v>
      </c>
      <c r="B77" t="s">
        <v>99</v>
      </c>
      <c r="C77" t="s">
        <v>136</v>
      </c>
      <c r="E77">
        <v>1</v>
      </c>
    </row>
    <row r="78" spans="1:5">
      <c r="A78" t="s">
        <v>8</v>
      </c>
      <c r="B78" t="s">
        <v>137</v>
      </c>
      <c r="C78" t="s">
        <v>138</v>
      </c>
      <c r="E78">
        <v>1</v>
      </c>
    </row>
    <row r="79" spans="1:5">
      <c r="A79" t="s">
        <v>8</v>
      </c>
      <c r="B79" t="s">
        <v>139</v>
      </c>
      <c r="C79" t="s">
        <v>140</v>
      </c>
      <c r="E79">
        <v>1</v>
      </c>
    </row>
    <row r="80" spans="1:5">
      <c r="A80" t="s">
        <v>8</v>
      </c>
      <c r="B80" t="s">
        <v>141</v>
      </c>
      <c r="C80" t="s">
        <v>142</v>
      </c>
      <c r="E80">
        <v>1</v>
      </c>
    </row>
    <row r="81" spans="1:5">
      <c r="A81" t="s">
        <v>8</v>
      </c>
      <c r="B81" t="s">
        <v>143</v>
      </c>
      <c r="C81" t="s">
        <v>144</v>
      </c>
      <c r="E81">
        <v>1</v>
      </c>
    </row>
    <row r="82" spans="1:5">
      <c r="A82" t="s">
        <v>8</v>
      </c>
      <c r="B82" t="s">
        <v>145</v>
      </c>
      <c r="C82" t="s">
        <v>146</v>
      </c>
      <c r="E82">
        <v>1</v>
      </c>
    </row>
    <row r="83" spans="1:5">
      <c r="A83" t="s">
        <v>8</v>
      </c>
      <c r="B83" t="s">
        <v>147</v>
      </c>
      <c r="C83" t="s">
        <v>146</v>
      </c>
      <c r="E83">
        <v>1</v>
      </c>
    </row>
    <row r="84" spans="1:5">
      <c r="A84" t="s">
        <v>8</v>
      </c>
      <c r="B84" t="s">
        <v>148</v>
      </c>
      <c r="C84" t="s">
        <v>149</v>
      </c>
      <c r="E84" t="s">
        <v>150</v>
      </c>
    </row>
    <row r="85" spans="1:5">
      <c r="A85" t="s">
        <v>8</v>
      </c>
      <c r="B85" t="s">
        <v>148</v>
      </c>
      <c r="C85" t="s">
        <v>151</v>
      </c>
      <c r="E85">
        <v>0.25</v>
      </c>
    </row>
    <row r="86" spans="1:5">
      <c r="A86" t="s">
        <v>8</v>
      </c>
      <c r="B86" t="s">
        <v>152</v>
      </c>
      <c r="C86" t="s">
        <v>153</v>
      </c>
      <c r="E86">
        <v>0.25</v>
      </c>
    </row>
    <row r="87" spans="1:5">
      <c r="A87" t="s">
        <v>8</v>
      </c>
      <c r="B87" t="s">
        <v>154</v>
      </c>
      <c r="C87" t="s">
        <v>153</v>
      </c>
      <c r="E87">
        <v>0.003</v>
      </c>
    </row>
    <row r="88" spans="1:5">
      <c r="A88" t="s">
        <v>8</v>
      </c>
      <c r="B88" t="s">
        <v>155</v>
      </c>
      <c r="C88" t="s">
        <v>153</v>
      </c>
      <c r="E88">
        <v>0.003</v>
      </c>
    </row>
    <row r="89" spans="1:5">
      <c r="A89" t="s">
        <v>8</v>
      </c>
      <c r="B89" t="s">
        <v>156</v>
      </c>
      <c r="C89" t="s">
        <v>153</v>
      </c>
      <c r="E89">
        <v>0.003</v>
      </c>
    </row>
    <row r="90" spans="1:5">
      <c r="A90" t="s">
        <v>8</v>
      </c>
      <c r="B90" t="s">
        <v>157</v>
      </c>
      <c r="C90" t="s">
        <v>153</v>
      </c>
      <c r="E90">
        <v>0.003</v>
      </c>
    </row>
    <row r="91" spans="1:5">
      <c r="A91" t="s">
        <v>8</v>
      </c>
      <c r="B91" t="s">
        <v>158</v>
      </c>
      <c r="C91" t="s">
        <v>153</v>
      </c>
      <c r="E91">
        <v>0.003</v>
      </c>
    </row>
    <row r="92" spans="1:5">
      <c r="A92" t="s">
        <v>8</v>
      </c>
      <c r="B92" t="s">
        <v>159</v>
      </c>
      <c r="C92" t="s">
        <v>153</v>
      </c>
      <c r="E92">
        <v>0.003</v>
      </c>
    </row>
    <row r="93" spans="1:5">
      <c r="A93" t="s">
        <v>8</v>
      </c>
      <c r="B93" t="s">
        <v>160</v>
      </c>
      <c r="C93" t="s">
        <v>161</v>
      </c>
      <c r="E93">
        <v>0.003</v>
      </c>
    </row>
    <row r="94" spans="1:5">
      <c r="A94" t="s">
        <v>8</v>
      </c>
      <c r="B94" t="s">
        <v>162</v>
      </c>
      <c r="C94" t="s">
        <v>163</v>
      </c>
      <c r="E94" t="s">
        <v>150</v>
      </c>
    </row>
    <row r="95" spans="1:5">
      <c r="A95" t="s">
        <v>8</v>
      </c>
      <c r="B95" t="s">
        <v>164</v>
      </c>
      <c r="C95" t="s">
        <v>165</v>
      </c>
      <c r="E95" t="s">
        <v>166</v>
      </c>
    </row>
    <row r="96" spans="1:5">
      <c r="A96" t="s">
        <v>8</v>
      </c>
      <c r="B96" t="s">
        <v>164</v>
      </c>
      <c r="C96" t="s">
        <v>165</v>
      </c>
      <c r="E96" t="s">
        <v>166</v>
      </c>
    </row>
    <row r="97" spans="1:5">
      <c r="A97" t="s">
        <v>8</v>
      </c>
      <c r="B97" t="s">
        <v>167</v>
      </c>
      <c r="C97" t="s">
        <v>168</v>
      </c>
      <c r="E97">
        <v>1</v>
      </c>
    </row>
    <row r="98" spans="1:5">
      <c r="A98" t="s">
        <v>8</v>
      </c>
      <c r="B98" t="s">
        <v>169</v>
      </c>
      <c r="C98" t="s">
        <v>170</v>
      </c>
      <c r="E98" t="s">
        <v>166</v>
      </c>
    </row>
    <row r="99" spans="1:5">
      <c r="A99" t="s">
        <v>8</v>
      </c>
      <c r="B99" t="s">
        <v>171</v>
      </c>
      <c r="C99" t="s">
        <v>170</v>
      </c>
      <c r="E99" t="s">
        <v>166</v>
      </c>
    </row>
    <row r="100" spans="1:5">
      <c r="A100" t="s">
        <v>8</v>
      </c>
      <c r="B100" t="s">
        <v>171</v>
      </c>
      <c r="C100" t="s">
        <v>172</v>
      </c>
      <c r="E100" t="s">
        <v>166</v>
      </c>
    </row>
    <row r="101" spans="1:5">
      <c r="A101" t="s">
        <v>8</v>
      </c>
      <c r="B101" t="s">
        <v>173</v>
      </c>
      <c r="C101" t="s">
        <v>174</v>
      </c>
      <c r="E1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2018-10-11T03:53:53Z</dcterms:created>
  <dcterms:modified xsi:type="dcterms:W3CDTF">2018-10-11T03:53:53Z</dcterms:modified>
</cp:coreProperties>
</file>